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120" yWindow="165" windowWidth="19095" windowHeight="11040" tabRatio="847" firstSheet="1" activeTab="1"/>
  </bookViews>
  <sheets>
    <sheet name="SOURCE" sheetId="3" state="hidden" r:id="rId1"/>
    <sheet name="resume" sheetId="20" r:id="rId2"/>
    <sheet name="Entry" sheetId="5" r:id="rId3"/>
    <sheet name="DB" sheetId="6" r:id="rId4"/>
    <sheet name="BTB" sheetId="1" r:id="rId5"/>
    <sheet name="BCT" sheetId="7" r:id="rId6"/>
    <sheet name="Surat-01" sheetId="8" r:id="rId7"/>
    <sheet name="Surat-02" sheetId="18" r:id="rId8"/>
    <sheet name="Asumtas" sheetId="17" r:id="rId9"/>
    <sheet name="Tnh" sheetId="11" r:id="rId10"/>
    <sheet name="B1" sheetId="4" r:id="rId11"/>
    <sheet name="DB-PRINT" sheetId="12" r:id="rId12"/>
    <sheet name="BCT-PRINT" sheetId="13" r:id="rId13"/>
    <sheet name="Foto" sheetId="14" r:id="rId14"/>
    <sheet name="Gbr-Peta" sheetId="15" r:id="rId15"/>
    <sheet name="CVR" sheetId="19" r:id="rId16"/>
  </sheets>
  <externalReferences>
    <externalReference r:id="rId17"/>
  </externalReferences>
  <definedNames>
    <definedName name="_xlnm._FilterDatabase" localSheetId="2" hidden="1">Entry!$AY$6:$BG$10</definedName>
    <definedName name="_xlnm._FilterDatabase" localSheetId="0" hidden="1">SOURCE!$BN$27:$BO$37</definedName>
    <definedName name="_Toc397012609" localSheetId="6">'Surat-01'!$E$48</definedName>
    <definedName name="_Toc397012612" localSheetId="6">'Surat-01'!#REF!</definedName>
    <definedName name="ARSITEKTUR_BANGUNAN">SOURCE!$G$3:$G$13</definedName>
    <definedName name="BANK_PEMBERI_TUGAS">SOURCE!$B$37:$B$52</definedName>
    <definedName name="BENTUK_TANAH">SOURCE!#REF!</definedName>
    <definedName name="BIAYA_KITCHEN_SET">SOURCE!#REF!</definedName>
    <definedName name="D" localSheetId="8">#REF!</definedName>
    <definedName name="D" localSheetId="15">#REF!</definedName>
    <definedName name="D" localSheetId="13">#REF!</definedName>
    <definedName name="D" localSheetId="7">#REF!</definedName>
    <definedName name="D">#REF!</definedName>
    <definedName name="DAYA_LISTRIK">SOURCE!#REF!</definedName>
    <definedName name="ddddd" localSheetId="8">#REF!</definedName>
    <definedName name="ddddd" localSheetId="15">#REF!</definedName>
    <definedName name="ddddd" localSheetId="13">#REF!</definedName>
    <definedName name="ddddd" localSheetId="7">#REF!</definedName>
    <definedName name="ddddd">#REF!</definedName>
    <definedName name="DINDING_GDG_4LT">SOURCE!$CC$58:$CC$82</definedName>
    <definedName name="DINDING_GDG_8LT">SOURCE!$CF$58:$CF$82</definedName>
    <definedName name="DINDING_GDG_9LT">SOURCE!$CI$58:$CI$82</definedName>
    <definedName name="DINDING_GUDANG">SOURCE!$BZ$58:$BZ$82</definedName>
    <definedName name="DINDING_RT_MNG">SOURCE!$BQ$58:$BQ$82</definedName>
    <definedName name="DINDING_RT_MWH">SOURCE!$BN$58:$BN$82</definedName>
    <definedName name="DINDING_RT_SDN">SOURCE!$BT$58:$BT$82</definedName>
    <definedName name="DINDING_SEMI_P">SOURCE!$BW$58:$BW$82</definedName>
    <definedName name="ELEVASI_TANAH">SOURCE!#REF!</definedName>
    <definedName name="HBU">SOURCE!$B$3:$B$20</definedName>
    <definedName name="INDEKS_MATERIAL_GDG_4LT">SOURCE!$CC$7:$CD$124</definedName>
    <definedName name="INDEKS_MATERIAL_GDG_8LT">SOURCE!$CF$7:$CG$124</definedName>
    <definedName name="INDEKS_MATERIAL_GDG_9LT">SOURCE!$CI$7:$CJ$124</definedName>
    <definedName name="INDEKS_MATERIAL_GUDANG">SOURCE!$BZ$7:$CA$124</definedName>
    <definedName name="INDEKS_MATERIAL_RT_MNG">SOURCE!$BQ$7:$BR$124</definedName>
    <definedName name="INDEKS_MATERIAL_RT_MWH">SOURCE!$BN$7:$BO$124</definedName>
    <definedName name="INDEKS_MATERIAL_RT_SDN">SOURCE!$BT$7:$BU$124</definedName>
    <definedName name="INDEKS_MATERIAL_SEMI_P">SOURCE!$BW$7:$BX$124</definedName>
    <definedName name="JENIS_IMB">SOURCE!$D$76:$D$91</definedName>
    <definedName name="JENIS_KOLAM_RENANG">SOURCE!#REF!</definedName>
    <definedName name="JENIS_LAPORAN">SOURCE!#REF!</definedName>
    <definedName name="JENIS_SERTIFIKAT">SOURCE!#REF!</definedName>
    <definedName name="JENIS_TANAH">SOURCE!#REF!</definedName>
    <definedName name="JUMLAH_LANTAI">SOURCE!$EH$5:$EH$45</definedName>
    <definedName name="kayu" localSheetId="8">#REF!</definedName>
    <definedName name="kayu" localSheetId="15">#REF!</definedName>
    <definedName name="kayu" localSheetId="3">#REF!</definedName>
    <definedName name="kayu" localSheetId="13">#REF!</definedName>
    <definedName name="kayu" localSheetId="14">#REF!</definedName>
    <definedName name="kayu" localSheetId="7">#REF!</definedName>
    <definedName name="kayu">#REF!</definedName>
    <definedName name="kondisi" localSheetId="8">#REF!</definedName>
    <definedName name="kondisi" localSheetId="15">#REF!</definedName>
    <definedName name="kondisi" localSheetId="3">#REF!</definedName>
    <definedName name="kondisi" localSheetId="13">#REF!</definedName>
    <definedName name="kondisi" localSheetId="14">#REF!</definedName>
    <definedName name="kondisi" localSheetId="7">#REF!</definedName>
    <definedName name="kondisi">#REF!</definedName>
    <definedName name="KONDISI_KESESUAIAN">SOURCE!$EE$5:$EE$11</definedName>
    <definedName name="KONDISIS" localSheetId="8">#REF!</definedName>
    <definedName name="KONDISIS" localSheetId="15">#REF!</definedName>
    <definedName name="KONDISIS" localSheetId="13">#REF!</definedName>
    <definedName name="KONDISIS" localSheetId="7">#REF!</definedName>
    <definedName name="KONDISIS">#REF!</definedName>
    <definedName name="konstruksi" localSheetId="8">#REF!</definedName>
    <definedName name="konstruksi" localSheetId="15">#REF!</definedName>
    <definedName name="konstruksi" localSheetId="3">#REF!</definedName>
    <definedName name="konstruksi" localSheetId="13">#REF!</definedName>
    <definedName name="konstruksi" localSheetId="14">#REF!</definedName>
    <definedName name="konstruksi" localSheetId="7">#REF!</definedName>
    <definedName name="konstruksi">#REF!</definedName>
    <definedName name="kualitas" localSheetId="8">#REF!</definedName>
    <definedName name="kualitas" localSheetId="15">#REF!</definedName>
    <definedName name="kualitas" localSheetId="3">#REF!</definedName>
    <definedName name="kualitas" localSheetId="13">#REF!</definedName>
    <definedName name="kualitas" localSheetId="14">#REF!</definedName>
    <definedName name="kualitas" localSheetId="7">#REF!</definedName>
    <definedName name="kualitas">#REF!</definedName>
    <definedName name="lantai" localSheetId="8">#REF!</definedName>
    <definedName name="lantai" localSheetId="15">#REF!</definedName>
    <definedName name="lantai" localSheetId="3">#REF!</definedName>
    <definedName name="lantai" localSheetId="13">#REF!</definedName>
    <definedName name="lantai" localSheetId="14">#REF!</definedName>
    <definedName name="lantai" localSheetId="7">#REF!</definedName>
    <definedName name="lantai">#REF!</definedName>
    <definedName name="LANTAI_GDG_4LT">SOURCE!$CC$100:$CC$124</definedName>
    <definedName name="LANTAI_GDG_8LT">SOURCE!$CF$100:$CF$124</definedName>
    <definedName name="LANTAI_GDG_9LT">SOURCE!$CI$100:$CI$124</definedName>
    <definedName name="LANTAI_GUDANG">SOURCE!$BZ$100:$BZ$124</definedName>
    <definedName name="LANTAI_MEZZANINE">SOURCE!$CN$88:$CN$98</definedName>
    <definedName name="LANTAI_RT_MNG">SOURCE!$BQ$100:$BQ$124</definedName>
    <definedName name="LANTAI_RT_MWH">SOURCE!$BN$100:$BN$124</definedName>
    <definedName name="LANTAI_RT_SDN">SOURCE!$BT$100:$BT$124</definedName>
    <definedName name="LANTAI_SEMI_P">SOURCE!$BW$100:$BW$124</definedName>
    <definedName name="LETAK___POSISI_TANAH">SOURCE!$B$76:$B$86</definedName>
    <definedName name="lokasi" localSheetId="8">#REF!</definedName>
    <definedName name="lokasi" localSheetId="15">#REF!</definedName>
    <definedName name="lokasi" localSheetId="3">#REF!</definedName>
    <definedName name="lokasi" localSheetId="13">#REF!</definedName>
    <definedName name="lokasi" localSheetId="14">#REF!</definedName>
    <definedName name="lokasi" localSheetId="7">#REF!</definedName>
    <definedName name="lokasi">#REF!</definedName>
    <definedName name="MAKSUD_PENILAIAN">SOURCE!#REF!</definedName>
    <definedName name="marketability" localSheetId="8">#REF!</definedName>
    <definedName name="marketability" localSheetId="15">#REF!</definedName>
    <definedName name="marketability" localSheetId="3">#REF!</definedName>
    <definedName name="marketability" localSheetId="13">#REF!</definedName>
    <definedName name="marketability" localSheetId="14">#REF!</definedName>
    <definedName name="marketability" localSheetId="7">#REF!</definedName>
    <definedName name="marketability">#REF!</definedName>
    <definedName name="MATA_ANGIN">SOURCE!$D$55:$D$63</definedName>
    <definedName name="MATERIAL_KANOPI">SOURCE!#REF!</definedName>
    <definedName name="MATERIAL_PAGAR">SOURCE!#REF!</definedName>
    <definedName name="MATERIAL_PERKERASAN">SOURCE!#REF!</definedName>
    <definedName name="MATERIAL_PINTU_PAGAR">SOURCE!#REF!</definedName>
    <definedName name="NAMA_PENANDATANGAN_LAPORAN">SOURCE!#REF!</definedName>
    <definedName name="NAMA_PENILAI">SOURCE!#REF!</definedName>
    <definedName name="NAMA_PROVINSI">SOURCE!$I$3:$I$37</definedName>
    <definedName name="NAMA_SURVEYOR">SOURCE!#REF!</definedName>
    <definedName name="OBYEK_PENILAIAN">SOURCE!#REF!</definedName>
    <definedName name="PASANG_TELEPON">SOURCE!#REF!</definedName>
    <definedName name="PENANGGUNG_JAWAB_CABANG">SOURCE!#REF!</definedName>
    <definedName name="PENGGUNAAN_BANGUNAN">SOURCE!$F$3:$F$39</definedName>
    <definedName name="PENGGUNAAN_OBYEK">SOURCE!$C$3:$C$20</definedName>
    <definedName name="PENUTUP_ATAP_GDG_4LT">SOURCE!$CC$26:$CC$40</definedName>
    <definedName name="PENUTUP_ATAP_GDG_8LT">SOURCE!$CF$26:$CF$40</definedName>
    <definedName name="PENUTUP_ATAP_GDG_9LT">SOURCE!$CI$26:$CI$40</definedName>
    <definedName name="PENUTUP_ATAP_GUDANG">SOURCE!$BZ$26:$BZ$40</definedName>
    <definedName name="PENUTUP_ATAP_RT_MNG">SOURCE!$BQ$26:$BQ$40</definedName>
    <definedName name="PENUTUP_ATAP_RT_MWH">SOURCE!$BN$26:$BN$40</definedName>
    <definedName name="PENUTUP_ATAP_RT_SDN">SOURCE!$BT$26:$BT$40</definedName>
    <definedName name="PENUTUP_ATAP_SEMI_P">SOURCE!$BW$26:$BW$40</definedName>
    <definedName name="PERUNTUKAN___ZONING">SOURCE!$D$94:$D$114</definedName>
    <definedName name="PILIH">SOURCE!#REF!</definedName>
    <definedName name="PINTU___JENDELA_GDG_4LT">SOURCE!$CC$84:$CC$98</definedName>
    <definedName name="PINTU___JENDELA_GDG_8LT">SOURCE!$CF$84:$CF$98</definedName>
    <definedName name="PINTU___JENDELA_GDG_9LT">SOURCE!$CI$84:$CI$98</definedName>
    <definedName name="PINTU___JENDELA_GUDANG">SOURCE!$BZ$84:$BZ$98</definedName>
    <definedName name="PINTU___JENDELA_RT_MNG">SOURCE!$BQ$84:$BQ$98</definedName>
    <definedName name="PINTU___JENDELA_RT_MWH">SOURCE!$BN$84:$BN$98</definedName>
    <definedName name="PINTU___JENDELA_RT_SDN">SOURCE!$BT$84:$BT$98</definedName>
    <definedName name="PINTU___JENDELA_SEMI_P">SOURCE!$BW$84:$BW$98</definedName>
    <definedName name="PLAFON_GDG_4LT">SOURCE!$CC$42:$CC$56</definedName>
    <definedName name="PLAFON_GDG_8LT">SOURCE!$CF$42:$CF$56</definedName>
    <definedName name="PLAFON_GDG_9LT">SOURCE!$CI$42:$CI$56</definedName>
    <definedName name="PLAFON_GUDANG">SOURCE!$BZ$42:$BZ$56</definedName>
    <definedName name="PLAFON_RT_MNG">SOURCE!$BQ$42:$BQ$56</definedName>
    <definedName name="PLAFON_RT_MWH">SOURCE!$BN$42:$BN$56</definedName>
    <definedName name="PLAFON_RT_SDN">SOURCE!$BT$42:$BT$56</definedName>
    <definedName name="PLAFON_SEMI_P">SOURCE!$BW$42:$BW$56</definedName>
    <definedName name="PONDASI_GDG_4LT">SOURCE!$CC$8:$CC$12</definedName>
    <definedName name="PONDASI_GDG_8LT">SOURCE!$CF$8:$CF$12</definedName>
    <definedName name="PONDASI_GDG_9LT">SOURCE!$CI$8:$CI$12</definedName>
    <definedName name="PONDASI_GUDANG">SOURCE!$BZ$8:$BZ$12</definedName>
    <definedName name="PONDASI_RT_MNG">SOURCE!$BQ$8:$BQ$12</definedName>
    <definedName name="PONDASI_RT_MWH">SOURCE!$BN$8:$BN$12</definedName>
    <definedName name="PONDASI_RT_SDN">SOURCE!$BT$8:$BT$12</definedName>
    <definedName name="PONDASI_SEMI_P">SOURCE!$BW$8:$BW$12</definedName>
    <definedName name="_xlnm.Print_Area" localSheetId="8">Asumtas!$B$2:$AO$55</definedName>
    <definedName name="_xlnm.Print_Area" localSheetId="10">'B1'!$B$2:$AN$69</definedName>
    <definedName name="_xlnm.Print_Area" localSheetId="12">'BCT-PRINT'!$B$3:$AN$52</definedName>
    <definedName name="_xlnm.Print_Area" localSheetId="15">CVR!$B$2:$AD$57</definedName>
    <definedName name="_xlnm.Print_Area" localSheetId="3">DB!$B$2:$BE$54</definedName>
    <definedName name="_xlnm.Print_Area" localSheetId="11">'DB-PRINT'!$B$2:$AO$58</definedName>
    <definedName name="_xlnm.Print_Area" localSheetId="2">Entry!$B$1:$BC$56</definedName>
    <definedName name="_xlnm.Print_Area" localSheetId="13">Foto!$B$2:$AN$66</definedName>
    <definedName name="_xlnm.Print_Area" localSheetId="14">'Gbr-Peta'!$B$2:$AN$68</definedName>
    <definedName name="_xlnm.Print_Area" localSheetId="6">'Surat-01'!$B$2:$AR$55</definedName>
    <definedName name="_xlnm.Print_Area" localSheetId="7">'Surat-02'!$B$2:$AN$66</definedName>
    <definedName name="_xlnm.Print_Area" localSheetId="9">Tnh!$B$2:$AN$157</definedName>
    <definedName name="Prov_Bali">SOURCE!$AB$3:$AB$41</definedName>
    <definedName name="Prov_Banten">SOURCE!$AA$3:$AA$41</definedName>
    <definedName name="Prov_Bengkulu">SOURCE!$S$3:$S$41</definedName>
    <definedName name="Prov_DI_Yogyakarta">SOURCE!$Y$3:$Y$41</definedName>
    <definedName name="Prov_DKI_Jakarta">SOURCE!$L$3:$L$41</definedName>
    <definedName name="Prov_Gorontalo">SOURCE!$AN$3:$AN$41</definedName>
    <definedName name="Prov_Jambi">SOURCE!$Q$3:$Q$41</definedName>
    <definedName name="Prov_Jawa_Barat">SOURCE!$W$3:$W$41</definedName>
    <definedName name="Prov_Jawa_Tengah">SOURCE!$X$3:$X$41</definedName>
    <definedName name="Prov_Jawa_Timur">SOURCE!$Z$3:$Z$41</definedName>
    <definedName name="Prov_Kalimantan_Barat">SOURCE!$AE$3:$AE$41</definedName>
    <definedName name="Prov_Kalimantan_Selatan">SOURCE!$AG$3:$AG$41</definedName>
    <definedName name="Prov_Kalimantan_Tengah">SOURCE!$AF$3:$AF$41</definedName>
    <definedName name="Prov_Kalimantan_Timur">SOURCE!$AH$3:$AH$41</definedName>
    <definedName name="Prov_Kalimantan_Utara">SOURCE!$AI$3:$AI$41</definedName>
    <definedName name="Prov_Kepulauan_Bangka_Belitung">SOURCE!$U$3:$U$41</definedName>
    <definedName name="Prov_Kepulauan_Riau">SOURCE!$V$3:$V$41</definedName>
    <definedName name="Prov_Lampung">SOURCE!$T$3:$T$41</definedName>
    <definedName name="Prov_Maluku">SOURCE!$AP$3:$AP$41</definedName>
    <definedName name="Prov_Maluku_Utara">SOURCE!$AQ$3:$AQ$41</definedName>
    <definedName name="Prov_Nanggroe_Aceh_Darussalam">SOURCE!$M$3:$M$41</definedName>
    <definedName name="Prov_Nusa_Tenggara_Barat">SOURCE!$AC$3:$AC$41</definedName>
    <definedName name="Prov_Nusa_Tenggara_Timur">SOURCE!$AD$3:$AD$41</definedName>
    <definedName name="Prov_Papua">SOURCE!$AS$3:$AS$41</definedName>
    <definedName name="Prov_Papua_Barat">SOURCE!$AR$3:$AR$41</definedName>
    <definedName name="Prov_Riau">SOURCE!$P$3:$P$41</definedName>
    <definedName name="Prov_Sulawesi_Barat">SOURCE!$AO$3:$AO$41</definedName>
    <definedName name="Prov_Sulawesi_Selatan">SOURCE!$AL$3:$AL$41</definedName>
    <definedName name="Prov_Sulawesi_Tengah">SOURCE!$AK$3:$AK$41</definedName>
    <definedName name="Prov_Sulawesi_Tenggara">SOURCE!$AM$3:$AM$41</definedName>
    <definedName name="Prov_Sulawesi_Utara">SOURCE!$AJ$3:$AJ$41</definedName>
    <definedName name="Prov_Sumatera_Barat">SOURCE!$O$3:$O$41</definedName>
    <definedName name="Prov_Sumatera_Selatan">SOURCE!$R$3:$R$41</definedName>
    <definedName name="Prov_Sumatera_Utara">SOURCE!$N$3:$N$41</definedName>
    <definedName name="RANGKA_ATAP_GDG_4LT">SOURCE!$CC$20:$CC$24</definedName>
    <definedName name="RANGKA_ATAP_GDG_8LT">SOURCE!$CF$20:$CF$24</definedName>
    <definedName name="RANGKA_ATAP_GDG_9LT">SOURCE!$CI$20:$CI$24</definedName>
    <definedName name="RANGKA_ATAP_GUDANG">SOURCE!$BZ$20:$BZ$24</definedName>
    <definedName name="RANGKA_ATAP_RT_MNG">SOURCE!$BQ$20:$BQ$24</definedName>
    <definedName name="RANGKA_ATAP_RT_MWH">SOURCE!$BN$20:$BN$24</definedName>
    <definedName name="RANGKA_ATAP_RT_SDN">SOURCE!$BT$20:$BT$24</definedName>
    <definedName name="RANGKA_ATAP_SEMI_P">SOURCE!$BW$20:$BW$24</definedName>
    <definedName name="SISTEM_KOLAM_RENANG">SOURCE!#REF!</definedName>
    <definedName name="STATUS_OBYEK">SOURCE!$B$89:$B$99</definedName>
    <definedName name="STRUKTUR_GDG_4LT">SOURCE!$CC$14:$CC$18</definedName>
    <definedName name="STRUKTUR_GDG_8LT">SOURCE!$CF$14:$CF$18</definedName>
    <definedName name="STRUKTUR_GDG_9LT">SOURCE!$CI$14:$CI$18</definedName>
    <definedName name="STRUKTUR_GUDANG">SOURCE!$BZ$14:$BZ$18</definedName>
    <definedName name="STRUKTUR_RT_MNG">SOURCE!$BQ$14:$BQ$18</definedName>
    <definedName name="STRUKTUR_RT_MWH">SOURCE!$BN$14:$BN$18</definedName>
    <definedName name="STRUKTUR_RT_SDN">SOURCE!$BT$14:$BT$18</definedName>
    <definedName name="STRUKTUR_SEMI_P">SOURCE!$BW$14:$BW$18</definedName>
    <definedName name="SURAT_PENUGASAN">SOURCE!$B$102:$B$112</definedName>
    <definedName name="TERAS_BANGUNAN">SOURCE!$CQ$88:$CQ$94</definedName>
    <definedName name="TIPE_BANGUNAN">SOURCE!$E$3:$E$58</definedName>
    <definedName name="TIPE_BANGUNAN_MAPPI">SOURCE!$BA$4:$BA$12</definedName>
    <definedName name="TOPOGRAFI___KONTUR_TANAH">SOURCE!#REF!</definedName>
    <definedName name="TUJUAN_PENILAIAN">SOURCE!#REF!</definedName>
    <definedName name="UEKO_BGN_GEDUNG_PEMERINTAH">SOURCE!$AX$29:$AX$31</definedName>
    <definedName name="UEKO_BGN_HOTEL___MOTEL">SOURCE!$AX$34:$AX$37</definedName>
    <definedName name="UEKO_BGN_INDUSTRI_DAN_GUDANG">SOURCE!$AX$40:$AX$42</definedName>
    <definedName name="UEKO_BGN_KANTOR">SOURCE!$AX$24:$AX$26</definedName>
    <definedName name="UEKO_BGN_KAWASAN_PERKEBUNAN">SOURCE!$AX$45:$AX$49</definedName>
    <definedName name="UEKO_BGN_PUSAT_PERBELANJAAN">SOURCE!$AX$17:$AX$21</definedName>
    <definedName name="UEKO_BGN_RUMAH_SUSUN">SOURCE!$AX$12:$AX$14</definedName>
    <definedName name="UEKO_BGN_RUMAH_TINGGAL">SOURCE!$AX$4:$AX$9</definedName>
    <definedName name="Umur" localSheetId="8">#REF!</definedName>
    <definedName name="Umur" localSheetId="15">#REF!</definedName>
    <definedName name="Umur" localSheetId="3">#REF!</definedName>
    <definedName name="Umur" localSheetId="13">#REF!</definedName>
    <definedName name="Umur" localSheetId="14">#REF!</definedName>
    <definedName name="Umur" localSheetId="7">#REF!</definedName>
    <definedName name="Umur">#REF!</definedName>
    <definedName name="UMUR_EKONOMIS_BANGUNAN">SOURCE!$AU$4:$AU$12</definedName>
    <definedName name="UNIT_PEMANAS_AIR">SOURCE!#REF!</definedName>
    <definedName name="UNIT_PENANGKAL_PETIR">SOURCE!#REF!</definedName>
    <definedName name="wilayah" localSheetId="8">#REF!</definedName>
    <definedName name="wilayah" localSheetId="15">#REF!</definedName>
    <definedName name="wilayah" localSheetId="3">#REF!</definedName>
    <definedName name="wilayah" localSheetId="13">#REF!</definedName>
    <definedName name="wilayah" localSheetId="14">#REF!</definedName>
    <definedName name="wilayah" localSheetId="7">#REF!</definedName>
    <definedName name="wilayah">#REF!</definedName>
    <definedName name="ZONING_TATA_KOTA">SOURCE!$C$76:$C$114</definedName>
  </definedNames>
  <calcPr calcId="144525"/>
</workbook>
</file>

<file path=xl/calcChain.xml><?xml version="1.0" encoding="utf-8"?>
<calcChain xmlns="http://schemas.openxmlformats.org/spreadsheetml/2006/main">
  <c r="E21" i="20" l="1"/>
  <c r="D21" i="20"/>
  <c r="E18" i="20"/>
  <c r="D18" i="20"/>
  <c r="B17" i="20"/>
  <c r="D16" i="20"/>
  <c r="B16" i="20"/>
  <c r="B12" i="20"/>
  <c r="B11" i="20"/>
  <c r="B10" i="20"/>
  <c r="B9" i="20"/>
  <c r="B8" i="20"/>
  <c r="B6" i="20"/>
  <c r="B5" i="20"/>
  <c r="B4" i="20"/>
  <c r="B3" i="20"/>
  <c r="E2" i="20"/>
  <c r="B2" i="20"/>
  <c r="B22" i="20"/>
  <c r="A12" i="20"/>
  <c r="A11" i="20"/>
  <c r="A10" i="20"/>
  <c r="A9" i="20"/>
  <c r="A8" i="20"/>
  <c r="A7" i="20"/>
  <c r="A6" i="20"/>
  <c r="A5" i="20"/>
  <c r="A4" i="20"/>
  <c r="A3" i="20"/>
  <c r="P16" i="18"/>
  <c r="R3" i="14"/>
  <c r="AP16" i="18"/>
  <c r="AP17" i="18"/>
  <c r="V14" i="6"/>
  <c r="V16" i="6"/>
  <c r="U20" i="12"/>
  <c r="R68" i="14"/>
  <c r="T133" i="14"/>
  <c r="L68" i="14"/>
  <c r="U133" i="14"/>
  <c r="R70" i="14"/>
  <c r="DT50" i="6"/>
  <c r="DH50" i="6"/>
  <c r="CV50" i="6"/>
  <c r="DV49" i="6"/>
  <c r="DJ49" i="6"/>
  <c r="CX49" i="6"/>
  <c r="DV48" i="6"/>
  <c r="DJ48" i="6"/>
  <c r="CX48" i="6"/>
  <c r="DV47" i="6"/>
  <c r="DJ47" i="6"/>
  <c r="CX47" i="6"/>
  <c r="DV46" i="6"/>
  <c r="DJ46" i="6"/>
  <c r="CX46" i="6"/>
  <c r="DV45" i="6"/>
  <c r="DJ45" i="6"/>
  <c r="CX45" i="6"/>
  <c r="DV44" i="6"/>
  <c r="DJ44" i="6"/>
  <c r="CX44" i="6"/>
  <c r="DV43" i="6"/>
  <c r="DJ43" i="6"/>
  <c r="CX43" i="6"/>
  <c r="DV42" i="6"/>
  <c r="DJ42" i="6"/>
  <c r="CX42" i="6"/>
  <c r="DV41" i="6"/>
  <c r="DJ41" i="6"/>
  <c r="CX41" i="6"/>
  <c r="DV40" i="6"/>
  <c r="DJ40" i="6"/>
  <c r="CX40" i="6"/>
  <c r="DV39" i="6"/>
  <c r="DV50" i="6"/>
  <c r="DV92" i="6"/>
  <c r="DJ39" i="6"/>
  <c r="DJ50" i="6"/>
  <c r="DJ92" i="6"/>
  <c r="CX39" i="6"/>
  <c r="DT33" i="6"/>
  <c r="DT34" i="6"/>
  <c r="DH33" i="6"/>
  <c r="DH34" i="6"/>
  <c r="DH35" i="6"/>
  <c r="DH36" i="6"/>
  <c r="CV33" i="6"/>
  <c r="CV34" i="6"/>
  <c r="DT30" i="6"/>
  <c r="DT38" i="6"/>
  <c r="DH30" i="6"/>
  <c r="DH38" i="6"/>
  <c r="CV30" i="6"/>
  <c r="CV38" i="6"/>
  <c r="DT16" i="6"/>
  <c r="DT35" i="6"/>
  <c r="DT36" i="6"/>
  <c r="DX48" i="6"/>
  <c r="EB48" i="6"/>
  <c r="DH16" i="6"/>
  <c r="CV16" i="6"/>
  <c r="CV35" i="6"/>
  <c r="CV36" i="6"/>
  <c r="BW44" i="6"/>
  <c r="BW45" i="6"/>
  <c r="BW46" i="6"/>
  <c r="BW47" i="6"/>
  <c r="BW48" i="6"/>
  <c r="BW49" i="6"/>
  <c r="BW43" i="6"/>
  <c r="CG50" i="6"/>
  <c r="BU50" i="6"/>
  <c r="BI50" i="6"/>
  <c r="CI49" i="6"/>
  <c r="BK49" i="6"/>
  <c r="CI48" i="6"/>
  <c r="BK48" i="6"/>
  <c r="CI47" i="6"/>
  <c r="BK47" i="6"/>
  <c r="CI46" i="6"/>
  <c r="BK46" i="6"/>
  <c r="CI45" i="6"/>
  <c r="BK45" i="6"/>
  <c r="CI44" i="6"/>
  <c r="BK44" i="6"/>
  <c r="CI43" i="6"/>
  <c r="BK43" i="6"/>
  <c r="CI42" i="6"/>
  <c r="BW42" i="6"/>
  <c r="BK42" i="6"/>
  <c r="CI41" i="6"/>
  <c r="BW41" i="6"/>
  <c r="BW50" i="6"/>
  <c r="BW92" i="6"/>
  <c r="BK41" i="6"/>
  <c r="CI40" i="6"/>
  <c r="BW40" i="6"/>
  <c r="BK40" i="6"/>
  <c r="CI39" i="6"/>
  <c r="BW39" i="6"/>
  <c r="BK39" i="6"/>
  <c r="CG33" i="6"/>
  <c r="CG34" i="6"/>
  <c r="CG35" i="6"/>
  <c r="CG36" i="6"/>
  <c r="BU33" i="6"/>
  <c r="BU34" i="6"/>
  <c r="BI33" i="6"/>
  <c r="BI34" i="6"/>
  <c r="BI35" i="6"/>
  <c r="BI36" i="6"/>
  <c r="CG30" i="6"/>
  <c r="CG38" i="6"/>
  <c r="BU30" i="6"/>
  <c r="BU38" i="6"/>
  <c r="BI30" i="6"/>
  <c r="BI38" i="6"/>
  <c r="CG16" i="6"/>
  <c r="BU16" i="6"/>
  <c r="BU35" i="6"/>
  <c r="BU36" i="6"/>
  <c r="BI16" i="6"/>
  <c r="CX50" i="6"/>
  <c r="CX92" i="6"/>
  <c r="BK50" i="6"/>
  <c r="BK92" i="6"/>
  <c r="DX49" i="6"/>
  <c r="EB49" i="6"/>
  <c r="DX45" i="6"/>
  <c r="EB45" i="6"/>
  <c r="DX41" i="6"/>
  <c r="EB41" i="6"/>
  <c r="CI50" i="6"/>
  <c r="CI92" i="6"/>
  <c r="K23" i="6"/>
  <c r="K28" i="6"/>
  <c r="K29" i="6"/>
  <c r="K26" i="6"/>
  <c r="K24" i="6"/>
  <c r="M28" i="4"/>
  <c r="O28" i="4"/>
  <c r="AE14" i="13"/>
  <c r="Q31" i="4"/>
  <c r="AK110" i="11"/>
  <c r="AT30" i="6"/>
  <c r="AH30" i="6"/>
  <c r="V30" i="6"/>
  <c r="AT16" i="6"/>
  <c r="AH16" i="6"/>
  <c r="AW127" i="11"/>
  <c r="AD38" i="18"/>
  <c r="AZ36" i="18"/>
  <c r="AZ39" i="18"/>
  <c r="AD31" i="18"/>
  <c r="AZ30" i="18"/>
  <c r="AZ29" i="18"/>
  <c r="AZ32" i="18"/>
  <c r="AZ37" i="18"/>
  <c r="AD29" i="18"/>
  <c r="AD32" i="18"/>
  <c r="AD33" i="18"/>
  <c r="AP33" i="18"/>
  <c r="AD36" i="18"/>
  <c r="AD39" i="18"/>
  <c r="AD40" i="18"/>
  <c r="AD30" i="18"/>
  <c r="T32" i="18"/>
  <c r="T33" i="18"/>
  <c r="AD37" i="18"/>
  <c r="T39" i="18"/>
  <c r="T40" i="18"/>
  <c r="J7" i="13"/>
  <c r="D7" i="13"/>
  <c r="J6" i="13"/>
  <c r="D6" i="13"/>
  <c r="G12" i="13"/>
  <c r="Z13" i="13"/>
  <c r="J7" i="12"/>
  <c r="D7" i="12"/>
  <c r="J6" i="12"/>
  <c r="D6" i="12"/>
  <c r="J38" i="8"/>
  <c r="J39" i="8"/>
  <c r="J40" i="8"/>
  <c r="J41" i="8"/>
  <c r="J37" i="8"/>
  <c r="R5" i="14"/>
  <c r="L7" i="11"/>
  <c r="S4" i="15"/>
  <c r="N4" i="15"/>
  <c r="D7" i="11"/>
  <c r="D4" i="8"/>
  <c r="L19" i="19"/>
  <c r="N6" i="15"/>
  <c r="S6" i="15"/>
  <c r="I120" i="5"/>
  <c r="C125" i="5"/>
  <c r="E61" i="18"/>
  <c r="Z137" i="5"/>
  <c r="I121" i="5"/>
  <c r="AQ57" i="18"/>
  <c r="AQ56" i="18"/>
  <c r="AS19" i="4"/>
  <c r="BS51" i="1"/>
  <c r="BS52" i="1"/>
  <c r="BS53" i="1"/>
  <c r="BS54" i="1"/>
  <c r="BS50" i="1"/>
  <c r="AA75" i="4"/>
  <c r="K49" i="1"/>
  <c r="D16" i="18"/>
  <c r="N31" i="8"/>
  <c r="E31" i="8"/>
  <c r="E56" i="18"/>
  <c r="C19" i="4"/>
  <c r="P58" i="4"/>
  <c r="G58" i="4"/>
  <c r="P57" i="4"/>
  <c r="C50" i="4"/>
  <c r="AP19" i="4"/>
  <c r="AJ18" i="4"/>
  <c r="K54" i="1"/>
  <c r="AJ17" i="4"/>
  <c r="K53" i="1"/>
  <c r="AJ16" i="4"/>
  <c r="K52" i="1"/>
  <c r="AJ15" i="4"/>
  <c r="K51" i="1"/>
  <c r="AJ14" i="4"/>
  <c r="K50" i="1"/>
  <c r="C12" i="4"/>
  <c r="E57" i="18"/>
  <c r="S126" i="5"/>
  <c r="G46" i="17"/>
  <c r="L7" i="5"/>
  <c r="Z67" i="13"/>
  <c r="AJ21" i="4"/>
  <c r="Z16" i="13"/>
  <c r="AJ19" i="4"/>
  <c r="AI29" i="4"/>
  <c r="G45" i="17"/>
  <c r="Z15" i="13"/>
  <c r="AI32" i="4"/>
  <c r="Z19" i="13"/>
  <c r="K21" i="6"/>
  <c r="Z66" i="13"/>
  <c r="N8" i="7"/>
  <c r="N7" i="7"/>
  <c r="AB7" i="7"/>
  <c r="AD25" i="5"/>
  <c r="N30" i="8"/>
  <c r="N27" i="8"/>
  <c r="CF50" i="1"/>
  <c r="BY50" i="1"/>
  <c r="AI17" i="12"/>
  <c r="AY46" i="15"/>
  <c r="AY45" i="15"/>
  <c r="AB8" i="7"/>
  <c r="W80" i="13"/>
  <c r="Q8" i="7"/>
  <c r="AY47" i="15"/>
  <c r="J57" i="6"/>
  <c r="J58" i="6"/>
  <c r="J59" i="6"/>
  <c r="J60" i="6"/>
  <c r="J56" i="6"/>
  <c r="G57" i="6"/>
  <c r="G58" i="6"/>
  <c r="G59" i="6"/>
  <c r="G60" i="6"/>
  <c r="G56" i="6"/>
  <c r="D57" i="6"/>
  <c r="D58" i="6"/>
  <c r="D59" i="6"/>
  <c r="D60" i="6"/>
  <c r="D56" i="6"/>
  <c r="L21" i="19"/>
  <c r="L22" i="19"/>
  <c r="K45" i="6"/>
  <c r="AI18" i="12"/>
  <c r="AI16" i="12"/>
  <c r="U26" i="12"/>
  <c r="AB26" i="12"/>
  <c r="AI26" i="12"/>
  <c r="E44" i="18"/>
  <c r="G48" i="17"/>
  <c r="AB13" i="7"/>
  <c r="AB12" i="7"/>
  <c r="AB11" i="7"/>
  <c r="AI11" i="7"/>
  <c r="N19" i="7"/>
  <c r="N13" i="7"/>
  <c r="N12" i="7"/>
  <c r="N10" i="7"/>
  <c r="AB10" i="7"/>
  <c r="AI10" i="7"/>
  <c r="AU3" i="7"/>
  <c r="AP66" i="18"/>
  <c r="AQ55" i="17"/>
  <c r="AP95" i="11"/>
  <c r="G52" i="17"/>
  <c r="G51" i="17"/>
  <c r="Z69" i="13"/>
  <c r="Z68" i="13"/>
  <c r="Z65" i="13"/>
  <c r="Z64" i="13"/>
  <c r="Z18" i="13"/>
  <c r="Z17" i="13"/>
  <c r="Z14" i="13"/>
  <c r="G63" i="13"/>
  <c r="D60" i="13"/>
  <c r="AD59" i="13"/>
  <c r="J59" i="13"/>
  <c r="D59" i="13"/>
  <c r="AD58" i="13"/>
  <c r="V58" i="13"/>
  <c r="J58" i="13"/>
  <c r="D58" i="13"/>
  <c r="E36" i="8"/>
  <c r="K19" i="6"/>
  <c r="AD8" i="8"/>
  <c r="N8" i="8"/>
  <c r="N14" i="8"/>
  <c r="N20" i="8"/>
  <c r="E30" i="8"/>
  <c r="C55" i="12"/>
  <c r="D21" i="12"/>
  <c r="D16" i="12"/>
  <c r="D17" i="12"/>
  <c r="D18" i="12"/>
  <c r="D15" i="12"/>
  <c r="D14" i="12"/>
  <c r="D13" i="12"/>
  <c r="D27" i="12"/>
  <c r="D28" i="12"/>
  <c r="D29" i="12"/>
  <c r="D30" i="12"/>
  <c r="D31" i="12"/>
  <c r="D26" i="12"/>
  <c r="D24" i="12"/>
  <c r="D25" i="12"/>
  <c r="D23" i="12"/>
  <c r="D35" i="12"/>
  <c r="D36" i="12"/>
  <c r="D34" i="12"/>
  <c r="D33" i="12"/>
  <c r="D41" i="12"/>
  <c r="D42" i="12"/>
  <c r="D43" i="12"/>
  <c r="D44" i="12"/>
  <c r="D45" i="12"/>
  <c r="D46" i="12"/>
  <c r="D47" i="12"/>
  <c r="D48" i="12"/>
  <c r="D49" i="12"/>
  <c r="D50" i="12"/>
  <c r="D40" i="12"/>
  <c r="N50" i="12"/>
  <c r="N29" i="12"/>
  <c r="N27" i="12"/>
  <c r="AB13" i="12"/>
  <c r="AI13" i="12"/>
  <c r="AB14" i="12"/>
  <c r="AI14" i="12"/>
  <c r="AB15" i="12"/>
  <c r="AI15" i="12"/>
  <c r="AB16" i="12"/>
  <c r="AB17" i="12"/>
  <c r="AB18" i="12"/>
  <c r="AB19" i="12"/>
  <c r="AI19" i="12"/>
  <c r="AB21" i="12"/>
  <c r="AI21" i="12"/>
  <c r="W81" i="13"/>
  <c r="W82" i="13"/>
  <c r="W83" i="13"/>
  <c r="W86" i="13"/>
  <c r="W89" i="13"/>
  <c r="W90" i="13"/>
  <c r="AP79" i="13"/>
  <c r="AP80" i="13"/>
  <c r="AP81" i="13"/>
  <c r="D81" i="13"/>
  <c r="AP82" i="13"/>
  <c r="AP83" i="13"/>
  <c r="AP84" i="13"/>
  <c r="AP85" i="13"/>
  <c r="D85" i="13"/>
  <c r="AP86" i="13"/>
  <c r="D86" i="13"/>
  <c r="AP87" i="13"/>
  <c r="AP88" i="13"/>
  <c r="AP89" i="13"/>
  <c r="D89" i="13"/>
  <c r="AP90" i="13"/>
  <c r="AP91" i="13"/>
  <c r="AP92" i="13"/>
  <c r="AP93" i="13"/>
  <c r="AP78" i="13"/>
  <c r="AP28" i="13"/>
  <c r="AP29" i="13"/>
  <c r="AP30" i="13"/>
  <c r="D30" i="13"/>
  <c r="AP31" i="13"/>
  <c r="AP32" i="13"/>
  <c r="AP33" i="13"/>
  <c r="AP34" i="13"/>
  <c r="AP35" i="13"/>
  <c r="AP36" i="13"/>
  <c r="AP37" i="13"/>
  <c r="AP38" i="13"/>
  <c r="D38" i="13"/>
  <c r="AP39" i="13"/>
  <c r="AP40" i="13"/>
  <c r="AL49" i="5"/>
  <c r="AL48" i="5"/>
  <c r="V50" i="6"/>
  <c r="N7" i="4"/>
  <c r="AE7" i="4"/>
  <c r="N31" i="12"/>
  <c r="N30" i="12"/>
  <c r="N28" i="12"/>
  <c r="N26" i="12"/>
  <c r="N16" i="7"/>
  <c r="N15" i="7"/>
  <c r="D80" i="13"/>
  <c r="W79" i="13"/>
  <c r="K20" i="6"/>
  <c r="AI41" i="12"/>
  <c r="AI42" i="12"/>
  <c r="AI43" i="12"/>
  <c r="AI44" i="12"/>
  <c r="AI45" i="12"/>
  <c r="AI46" i="12"/>
  <c r="AI47" i="12"/>
  <c r="AI48" i="12"/>
  <c r="AI49" i="12"/>
  <c r="AI50" i="12"/>
  <c r="AI40" i="12"/>
  <c r="AB41" i="12"/>
  <c r="AB42" i="12"/>
  <c r="AB43" i="12"/>
  <c r="AB44" i="12"/>
  <c r="AB45" i="12"/>
  <c r="AB46" i="12"/>
  <c r="AB47" i="12"/>
  <c r="AB48" i="12"/>
  <c r="AB49" i="12"/>
  <c r="AB50" i="12"/>
  <c r="AB40" i="12"/>
  <c r="U41" i="12"/>
  <c r="U42" i="12"/>
  <c r="U43" i="12"/>
  <c r="U44" i="12"/>
  <c r="U45" i="12"/>
  <c r="U46" i="12"/>
  <c r="U47" i="12"/>
  <c r="U48" i="12"/>
  <c r="U49" i="12"/>
  <c r="U50" i="12"/>
  <c r="U40" i="12"/>
  <c r="AI31" i="12"/>
  <c r="AI30" i="12"/>
  <c r="AI29" i="12"/>
  <c r="AI28" i="12"/>
  <c r="AI27" i="12"/>
  <c r="AI24" i="12"/>
  <c r="AI25" i="12"/>
  <c r="AI23" i="12"/>
  <c r="AB31" i="12"/>
  <c r="AB30" i="12"/>
  <c r="AB29" i="12"/>
  <c r="AB28" i="12"/>
  <c r="AB27" i="12"/>
  <c r="AB24" i="12"/>
  <c r="AB25" i="12"/>
  <c r="AB23" i="12"/>
  <c r="U31" i="12"/>
  <c r="U30" i="12"/>
  <c r="U29" i="12"/>
  <c r="U28" i="12"/>
  <c r="U27" i="12"/>
  <c r="U24" i="12"/>
  <c r="U25" i="12"/>
  <c r="U23" i="12"/>
  <c r="N24" i="12"/>
  <c r="AI33" i="12"/>
  <c r="AB33" i="12"/>
  <c r="U33" i="12"/>
  <c r="U17" i="12"/>
  <c r="U16" i="12"/>
  <c r="U18" i="12"/>
  <c r="U19" i="12"/>
  <c r="U21" i="12"/>
  <c r="U15" i="12"/>
  <c r="U14" i="12"/>
  <c r="U13" i="12"/>
  <c r="N33" i="8"/>
  <c r="N32" i="8"/>
  <c r="N15" i="8"/>
  <c r="L8" i="11"/>
  <c r="S11" i="11"/>
  <c r="S10" i="11"/>
  <c r="S9" i="11"/>
  <c r="D7" i="4"/>
  <c r="W37" i="13"/>
  <c r="W36" i="13"/>
  <c r="W30" i="13"/>
  <c r="W29" i="13"/>
  <c r="D29" i="13"/>
  <c r="C41" i="13"/>
  <c r="D90" i="13"/>
  <c r="D37" i="13"/>
  <c r="D36" i="13"/>
  <c r="N15" i="12"/>
  <c r="AK113" i="11"/>
  <c r="P15" i="18"/>
  <c r="AP92" i="11"/>
  <c r="AP40" i="11"/>
  <c r="AT40" i="11"/>
  <c r="N23" i="8"/>
  <c r="AM26" i="7"/>
  <c r="AE26" i="7"/>
  <c r="AI26" i="7"/>
  <c r="AO26" i="7"/>
  <c r="AS26" i="7"/>
  <c r="AB26" i="7"/>
  <c r="S26" i="7"/>
  <c r="C26" i="7"/>
  <c r="AM25" i="7"/>
  <c r="AO25" i="7"/>
  <c r="AS25" i="7"/>
  <c r="AB25" i="7"/>
  <c r="AI25" i="7"/>
  <c r="C25" i="7"/>
  <c r="AM24" i="7"/>
  <c r="AE24" i="7"/>
  <c r="AB24" i="7"/>
  <c r="C24" i="7"/>
  <c r="AM23" i="7"/>
  <c r="AE23" i="7"/>
  <c r="AB23" i="7"/>
  <c r="C23" i="7"/>
  <c r="B20" i="7"/>
  <c r="AB19" i="7"/>
  <c r="AB18" i="7"/>
  <c r="W92" i="13"/>
  <c r="AB17" i="7"/>
  <c r="W91" i="13"/>
  <c r="AI16" i="7"/>
  <c r="Z90" i="13"/>
  <c r="AI15" i="7"/>
  <c r="AB14" i="7"/>
  <c r="AI14" i="7"/>
  <c r="N26" i="7"/>
  <c r="W33" i="13"/>
  <c r="N23" i="7"/>
  <c r="AI9" i="7"/>
  <c r="Z30" i="13"/>
  <c r="AI8" i="7"/>
  <c r="AT50" i="6"/>
  <c r="AI51" i="12"/>
  <c r="AH50" i="6"/>
  <c r="AB51" i="12"/>
  <c r="U51" i="12"/>
  <c r="AV49" i="6"/>
  <c r="AJ49" i="6"/>
  <c r="X49" i="6"/>
  <c r="AV48" i="6"/>
  <c r="AJ48" i="6"/>
  <c r="X48" i="6"/>
  <c r="AV47" i="6"/>
  <c r="AJ47" i="6"/>
  <c r="X47" i="6"/>
  <c r="AV46" i="6"/>
  <c r="AJ46" i="6"/>
  <c r="X46" i="6"/>
  <c r="AV45" i="6"/>
  <c r="AJ45" i="6"/>
  <c r="X45" i="6"/>
  <c r="AV44" i="6"/>
  <c r="AJ44" i="6"/>
  <c r="X44" i="6"/>
  <c r="AV43" i="6"/>
  <c r="AJ43" i="6"/>
  <c r="X43" i="6"/>
  <c r="AV42" i="6"/>
  <c r="AJ42" i="6"/>
  <c r="X42" i="6"/>
  <c r="AV41" i="6"/>
  <c r="AJ41" i="6"/>
  <c r="X41" i="6"/>
  <c r="AV40" i="6"/>
  <c r="AJ40" i="6"/>
  <c r="AJ50" i="6"/>
  <c r="AJ92" i="6"/>
  <c r="X40" i="6"/>
  <c r="AV39" i="6"/>
  <c r="AJ39" i="6"/>
  <c r="X39" i="6"/>
  <c r="X50" i="6"/>
  <c r="X92" i="6"/>
  <c r="AH38" i="6"/>
  <c r="AT33" i="6"/>
  <c r="AI34" i="12"/>
  <c r="AH33" i="6"/>
  <c r="AB34" i="12"/>
  <c r="V33" i="6"/>
  <c r="U34" i="12"/>
  <c r="AT38" i="6"/>
  <c r="V38" i="6"/>
  <c r="N23" i="12"/>
  <c r="AI20" i="12"/>
  <c r="AB20" i="12"/>
  <c r="K12" i="6"/>
  <c r="K11" i="6"/>
  <c r="K10" i="6"/>
  <c r="K8" i="6"/>
  <c r="AD40" i="5"/>
  <c r="AD39" i="5"/>
  <c r="AD38" i="5"/>
  <c r="AD37" i="5"/>
  <c r="R155" i="4"/>
  <c r="I150" i="4"/>
  <c r="X150" i="4"/>
  <c r="I145" i="4"/>
  <c r="X145" i="4"/>
  <c r="I139" i="4"/>
  <c r="X139" i="4"/>
  <c r="X135" i="4"/>
  <c r="Z29" i="13"/>
  <c r="Z81" i="13"/>
  <c r="Z83" i="13"/>
  <c r="W84" i="13"/>
  <c r="D84" i="13"/>
  <c r="W88" i="13"/>
  <c r="D88" i="13"/>
  <c r="AI18" i="7"/>
  <c r="Z39" i="13"/>
  <c r="AI19" i="7"/>
  <c r="Z40" i="13"/>
  <c r="W93" i="13"/>
  <c r="W78" i="13"/>
  <c r="D78" i="13"/>
  <c r="Z82" i="13"/>
  <c r="W85" i="13"/>
  <c r="AI13" i="7"/>
  <c r="Z34" i="13"/>
  <c r="W87" i="13"/>
  <c r="D87" i="13"/>
  <c r="AO15" i="7"/>
  <c r="AS15" i="7"/>
  <c r="Z89" i="13"/>
  <c r="AI17" i="7"/>
  <c r="Z38" i="13"/>
  <c r="D91" i="13"/>
  <c r="AL50" i="5"/>
  <c r="AI23" i="7"/>
  <c r="AO23" i="7"/>
  <c r="AS23" i="7"/>
  <c r="AO9" i="7"/>
  <c r="AS9" i="7"/>
  <c r="AJ30" i="13"/>
  <c r="W32" i="13"/>
  <c r="D32" i="13"/>
  <c r="W39" i="13"/>
  <c r="D39" i="13"/>
  <c r="Z36" i="13"/>
  <c r="J61" i="6"/>
  <c r="W34" i="13"/>
  <c r="D34" i="13"/>
  <c r="W38" i="13"/>
  <c r="W40" i="13"/>
  <c r="D40" i="13"/>
  <c r="Z32" i="13"/>
  <c r="AI24" i="7"/>
  <c r="AO24" i="7"/>
  <c r="AS24" i="7"/>
  <c r="AI12" i="7"/>
  <c r="Z31" i="13"/>
  <c r="W31" i="13"/>
  <c r="D31" i="13"/>
  <c r="AD34" i="5"/>
  <c r="L25" i="19"/>
  <c r="AT34" i="6"/>
  <c r="AI35" i="12"/>
  <c r="V34" i="6"/>
  <c r="U35" i="12"/>
  <c r="AH34" i="6"/>
  <c r="AB35" i="12"/>
  <c r="L133" i="14"/>
  <c r="D79" i="13"/>
  <c r="D83" i="13"/>
  <c r="D82" i="13"/>
  <c r="AV50" i="6"/>
  <c r="AV92" i="6"/>
  <c r="X132" i="4"/>
  <c r="CO45" i="1"/>
  <c r="CO43" i="1"/>
  <c r="CO41" i="1"/>
  <c r="V35" i="6"/>
  <c r="U36" i="12"/>
  <c r="AH35" i="6"/>
  <c r="AH36" i="6"/>
  <c r="V36" i="6"/>
  <c r="U37" i="12"/>
  <c r="N21" i="8"/>
  <c r="J60" i="13"/>
  <c r="AJ36" i="13"/>
  <c r="AJ89" i="13"/>
  <c r="Z86" i="13"/>
  <c r="AE78" i="13"/>
  <c r="AE94" i="13"/>
  <c r="AJ82" i="13"/>
  <c r="AE30" i="13"/>
  <c r="AE83" i="13"/>
  <c r="AO14" i="7"/>
  <c r="Z88" i="13"/>
  <c r="AE81" i="13"/>
  <c r="AO17" i="7"/>
  <c r="Z91" i="13"/>
  <c r="AE36" i="13"/>
  <c r="AE89" i="13"/>
  <c r="AO13" i="7"/>
  <c r="AS13" i="7"/>
  <c r="Z87" i="13"/>
  <c r="AO11" i="7"/>
  <c r="Z85" i="13"/>
  <c r="AE82" i="13"/>
  <c r="Z78" i="13"/>
  <c r="Z94" i="13"/>
  <c r="AO19" i="7"/>
  <c r="AE40" i="13"/>
  <c r="Z93" i="13"/>
  <c r="Z92" i="13"/>
  <c r="AO10" i="7"/>
  <c r="Z84" i="13"/>
  <c r="Z35" i="13"/>
  <c r="N8" i="4"/>
  <c r="AO12" i="7"/>
  <c r="Z33" i="13"/>
  <c r="AB36" i="12"/>
  <c r="CO95" i="3"/>
  <c r="CO92" i="3"/>
  <c r="CO93" i="3"/>
  <c r="CO94" i="3"/>
  <c r="CO89" i="3"/>
  <c r="CO90" i="3"/>
  <c r="CO91" i="3"/>
  <c r="Z47" i="6"/>
  <c r="AD47" i="6"/>
  <c r="Z48" i="6"/>
  <c r="AD48" i="6"/>
  <c r="Z39" i="6"/>
  <c r="AD39" i="6"/>
  <c r="Z42" i="6"/>
  <c r="AD42" i="6"/>
  <c r="Z46" i="6"/>
  <c r="AD46" i="6"/>
  <c r="Z49" i="6"/>
  <c r="AD49" i="6"/>
  <c r="V51" i="6"/>
  <c r="U52" i="12"/>
  <c r="Z44" i="6"/>
  <c r="AD44" i="6"/>
  <c r="Z43" i="6"/>
  <c r="AD43" i="6"/>
  <c r="Z45" i="6"/>
  <c r="AD45" i="6"/>
  <c r="Z41" i="6"/>
  <c r="AD41" i="6"/>
  <c r="AJ81" i="13"/>
  <c r="AE31" i="13"/>
  <c r="AE84" i="13"/>
  <c r="AS10" i="7"/>
  <c r="AJ84" i="13"/>
  <c r="AE93" i="13"/>
  <c r="AS19" i="7"/>
  <c r="AS11" i="7"/>
  <c r="AE34" i="13"/>
  <c r="AE87" i="13"/>
  <c r="AE38" i="13"/>
  <c r="AE91" i="13"/>
  <c r="AS17" i="7"/>
  <c r="AJ91" i="13"/>
  <c r="AE35" i="13"/>
  <c r="AE88" i="13"/>
  <c r="AS14" i="7"/>
  <c r="AJ35" i="13"/>
  <c r="AJ78" i="13"/>
  <c r="AL41" i="6"/>
  <c r="AP41" i="6"/>
  <c r="AL45" i="6"/>
  <c r="AP45" i="6"/>
  <c r="AL39" i="6"/>
  <c r="AL44" i="6"/>
  <c r="AP44" i="6"/>
  <c r="AP157" i="11"/>
  <c r="BL50" i="1"/>
  <c r="Z70" i="13"/>
  <c r="AJ38" i="13"/>
  <c r="AJ88" i="13"/>
  <c r="AJ40" i="13"/>
  <c r="AJ93" i="13"/>
  <c r="AJ94" i="13"/>
  <c r="N25" i="12"/>
  <c r="AL51" i="5"/>
  <c r="BX79" i="1"/>
  <c r="CO31" i="1"/>
  <c r="CF55" i="1"/>
  <c r="CO62" i="1"/>
  <c r="L65" i="1"/>
  <c r="CO35" i="1"/>
  <c r="BH70" i="1"/>
  <c r="BH69" i="1"/>
  <c r="BY55" i="1"/>
  <c r="AO63" i="1"/>
  <c r="C62" i="1"/>
  <c r="CO76" i="1"/>
  <c r="CO75" i="1"/>
  <c r="CO74" i="1"/>
  <c r="CO73" i="1"/>
  <c r="CO72" i="1"/>
  <c r="CO71" i="1"/>
  <c r="CO70" i="1"/>
  <c r="CO69" i="1"/>
  <c r="BL54" i="1"/>
  <c r="AF119" i="11"/>
  <c r="AO81" i="1"/>
  <c r="L73" i="1"/>
  <c r="L76" i="1"/>
  <c r="L75" i="1"/>
  <c r="L74" i="1"/>
  <c r="L72" i="1"/>
  <c r="L71" i="1"/>
  <c r="L70" i="1"/>
  <c r="L69" i="1"/>
  <c r="CN41" i="3"/>
  <c r="DA290" i="3"/>
  <c r="DA291" i="3"/>
  <c r="DA292" i="3"/>
  <c r="DA293" i="3"/>
  <c r="DA285" i="3"/>
  <c r="DA286" i="3"/>
  <c r="DA287" i="3"/>
  <c r="DA288" i="3"/>
  <c r="DA289" i="3"/>
  <c r="DA299" i="3"/>
  <c r="DA300" i="3"/>
  <c r="DA301" i="3"/>
  <c r="DA302" i="3"/>
  <c r="DA303" i="3"/>
  <c r="DA294" i="3"/>
  <c r="DA295" i="3"/>
  <c r="DA296" i="3"/>
  <c r="DA297" i="3"/>
  <c r="DA298" i="3"/>
  <c r="DA310" i="3"/>
  <c r="DA311" i="3"/>
  <c r="DA312" i="3"/>
  <c r="DA313" i="3"/>
  <c r="DA314" i="3"/>
  <c r="DA304" i="3"/>
  <c r="DA305" i="3"/>
  <c r="DA306" i="3"/>
  <c r="DA307" i="3"/>
  <c r="DA308" i="3"/>
  <c r="DA309" i="3"/>
  <c r="DA327" i="3"/>
  <c r="DA328" i="3"/>
  <c r="DA329" i="3"/>
  <c r="DA330" i="3"/>
  <c r="DA331" i="3"/>
  <c r="DA332" i="3"/>
  <c r="DA333" i="3"/>
  <c r="DA334" i="3"/>
  <c r="DA335" i="3"/>
  <c r="DA336" i="3"/>
  <c r="DA337" i="3"/>
  <c r="DA315" i="3"/>
  <c r="DA316" i="3"/>
  <c r="DA317" i="3"/>
  <c r="DA318" i="3"/>
  <c r="DA319" i="3"/>
  <c r="DA320" i="3"/>
  <c r="DA321" i="3"/>
  <c r="DA322" i="3"/>
  <c r="DA323" i="3"/>
  <c r="DA324" i="3"/>
  <c r="DA325" i="3"/>
  <c r="DA326" i="3"/>
  <c r="DA346" i="3"/>
  <c r="DA347" i="3"/>
  <c r="DA348" i="3"/>
  <c r="DA349" i="3"/>
  <c r="DA350" i="3"/>
  <c r="DA351" i="3"/>
  <c r="DA352" i="3"/>
  <c r="DA338" i="3"/>
  <c r="DA339" i="3"/>
  <c r="DA340" i="3"/>
  <c r="DA341" i="3"/>
  <c r="DA342" i="3"/>
  <c r="DA343" i="3"/>
  <c r="DA344" i="3"/>
  <c r="DA345" i="3"/>
  <c r="DA361" i="3"/>
  <c r="DA362" i="3"/>
  <c r="DA363" i="3"/>
  <c r="DA364" i="3"/>
  <c r="DA365" i="3"/>
  <c r="DA366" i="3"/>
  <c r="DA367" i="3"/>
  <c r="DA353" i="3"/>
  <c r="DA354" i="3"/>
  <c r="DA355" i="3"/>
  <c r="DA356" i="3"/>
  <c r="DA357" i="3"/>
  <c r="DA358" i="3"/>
  <c r="DA359" i="3"/>
  <c r="DA360" i="3"/>
  <c r="DA375" i="3"/>
  <c r="DA376" i="3"/>
  <c r="DA377" i="3"/>
  <c r="DA378" i="3"/>
  <c r="DA379" i="3"/>
  <c r="DA380" i="3"/>
  <c r="DA381" i="3"/>
  <c r="DA368" i="3"/>
  <c r="DA369" i="3"/>
  <c r="DA370" i="3"/>
  <c r="DA371" i="3"/>
  <c r="DA372" i="3"/>
  <c r="DA373" i="3"/>
  <c r="DA374" i="3"/>
  <c r="DA388" i="3"/>
  <c r="DA389" i="3"/>
  <c r="DA390" i="3"/>
  <c r="DA391" i="3"/>
  <c r="DA392" i="3"/>
  <c r="DA382" i="3"/>
  <c r="DA383" i="3"/>
  <c r="DA384" i="3"/>
  <c r="DA385" i="3"/>
  <c r="DA386" i="3"/>
  <c r="DA387" i="3"/>
  <c r="DA396" i="3"/>
  <c r="DA397" i="3"/>
  <c r="DA398" i="3"/>
  <c r="DA393" i="3"/>
  <c r="DA394" i="3"/>
  <c r="DA395" i="3"/>
  <c r="DA407" i="3"/>
  <c r="DA408" i="3"/>
  <c r="DA409" i="3"/>
  <c r="DA410" i="3"/>
  <c r="DA411" i="3"/>
  <c r="DA412" i="3"/>
  <c r="DA413" i="3"/>
  <c r="DA414" i="3"/>
  <c r="DA399" i="3"/>
  <c r="DA400" i="3"/>
  <c r="DA401" i="3"/>
  <c r="DA402" i="3"/>
  <c r="DA403" i="3"/>
  <c r="DA404" i="3"/>
  <c r="DA405" i="3"/>
  <c r="DA406" i="3"/>
  <c r="DA422" i="3"/>
  <c r="DA423" i="3"/>
  <c r="DA424" i="3"/>
  <c r="DA425" i="3"/>
  <c r="DA426" i="3"/>
  <c r="DA427" i="3"/>
  <c r="DA428" i="3"/>
  <c r="DA415" i="3"/>
  <c r="DA416" i="3"/>
  <c r="DA417" i="3"/>
  <c r="DA418" i="3"/>
  <c r="DA419" i="3"/>
  <c r="DA420" i="3"/>
  <c r="DA421" i="3"/>
  <c r="DA442" i="3"/>
  <c r="DA443" i="3"/>
  <c r="DA444" i="3"/>
  <c r="DA445" i="3"/>
  <c r="DA446" i="3"/>
  <c r="DA447" i="3"/>
  <c r="DA448" i="3"/>
  <c r="DA449" i="3"/>
  <c r="DA450" i="3"/>
  <c r="DA451" i="3"/>
  <c r="DA452" i="3"/>
  <c r="DA453" i="3"/>
  <c r="DA429" i="3"/>
  <c r="DA430" i="3"/>
  <c r="DA431" i="3"/>
  <c r="DA432" i="3"/>
  <c r="DA433" i="3"/>
  <c r="DA434" i="3"/>
  <c r="DA435" i="3"/>
  <c r="DA436" i="3"/>
  <c r="DA437" i="3"/>
  <c r="DA438" i="3"/>
  <c r="DA439" i="3"/>
  <c r="DA440" i="3"/>
  <c r="DA441" i="3"/>
  <c r="DA463" i="3"/>
  <c r="DA464" i="3"/>
  <c r="DA465" i="3"/>
  <c r="DA466" i="3"/>
  <c r="DA467" i="3"/>
  <c r="DA468" i="3"/>
  <c r="DA469" i="3"/>
  <c r="DA470" i="3"/>
  <c r="DA471" i="3"/>
  <c r="DA454" i="3"/>
  <c r="DA455" i="3"/>
  <c r="DA456" i="3"/>
  <c r="DA457" i="3"/>
  <c r="DA458" i="3"/>
  <c r="DA459" i="3"/>
  <c r="DA460" i="3"/>
  <c r="DA461" i="3"/>
  <c r="DA462" i="3"/>
  <c r="DA476" i="3"/>
  <c r="DA477" i="3"/>
  <c r="DA478" i="3"/>
  <c r="DA472" i="3"/>
  <c r="DA473" i="3"/>
  <c r="DA474" i="3"/>
  <c r="DA475" i="3"/>
  <c r="DA483" i="3"/>
  <c r="DA484" i="3"/>
  <c r="DA485" i="3"/>
  <c r="DA479" i="3"/>
  <c r="DA480" i="3"/>
  <c r="DA481" i="3"/>
  <c r="DA482" i="3"/>
  <c r="DA492" i="3"/>
  <c r="DA493" i="3"/>
  <c r="DA494" i="3"/>
  <c r="DA495" i="3"/>
  <c r="DA496" i="3"/>
  <c r="DA497" i="3"/>
  <c r="DA486" i="3"/>
  <c r="DA487" i="3"/>
  <c r="DA488" i="3"/>
  <c r="DA489" i="3"/>
  <c r="DA490" i="3"/>
  <c r="DA491" i="3"/>
  <c r="DA504" i="3"/>
  <c r="DA505" i="3"/>
  <c r="DA506" i="3"/>
  <c r="DA507" i="3"/>
  <c r="DA508" i="3"/>
  <c r="DA498" i="3"/>
  <c r="DA499" i="3"/>
  <c r="DA500" i="3"/>
  <c r="DA501" i="3"/>
  <c r="DA502" i="3"/>
  <c r="DA503" i="3"/>
  <c r="DA522" i="3"/>
  <c r="DA521" i="3"/>
  <c r="DA520" i="3"/>
  <c r="DA519" i="3"/>
  <c r="DA518" i="3"/>
  <c r="DA517" i="3"/>
  <c r="DA516" i="3"/>
  <c r="DA5" i="3"/>
  <c r="DA6" i="3"/>
  <c r="DA7" i="3"/>
  <c r="CU41" i="3"/>
  <c r="DA8" i="3"/>
  <c r="DA9" i="3"/>
  <c r="DA10" i="3"/>
  <c r="DA11" i="3"/>
  <c r="DA12" i="3"/>
  <c r="DA13" i="3"/>
  <c r="DA14" i="3"/>
  <c r="DA15" i="3"/>
  <c r="DA16" i="3"/>
  <c r="DA17" i="3"/>
  <c r="DA18" i="3"/>
  <c r="DA19" i="3"/>
  <c r="DA20" i="3"/>
  <c r="DA21" i="3"/>
  <c r="DA22" i="3"/>
  <c r="DA23" i="3"/>
  <c r="DA24" i="3"/>
  <c r="DA25" i="3"/>
  <c r="DA26" i="3"/>
  <c r="DA27" i="3"/>
  <c r="DA28" i="3"/>
  <c r="DA29" i="3"/>
  <c r="DA30" i="3"/>
  <c r="DA31" i="3"/>
  <c r="DA32" i="3"/>
  <c r="DA33" i="3"/>
  <c r="DA34" i="3"/>
  <c r="DA35" i="3"/>
  <c r="DA36" i="3"/>
  <c r="DA37" i="3"/>
  <c r="DA38" i="3"/>
  <c r="DA39" i="3"/>
  <c r="DA40" i="3"/>
  <c r="DA41" i="3"/>
  <c r="DA42" i="3"/>
  <c r="DA43" i="3"/>
  <c r="DA44" i="3"/>
  <c r="DA45" i="3"/>
  <c r="DA46" i="3"/>
  <c r="DA47" i="3"/>
  <c r="DA48" i="3"/>
  <c r="DA49" i="3"/>
  <c r="DA50" i="3"/>
  <c r="DA51" i="3"/>
  <c r="DA52" i="3"/>
  <c r="DA53" i="3"/>
  <c r="DA54" i="3"/>
  <c r="DA55" i="3"/>
  <c r="DA56" i="3"/>
  <c r="DA57" i="3"/>
  <c r="DA58" i="3"/>
  <c r="DA59" i="3"/>
  <c r="DA60" i="3"/>
  <c r="DA61" i="3"/>
  <c r="DA62" i="3"/>
  <c r="DA63" i="3"/>
  <c r="DA64" i="3"/>
  <c r="DA65" i="3"/>
  <c r="DA66" i="3"/>
  <c r="DA67" i="3"/>
  <c r="DA68" i="3"/>
  <c r="DA69" i="3"/>
  <c r="DA70" i="3"/>
  <c r="DA71" i="3"/>
  <c r="DA72" i="3"/>
  <c r="DA73" i="3"/>
  <c r="DA74" i="3"/>
  <c r="DA75" i="3"/>
  <c r="DA76" i="3"/>
  <c r="DA77" i="3"/>
  <c r="DA78" i="3"/>
  <c r="DA79" i="3"/>
  <c r="DA80" i="3"/>
  <c r="DA81" i="3"/>
  <c r="DA82" i="3"/>
  <c r="DA83" i="3"/>
  <c r="DA84" i="3"/>
  <c r="DA85" i="3"/>
  <c r="DA86" i="3"/>
  <c r="DA87" i="3"/>
  <c r="DA88" i="3"/>
  <c r="DA89" i="3"/>
  <c r="DA90" i="3"/>
  <c r="DA91" i="3"/>
  <c r="DA92" i="3"/>
  <c r="DA93" i="3"/>
  <c r="DA94" i="3"/>
  <c r="DA95" i="3"/>
  <c r="DA96" i="3"/>
  <c r="DA97" i="3"/>
  <c r="DA98" i="3"/>
  <c r="DA99" i="3"/>
  <c r="DA100" i="3"/>
  <c r="DA101" i="3"/>
  <c r="DA102" i="3"/>
  <c r="DA103" i="3"/>
  <c r="DA104" i="3"/>
  <c r="DA105" i="3"/>
  <c r="DA106" i="3"/>
  <c r="DA107" i="3"/>
  <c r="DA108" i="3"/>
  <c r="DA109" i="3"/>
  <c r="DA110" i="3"/>
  <c r="DA111" i="3"/>
  <c r="DA112" i="3"/>
  <c r="DA113" i="3"/>
  <c r="DA114" i="3"/>
  <c r="DA115" i="3"/>
  <c r="DA116" i="3"/>
  <c r="DA117" i="3"/>
  <c r="DA118" i="3"/>
  <c r="DA119" i="3"/>
  <c r="DA120" i="3"/>
  <c r="DA121" i="3"/>
  <c r="DA122" i="3"/>
  <c r="DA123" i="3"/>
  <c r="DA124" i="3"/>
  <c r="DA125" i="3"/>
  <c r="DA126" i="3"/>
  <c r="DA127" i="3"/>
  <c r="DA128" i="3"/>
  <c r="DA129" i="3"/>
  <c r="DA130" i="3"/>
  <c r="DA131" i="3"/>
  <c r="DA132" i="3"/>
  <c r="DA133" i="3"/>
  <c r="DA134" i="3"/>
  <c r="DA135" i="3"/>
  <c r="DA136" i="3"/>
  <c r="DA137" i="3"/>
  <c r="DA138" i="3"/>
  <c r="DA139" i="3"/>
  <c r="DA140" i="3"/>
  <c r="DA141" i="3"/>
  <c r="DA142" i="3"/>
  <c r="DA143" i="3"/>
  <c r="DA144" i="3"/>
  <c r="DA145" i="3"/>
  <c r="DA146" i="3"/>
  <c r="DA147" i="3"/>
  <c r="DA148" i="3"/>
  <c r="DA149" i="3"/>
  <c r="DA150" i="3"/>
  <c r="DA151" i="3"/>
  <c r="DA152" i="3"/>
  <c r="DA153" i="3"/>
  <c r="DA154" i="3"/>
  <c r="DA155" i="3"/>
  <c r="DA156" i="3"/>
  <c r="DA157" i="3"/>
  <c r="DA158" i="3"/>
  <c r="DA159" i="3"/>
  <c r="DA160" i="3"/>
  <c r="DA161" i="3"/>
  <c r="DA162" i="3"/>
  <c r="DA163" i="3"/>
  <c r="DA164" i="3"/>
  <c r="DA165" i="3"/>
  <c r="DA166" i="3"/>
  <c r="DA167" i="3"/>
  <c r="DA168" i="3"/>
  <c r="DA169" i="3"/>
  <c r="DA170" i="3"/>
  <c r="DA171" i="3"/>
  <c r="DA172" i="3"/>
  <c r="DA173" i="3"/>
  <c r="DA174" i="3"/>
  <c r="DA175" i="3"/>
  <c r="DA176" i="3"/>
  <c r="DA177" i="3"/>
  <c r="DA178" i="3"/>
  <c r="DA179" i="3"/>
  <c r="DA180" i="3"/>
  <c r="DA181" i="3"/>
  <c r="DA182" i="3"/>
  <c r="DA183" i="3"/>
  <c r="DA184" i="3"/>
  <c r="DA185" i="3"/>
  <c r="DA186" i="3"/>
  <c r="DA187" i="3"/>
  <c r="DA188" i="3"/>
  <c r="DA189" i="3"/>
  <c r="DA190" i="3"/>
  <c r="DA191" i="3"/>
  <c r="DA192" i="3"/>
  <c r="DA193" i="3"/>
  <c r="DA194" i="3"/>
  <c r="DA195" i="3"/>
  <c r="DA196" i="3"/>
  <c r="DA197" i="3"/>
  <c r="DA198" i="3"/>
  <c r="DA199" i="3"/>
  <c r="DA200" i="3"/>
  <c r="DA201" i="3"/>
  <c r="DA202" i="3"/>
  <c r="DA203" i="3"/>
  <c r="DA204" i="3"/>
  <c r="DA205" i="3"/>
  <c r="DA206" i="3"/>
  <c r="DA207" i="3"/>
  <c r="DA208" i="3"/>
  <c r="DA209" i="3"/>
  <c r="DA210" i="3"/>
  <c r="DA211" i="3"/>
  <c r="DA212" i="3"/>
  <c r="DA213" i="3"/>
  <c r="DA214" i="3"/>
  <c r="DA215" i="3"/>
  <c r="DA216" i="3"/>
  <c r="DA217" i="3"/>
  <c r="DA218" i="3"/>
  <c r="DA219" i="3"/>
  <c r="DA220" i="3"/>
  <c r="DA221" i="3"/>
  <c r="DA222" i="3"/>
  <c r="DA223" i="3"/>
  <c r="DA224" i="3"/>
  <c r="DA225" i="3"/>
  <c r="DA226" i="3"/>
  <c r="DA227" i="3"/>
  <c r="DA228" i="3"/>
  <c r="DA229" i="3"/>
  <c r="DA230" i="3"/>
  <c r="DA231" i="3"/>
  <c r="DA232" i="3"/>
  <c r="DA233" i="3"/>
  <c r="DA234" i="3"/>
  <c r="DA235" i="3"/>
  <c r="DA236" i="3"/>
  <c r="DA237" i="3"/>
  <c r="DA238" i="3"/>
  <c r="DA239" i="3"/>
  <c r="DA240" i="3"/>
  <c r="DA241" i="3"/>
  <c r="DA242" i="3"/>
  <c r="DA243" i="3"/>
  <c r="DA244" i="3"/>
  <c r="DA245" i="3"/>
  <c r="DA246" i="3"/>
  <c r="DA247" i="3"/>
  <c r="DA248" i="3"/>
  <c r="DA249" i="3"/>
  <c r="DA250" i="3"/>
  <c r="DA251" i="3"/>
  <c r="DA252" i="3"/>
  <c r="DA253" i="3"/>
  <c r="DA254" i="3"/>
  <c r="DA255" i="3"/>
  <c r="DA256" i="3"/>
  <c r="DA257" i="3"/>
  <c r="DA258" i="3"/>
  <c r="DA259" i="3"/>
  <c r="DA260" i="3"/>
  <c r="DA261" i="3"/>
  <c r="DA262" i="3"/>
  <c r="DA263" i="3"/>
  <c r="DA264" i="3"/>
  <c r="DA265" i="3"/>
  <c r="DA266" i="3"/>
  <c r="DA267" i="3"/>
  <c r="DA268" i="3"/>
  <c r="DA269" i="3"/>
  <c r="DA270" i="3"/>
  <c r="DA271" i="3"/>
  <c r="DA272" i="3"/>
  <c r="DA273" i="3"/>
  <c r="DA274" i="3"/>
  <c r="DA275" i="3"/>
  <c r="DA276" i="3"/>
  <c r="DA277" i="3"/>
  <c r="DA278" i="3"/>
  <c r="DA279" i="3"/>
  <c r="DA280" i="3"/>
  <c r="DA281" i="3"/>
  <c r="DA282" i="3"/>
  <c r="DA283" i="3"/>
  <c r="DA284" i="3"/>
  <c r="DA509" i="3"/>
  <c r="DA510" i="3"/>
  <c r="DA511" i="3"/>
  <c r="DA512" i="3"/>
  <c r="DA513" i="3"/>
  <c r="DA514" i="3"/>
  <c r="DA515" i="3"/>
  <c r="DA523" i="3"/>
  <c r="DA524" i="3"/>
  <c r="DA525" i="3"/>
  <c r="DA526" i="3"/>
  <c r="DA527" i="3"/>
  <c r="DA528" i="3"/>
  <c r="DA529" i="3"/>
  <c r="DA530" i="3"/>
  <c r="DA531" i="3"/>
  <c r="DA532" i="3"/>
  <c r="DA533" i="3"/>
  <c r="DA534" i="3"/>
  <c r="DA535" i="3"/>
  <c r="DA536" i="3"/>
  <c r="DA537" i="3"/>
  <c r="DA538" i="3"/>
  <c r="DA539" i="3"/>
  <c r="DA540" i="3"/>
  <c r="DA541" i="3"/>
  <c r="DA542" i="3"/>
  <c r="DA543" i="3"/>
  <c r="DA544" i="3"/>
  <c r="DA545" i="3"/>
  <c r="DA546" i="3"/>
  <c r="DA547" i="3"/>
  <c r="DA548" i="3"/>
  <c r="DA549" i="3"/>
  <c r="DA550" i="3"/>
  <c r="DA551" i="3"/>
  <c r="DA552" i="3"/>
  <c r="CO33" i="1"/>
  <c r="C64" i="1"/>
  <c r="C63" i="1"/>
  <c r="CN39" i="3"/>
  <c r="CU39" i="3"/>
  <c r="CT39" i="3"/>
  <c r="CT41" i="3"/>
  <c r="CV58" i="3"/>
  <c r="CU53" i="3"/>
  <c r="CP52" i="3"/>
  <c r="CP58" i="3"/>
  <c r="CS56" i="3"/>
  <c r="CS60" i="3"/>
  <c r="CT53" i="3"/>
  <c r="CT55" i="3"/>
  <c r="CP57" i="3"/>
  <c r="CR58" i="3"/>
  <c r="CT59" i="3"/>
  <c r="CQ53" i="3"/>
  <c r="AB70" i="1"/>
  <c r="CQ52" i="3"/>
  <c r="CQ54" i="3"/>
  <c r="CQ56" i="3"/>
  <c r="CO78" i="3"/>
  <c r="CQ58" i="3"/>
  <c r="CO80" i="3"/>
  <c r="CT52" i="3"/>
  <c r="CT54" i="3"/>
  <c r="CT56" i="3"/>
  <c r="CT58" i="3"/>
  <c r="CT60" i="3"/>
  <c r="CQ57" i="3"/>
  <c r="CO79" i="3"/>
  <c r="CU52" i="3"/>
  <c r="CV60" i="3"/>
  <c r="CV53" i="3"/>
  <c r="CV54" i="3"/>
  <c r="CV52" i="3"/>
  <c r="CU59" i="3"/>
  <c r="AB75" i="1"/>
  <c r="AB69" i="1"/>
  <c r="AL69" i="1"/>
  <c r="AB71" i="1"/>
  <c r="AL71" i="1"/>
  <c r="AB73" i="1"/>
  <c r="BX80" i="1"/>
  <c r="CO5" i="1"/>
  <c r="BL53" i="1"/>
  <c r="BL52" i="1"/>
  <c r="BJ45" i="1"/>
  <c r="CO37" i="1"/>
  <c r="BL51" i="1"/>
  <c r="BL55" i="1"/>
  <c r="BL57" i="1"/>
  <c r="BL59" i="1"/>
  <c r="BS55" i="1"/>
  <c r="BS57" i="1"/>
  <c r="CF79" i="1"/>
  <c r="CF80" i="1"/>
  <c r="I40" i="3"/>
  <c r="J40" i="3"/>
  <c r="AF53" i="4"/>
  <c r="AJ31" i="13"/>
  <c r="CT61" i="3"/>
  <c r="BV45" i="1"/>
  <c r="C93" i="1"/>
  <c r="AE93" i="1"/>
  <c r="AL70" i="1"/>
  <c r="CV59" i="3"/>
  <c r="CU57" i="3"/>
  <c r="CP54" i="3"/>
  <c r="CP61" i="3"/>
  <c r="CS52" i="3"/>
  <c r="CR52" i="3"/>
  <c r="CP55" i="3"/>
  <c r="AJ32" i="13"/>
  <c r="AJ85" i="13"/>
  <c r="AL75" i="1"/>
  <c r="AL73" i="1"/>
  <c r="CU60" i="3"/>
  <c r="CU61" i="3"/>
  <c r="CU58" i="3"/>
  <c r="CV56" i="3"/>
  <c r="CS54" i="3"/>
  <c r="CR57" i="3"/>
  <c r="CR53" i="3"/>
  <c r="CS57" i="3"/>
  <c r="CS53" i="3"/>
  <c r="CR60" i="3"/>
  <c r="CT57" i="3"/>
  <c r="CR54" i="3"/>
  <c r="CS58" i="3"/>
  <c r="CP56" i="3"/>
  <c r="CU55" i="3"/>
  <c r="AP39" i="6"/>
  <c r="AJ83" i="13"/>
  <c r="AE33" i="13"/>
  <c r="AE86" i="13"/>
  <c r="AS12" i="7"/>
  <c r="AE32" i="13"/>
  <c r="AE85" i="13"/>
  <c r="AP69" i="4"/>
  <c r="X93" i="6"/>
  <c r="X94" i="6"/>
  <c r="X91" i="6"/>
  <c r="AJ93" i="6"/>
  <c r="AJ94" i="6"/>
  <c r="AB74" i="1"/>
  <c r="CV57" i="3"/>
  <c r="CU56" i="3"/>
  <c r="CV55" i="3"/>
  <c r="CV61" i="3"/>
  <c r="CQ59" i="3"/>
  <c r="CP60" i="3"/>
  <c r="CR55" i="3"/>
  <c r="CS59" i="3"/>
  <c r="CS55" i="3"/>
  <c r="CQ55" i="3"/>
  <c r="AB72" i="1"/>
  <c r="CP59" i="3"/>
  <c r="CR56" i="3"/>
  <c r="CP53" i="3"/>
  <c r="CR59" i="3"/>
  <c r="CU54" i="3"/>
  <c r="CQ60" i="3"/>
  <c r="AB77" i="1"/>
  <c r="AJ34" i="13"/>
  <c r="AJ87" i="13"/>
  <c r="AB37" i="12"/>
  <c r="AL48" i="6"/>
  <c r="AP48" i="6"/>
  <c r="AH51" i="6"/>
  <c r="AL46" i="6"/>
  <c r="AP46" i="6"/>
  <c r="AL49" i="6"/>
  <c r="AP49" i="6"/>
  <c r="AL42" i="6"/>
  <c r="AP42" i="6"/>
  <c r="AL47" i="6"/>
  <c r="AP47" i="6"/>
  <c r="AL40" i="6"/>
  <c r="AP40" i="6"/>
  <c r="AL43" i="6"/>
  <c r="AP43" i="6"/>
  <c r="Z40" i="6"/>
  <c r="AO18" i="7"/>
  <c r="AT35" i="6"/>
  <c r="Z37" i="13"/>
  <c r="AO16" i="7"/>
  <c r="AE65" i="13"/>
  <c r="BK93" i="6"/>
  <c r="BK94" i="6"/>
  <c r="BK91" i="6"/>
  <c r="CI93" i="6"/>
  <c r="CI94" i="6"/>
  <c r="BW93" i="6"/>
  <c r="BW94" i="6"/>
  <c r="DL49" i="6"/>
  <c r="DP49" i="6"/>
  <c r="DL45" i="6"/>
  <c r="DP45" i="6"/>
  <c r="DL41" i="6"/>
  <c r="DP41" i="6"/>
  <c r="DL46" i="6"/>
  <c r="DP46" i="6"/>
  <c r="DL42" i="6"/>
  <c r="DP42" i="6"/>
  <c r="DL47" i="6"/>
  <c r="DP47" i="6"/>
  <c r="DL43" i="6"/>
  <c r="DP43" i="6"/>
  <c r="DL39" i="6"/>
  <c r="DH51" i="6"/>
  <c r="DL48" i="6"/>
  <c r="DP48" i="6"/>
  <c r="DL44" i="6"/>
  <c r="DP44" i="6"/>
  <c r="DL40" i="6"/>
  <c r="DP40" i="6"/>
  <c r="AP40" i="18"/>
  <c r="CX91" i="6"/>
  <c r="DJ93" i="6"/>
  <c r="DJ94" i="6"/>
  <c r="CZ46" i="6"/>
  <c r="DD46" i="6"/>
  <c r="CZ42" i="6"/>
  <c r="DD42" i="6"/>
  <c r="CV51" i="6"/>
  <c r="CZ49" i="6"/>
  <c r="DD49" i="6"/>
  <c r="CZ45" i="6"/>
  <c r="DD45" i="6"/>
  <c r="CZ41" i="6"/>
  <c r="DD41" i="6"/>
  <c r="CZ48" i="6"/>
  <c r="DD48" i="6"/>
  <c r="CZ44" i="6"/>
  <c r="DD44" i="6"/>
  <c r="CZ40" i="6"/>
  <c r="DD40" i="6"/>
  <c r="CZ47" i="6"/>
  <c r="DD47" i="6"/>
  <c r="CZ43" i="6"/>
  <c r="DD43" i="6"/>
  <c r="CZ39" i="6"/>
  <c r="D93" i="13"/>
  <c r="I155" i="4"/>
  <c r="W35" i="13"/>
  <c r="D35" i="13"/>
  <c r="Z80" i="13"/>
  <c r="AO8" i="7"/>
  <c r="D33" i="13"/>
  <c r="D92" i="13"/>
  <c r="W28" i="13"/>
  <c r="D28" i="13"/>
  <c r="AI7" i="7"/>
  <c r="BY49" i="6"/>
  <c r="CC49" i="6"/>
  <c r="BY45" i="6"/>
  <c r="CC45" i="6"/>
  <c r="BY41" i="6"/>
  <c r="CC41" i="6"/>
  <c r="BY48" i="6"/>
  <c r="CC48" i="6"/>
  <c r="BY44" i="6"/>
  <c r="CC44" i="6"/>
  <c r="BY40" i="6"/>
  <c r="CC40" i="6"/>
  <c r="BY47" i="6"/>
  <c r="CC47" i="6"/>
  <c r="BY43" i="6"/>
  <c r="CC43" i="6"/>
  <c r="BY39" i="6"/>
  <c r="BY46" i="6"/>
  <c r="CC46" i="6"/>
  <c r="BY42" i="6"/>
  <c r="CC42" i="6"/>
  <c r="BU51" i="6"/>
  <c r="BM49" i="6"/>
  <c r="BQ49" i="6"/>
  <c r="BM41" i="6"/>
  <c r="BQ41" i="6"/>
  <c r="BM46" i="6"/>
  <c r="BQ46" i="6"/>
  <c r="BM40" i="6"/>
  <c r="BQ40" i="6"/>
  <c r="BM45" i="6"/>
  <c r="BQ45" i="6"/>
  <c r="BM43" i="6"/>
  <c r="BQ43" i="6"/>
  <c r="BM44" i="6"/>
  <c r="BQ44" i="6"/>
  <c r="BM42" i="6"/>
  <c r="BQ42" i="6"/>
  <c r="BM39" i="6"/>
  <c r="BI51" i="6"/>
  <c r="BM48" i="6"/>
  <c r="BQ48" i="6"/>
  <c r="BM47" i="6"/>
  <c r="BQ47" i="6"/>
  <c r="CG51" i="6"/>
  <c r="CK49" i="6"/>
  <c r="CO49" i="6"/>
  <c r="CK46" i="6"/>
  <c r="CO46" i="6"/>
  <c r="CK47" i="6"/>
  <c r="CO47" i="6"/>
  <c r="CK40" i="6"/>
  <c r="CO40" i="6"/>
  <c r="CK48" i="6"/>
  <c r="CO48" i="6"/>
  <c r="CK39" i="6"/>
  <c r="CK41" i="6"/>
  <c r="CO41" i="6"/>
  <c r="CK42" i="6"/>
  <c r="CO42" i="6"/>
  <c r="CK43" i="6"/>
  <c r="CO43" i="6"/>
  <c r="CK44" i="6"/>
  <c r="CO44" i="6"/>
  <c r="CK45" i="6"/>
  <c r="CO45" i="6"/>
  <c r="I126" i="5"/>
  <c r="J62" i="18"/>
  <c r="C126" i="5"/>
  <c r="E62" i="18"/>
  <c r="H126" i="5"/>
  <c r="I62" i="18"/>
  <c r="DT51" i="6"/>
  <c r="DX42" i="6"/>
  <c r="EB42" i="6"/>
  <c r="DX46" i="6"/>
  <c r="EB46" i="6"/>
  <c r="I124" i="5"/>
  <c r="J60" i="18"/>
  <c r="I125" i="5"/>
  <c r="J61" i="18"/>
  <c r="DX39" i="6"/>
  <c r="DX43" i="6"/>
  <c r="EB43" i="6"/>
  <c r="DX47" i="6"/>
  <c r="EB47" i="6"/>
  <c r="I123" i="5"/>
  <c r="J59" i="18"/>
  <c r="I122" i="5"/>
  <c r="J58" i="18"/>
  <c r="H125" i="5"/>
  <c r="I61" i="18"/>
  <c r="DX40" i="6"/>
  <c r="EB40" i="6"/>
  <c r="DX44" i="6"/>
  <c r="EB44" i="6"/>
  <c r="CU63" i="3"/>
  <c r="CU65" i="3"/>
  <c r="CU64" i="3"/>
  <c r="CP63" i="3"/>
  <c r="CP65" i="3"/>
  <c r="CP64" i="3"/>
  <c r="AN91" i="1"/>
  <c r="AA23" i="13"/>
  <c r="AA73" i="13"/>
  <c r="CV64" i="3"/>
  <c r="CV63" i="3"/>
  <c r="CV65" i="3"/>
  <c r="CZ50" i="6"/>
  <c r="DD39" i="6"/>
  <c r="DD50" i="6"/>
  <c r="DL50" i="6"/>
  <c r="DP39" i="6"/>
  <c r="DP50" i="6"/>
  <c r="AE92" i="13"/>
  <c r="AS18" i="7"/>
  <c r="AE39" i="13"/>
  <c r="AL72" i="1"/>
  <c r="AQ58" i="12"/>
  <c r="AL50" i="6"/>
  <c r="CT65" i="3"/>
  <c r="CT63" i="3"/>
  <c r="CT64" i="3"/>
  <c r="BQ39" i="6"/>
  <c r="BQ50" i="6"/>
  <c r="BM50" i="6"/>
  <c r="BY50" i="6"/>
  <c r="CC39" i="6"/>
  <c r="CC50" i="6"/>
  <c r="CX93" i="6"/>
  <c r="CX94" i="6"/>
  <c r="AS16" i="7"/>
  <c r="AE37" i="13"/>
  <c r="AE90" i="13"/>
  <c r="Z50" i="6"/>
  <c r="AD40" i="6"/>
  <c r="AD50" i="6"/>
  <c r="AB52" i="12"/>
  <c r="CO81" i="3"/>
  <c r="CO83" i="3"/>
  <c r="CP83" i="3"/>
  <c r="AB76" i="1"/>
  <c r="AB79" i="1"/>
  <c r="AL74" i="1"/>
  <c r="AV93" i="6"/>
  <c r="AV94" i="6"/>
  <c r="CQ61" i="3"/>
  <c r="EB39" i="6"/>
  <c r="EB50" i="6"/>
  <c r="DX50" i="6"/>
  <c r="AO7" i="7"/>
  <c r="Z79" i="13"/>
  <c r="AI28" i="7"/>
  <c r="Z28" i="13"/>
  <c r="AI20" i="7"/>
  <c r="Z41" i="13"/>
  <c r="AS8" i="7"/>
  <c r="AE29" i="13"/>
  <c r="AE80" i="13"/>
  <c r="BK95" i="6"/>
  <c r="BU52" i="6"/>
  <c r="BU53" i="6"/>
  <c r="AL77" i="1"/>
  <c r="CF77" i="1"/>
  <c r="CR61" i="3"/>
  <c r="CK50" i="6"/>
  <c r="CO39" i="6"/>
  <c r="CO50" i="6"/>
  <c r="DV93" i="6"/>
  <c r="DV94" i="6"/>
  <c r="AI36" i="12"/>
  <c r="AT36" i="6"/>
  <c r="AJ33" i="13"/>
  <c r="AJ86" i="13"/>
  <c r="AP50" i="6"/>
  <c r="CS61" i="3"/>
  <c r="AE83" i="1"/>
  <c r="AE84" i="1"/>
  <c r="AE85" i="1"/>
  <c r="AH71" i="1"/>
  <c r="AH70" i="1"/>
  <c r="AH75" i="1"/>
  <c r="AH69" i="1"/>
  <c r="AH73" i="1"/>
  <c r="AH77" i="1"/>
  <c r="AH74" i="1"/>
  <c r="AH72" i="1"/>
  <c r="AT51" i="6"/>
  <c r="AX48" i="6"/>
  <c r="BB48" i="6"/>
  <c r="AX45" i="6"/>
  <c r="BB45" i="6"/>
  <c r="AX40" i="6"/>
  <c r="BB40" i="6"/>
  <c r="AX41" i="6"/>
  <c r="BB41" i="6"/>
  <c r="AX49" i="6"/>
  <c r="BB49" i="6"/>
  <c r="AX44" i="6"/>
  <c r="BB44" i="6"/>
  <c r="AX39" i="6"/>
  <c r="AX46" i="6"/>
  <c r="BB46" i="6"/>
  <c r="AI37" i="12"/>
  <c r="AX43" i="6"/>
  <c r="BB43" i="6"/>
  <c r="AX47" i="6"/>
  <c r="BB47" i="6"/>
  <c r="AX42" i="6"/>
  <c r="BB42" i="6"/>
  <c r="CX95" i="6"/>
  <c r="DH52" i="6"/>
  <c r="DH53" i="6"/>
  <c r="CU66" i="3"/>
  <c r="CU67" i="3"/>
  <c r="CS64" i="3"/>
  <c r="CS63" i="3"/>
  <c r="CS65" i="3"/>
  <c r="CR65" i="3"/>
  <c r="CR64" i="3"/>
  <c r="CR63" i="3"/>
  <c r="BI52" i="6"/>
  <c r="BI53" i="6"/>
  <c r="AJ29" i="13"/>
  <c r="AJ80" i="13"/>
  <c r="CT66" i="3"/>
  <c r="CT67" i="3"/>
  <c r="AR52" i="13"/>
  <c r="AJ92" i="13"/>
  <c r="AJ39" i="13"/>
  <c r="CV66" i="3"/>
  <c r="CV67" i="3"/>
  <c r="AE73" i="13"/>
  <c r="K32" i="6"/>
  <c r="AU91" i="1"/>
  <c r="AE23" i="13"/>
  <c r="CP66" i="3"/>
  <c r="CP67" i="3"/>
  <c r="AE28" i="13"/>
  <c r="AE79" i="13"/>
  <c r="AO28" i="7"/>
  <c r="AS7" i="7"/>
  <c r="AO20" i="7"/>
  <c r="AL76" i="1"/>
  <c r="AH76" i="1"/>
  <c r="CG52" i="6"/>
  <c r="CG53" i="6"/>
  <c r="CQ63" i="3"/>
  <c r="CQ65" i="3"/>
  <c r="CQ64" i="3"/>
  <c r="AJ37" i="13"/>
  <c r="AJ90" i="13"/>
  <c r="X95" i="6"/>
  <c r="AE87" i="1"/>
  <c r="AE86" i="1"/>
  <c r="AI73" i="13"/>
  <c r="AI23" i="13"/>
  <c r="AJ28" i="13"/>
  <c r="AJ79" i="13"/>
  <c r="AS20" i="7"/>
  <c r="AJ41" i="13"/>
  <c r="AS28" i="7"/>
  <c r="CP69" i="3"/>
  <c r="CP70" i="3"/>
  <c r="CP68" i="3"/>
  <c r="CU68" i="3"/>
  <c r="CU69" i="3"/>
  <c r="CU70" i="3"/>
  <c r="BB39" i="6"/>
  <c r="BB50" i="6"/>
  <c r="AX50" i="6"/>
  <c r="AH79" i="1"/>
  <c r="CQ66" i="3"/>
  <c r="CQ67" i="3"/>
  <c r="CV69" i="3"/>
  <c r="CV70" i="3"/>
  <c r="CV68" i="3"/>
  <c r="AR103" i="13"/>
  <c r="AP66" i="14"/>
  <c r="CS66" i="3"/>
  <c r="CS67" i="3"/>
  <c r="CV52" i="6"/>
  <c r="CV53" i="6"/>
  <c r="CT68" i="3"/>
  <c r="CT69" i="3"/>
  <c r="CT70" i="3"/>
  <c r="V52" i="6"/>
  <c r="AH52" i="6"/>
  <c r="AE41" i="13"/>
  <c r="AD17" i="18"/>
  <c r="AT52" i="6"/>
  <c r="AI53" i="12"/>
  <c r="CR66" i="3"/>
  <c r="CR67" i="3"/>
  <c r="DT52" i="6"/>
  <c r="DT53" i="6"/>
  <c r="AI52" i="12"/>
  <c r="AT53" i="6"/>
  <c r="AI54" i="12"/>
  <c r="AT60" i="6"/>
  <c r="AT61" i="6"/>
  <c r="AT63" i="6"/>
  <c r="AI55" i="6"/>
  <c r="V53" i="6"/>
  <c r="K52" i="6"/>
  <c r="N53" i="12"/>
  <c r="U53" i="12"/>
  <c r="CS68" i="3"/>
  <c r="CS69" i="3"/>
  <c r="CS70" i="3"/>
  <c r="AP131" i="14"/>
  <c r="AP68" i="15"/>
  <c r="CR68" i="3"/>
  <c r="CR69" i="3"/>
  <c r="CR70" i="3"/>
  <c r="AB53" i="12"/>
  <c r="AH53" i="6"/>
  <c r="AB54" i="12"/>
  <c r="CQ68" i="3"/>
  <c r="CQ69" i="3"/>
  <c r="CQ70" i="3"/>
  <c r="AS68" i="15"/>
  <c r="AW55" i="8"/>
  <c r="AN68" i="15"/>
  <c r="AP197" i="14"/>
  <c r="K53" i="6"/>
  <c r="U54" i="12"/>
  <c r="N54" i="12"/>
  <c r="Q59" i="6"/>
  <c r="Z59" i="6"/>
  <c r="Q56" i="6"/>
  <c r="Z56" i="6"/>
  <c r="Q58" i="6"/>
  <c r="Z58" i="6"/>
  <c r="Q57" i="6"/>
  <c r="Z57" i="6"/>
  <c r="Q60" i="6"/>
  <c r="Z60" i="6"/>
  <c r="AS197" i="14"/>
  <c r="AU52" i="13"/>
  <c r="AN52" i="13"/>
  <c r="K74" i="8"/>
  <c r="AU103" i="13"/>
  <c r="AN103" i="13"/>
  <c r="AS66" i="14"/>
  <c r="AN66" i="14"/>
  <c r="AQ55" i="8"/>
  <c r="D5" i="8"/>
  <c r="AS157" i="11"/>
  <c r="AN157" i="11"/>
  <c r="AT55" i="17"/>
  <c r="AN55" i="17"/>
  <c r="AT58" i="12"/>
  <c r="AO58" i="12"/>
  <c r="AS95" i="11"/>
  <c r="AN95" i="11"/>
  <c r="AS66" i="18"/>
  <c r="AM66" i="18"/>
  <c r="AS131" i="14"/>
  <c r="AN131" i="14"/>
  <c r="AS69" i="4"/>
  <c r="AN69" i="4"/>
  <c r="AN197" i="14"/>
  <c r="Z61" i="6"/>
  <c r="Q61" i="6"/>
  <c r="Q63" i="6"/>
  <c r="Q64" i="6"/>
  <c r="T15" i="18"/>
  <c r="AL52" i="5"/>
  <c r="K35" i="6"/>
  <c r="N55" i="12"/>
  <c r="AF118" i="11"/>
  <c r="AD15" i="18"/>
  <c r="T18" i="18"/>
  <c r="T19" i="18"/>
  <c r="AL54" i="5"/>
  <c r="AP20" i="18"/>
  <c r="AF52" i="4"/>
  <c r="AD16" i="18"/>
  <c r="AD18" i="18"/>
  <c r="AD19" i="18"/>
  <c r="AL55" i="5"/>
  <c r="AP19" i="18"/>
  <c r="BE75" i="1"/>
  <c r="BE71" i="1"/>
  <c r="BE72" i="1"/>
  <c r="BE74" i="1"/>
  <c r="BE69" i="1"/>
  <c r="BE76" i="1"/>
  <c r="BE70" i="1"/>
  <c r="BE73" i="1"/>
  <c r="E16" i="20" l="1"/>
  <c r="CF73" i="1"/>
  <c r="CF70" i="1"/>
  <c r="CF76" i="1"/>
  <c r="CF69" i="1"/>
  <c r="CF81" i="1" s="1"/>
  <c r="CF74" i="1"/>
  <c r="CF72" i="1"/>
  <c r="CF71" i="1"/>
  <c r="CF75" i="1"/>
  <c r="CF83" i="1" l="1"/>
  <c r="CF84" i="1" s="1"/>
  <c r="CF85" i="1" s="1"/>
  <c r="CF86" i="1" l="1"/>
  <c r="CF87" i="1" s="1"/>
  <c r="AQ87" i="1" l="1"/>
  <c r="CA91" i="1"/>
  <c r="I23" i="13" l="1"/>
  <c r="CA92" i="1"/>
  <c r="K31" i="6"/>
  <c r="CA93" i="1"/>
  <c r="I73" i="13"/>
  <c r="C73" i="13" s="1"/>
  <c r="K33" i="6" l="1"/>
  <c r="AL53" i="5"/>
  <c r="U23" i="13"/>
  <c r="U73" i="13"/>
  <c r="N73" i="13" s="1"/>
  <c r="CA94" i="1"/>
  <c r="C23" i="13"/>
  <c r="K34" i="6" l="1"/>
  <c r="N23" i="13"/>
  <c r="D17" i="20" l="1"/>
  <c r="E17" i="20" l="1"/>
  <c r="E19" i="20" s="1"/>
  <c r="E20" i="20" s="1"/>
  <c r="D19" i="20"/>
  <c r="D20" i="20" s="1"/>
</calcChain>
</file>

<file path=xl/comments1.xml><?xml version="1.0" encoding="utf-8"?>
<comments xmlns="http://schemas.openxmlformats.org/spreadsheetml/2006/main">
  <authors>
    <author>RAX</author>
  </authors>
  <commentList>
    <comment ref="AE19" authorId="0">
      <text>
        <r>
          <rPr>
            <sz val="8"/>
            <color indexed="81"/>
            <rFont val="Tahoma"/>
            <family val="2"/>
          </rPr>
          <t xml:space="preserve">BRB disesuaikan dengan luasan Kolam Renang
</t>
        </r>
      </text>
    </comment>
  </commentList>
</comments>
</file>

<file path=xl/sharedStrings.xml><?xml version="1.0" encoding="utf-8"?>
<sst xmlns="http://schemas.openxmlformats.org/spreadsheetml/2006/main" count="5229" uniqueCount="2576">
  <si>
    <t>A. BIAYA LANGSUNG</t>
  </si>
  <si>
    <t>Biaya Perijinan</t>
  </si>
  <si>
    <t>Keuntungan Kontraktor</t>
  </si>
  <si>
    <t>-</t>
  </si>
  <si>
    <t>B. BIAYA TIDAK LANGSUNG</t>
  </si>
  <si>
    <t>:</t>
  </si>
  <si>
    <t xml:space="preserve"> - - - PILIH - - -</t>
  </si>
  <si>
    <t>I</t>
  </si>
  <si>
    <t>II</t>
  </si>
  <si>
    <t>III</t>
  </si>
  <si>
    <t>IV</t>
  </si>
  <si>
    <t>V</t>
  </si>
  <si>
    <t>VI</t>
  </si>
  <si>
    <t>VII</t>
  </si>
  <si>
    <t>VIII</t>
  </si>
  <si>
    <t>IX</t>
  </si>
  <si>
    <t>X</t>
  </si>
  <si>
    <t>XI</t>
  </si>
  <si>
    <t>XII</t>
  </si>
  <si>
    <t>Prov. DKI Jakarta</t>
  </si>
  <si>
    <t>Kota Adm. Jakarta Selatan</t>
  </si>
  <si>
    <t>Provinsi</t>
  </si>
  <si>
    <t>Prov. Bali</t>
  </si>
  <si>
    <t>Prov. Banten</t>
  </si>
  <si>
    <t>Prov. Bengkulu</t>
  </si>
  <si>
    <t>Prov. DI Yogyakarta</t>
  </si>
  <si>
    <t>Prov. Gorontalo</t>
  </si>
  <si>
    <t>Prov. Jambi</t>
  </si>
  <si>
    <t>Prov. Jawa Barat</t>
  </si>
  <si>
    <t>Prov. Jawa Tengah</t>
  </si>
  <si>
    <t>Prov. Jawa Timur</t>
  </si>
  <si>
    <t>Prov. Kalimantan Barat</t>
  </si>
  <si>
    <t>Prov. Kalimantan Selatan</t>
  </si>
  <si>
    <t>Prov. Kalimantan Tengah</t>
  </si>
  <si>
    <t>Prov. Kalimantan Timur</t>
  </si>
  <si>
    <t>Prov. Kalimantan Utara</t>
  </si>
  <si>
    <t>Prov. Kepulauan Bangka Belitung</t>
  </si>
  <si>
    <t>Prov. Kepulauan Riau</t>
  </si>
  <si>
    <t>Prov. Lampung</t>
  </si>
  <si>
    <t>Prov. Maluku</t>
  </si>
  <si>
    <t>Prov. Maluku Utara</t>
  </si>
  <si>
    <t>Prov. Nanggroe Aceh Darussalam</t>
  </si>
  <si>
    <t>Prov. Nusa Tenggara Barat</t>
  </si>
  <si>
    <t>Prov. Nusa Tenggara Timur</t>
  </si>
  <si>
    <t>Prov. Papua</t>
  </si>
  <si>
    <t>Prov. Papua Barat</t>
  </si>
  <si>
    <t>Prov. Riau</t>
  </si>
  <si>
    <t>Prov. Sulawesi Barat</t>
  </si>
  <si>
    <t>Prov. Sulawesi Selatan</t>
  </si>
  <si>
    <t>Prov. Sulawesi Tengah</t>
  </si>
  <si>
    <t>Prov. Sulawesi Tenggara</t>
  </si>
  <si>
    <t>Prov. Sulawesi Utara</t>
  </si>
  <si>
    <t>Prov. Sumatera Barat</t>
  </si>
  <si>
    <t>Prov. Sumatera Selatan</t>
  </si>
  <si>
    <t>Prov. Sumatera Utara</t>
  </si>
  <si>
    <t>NAMA PROVINSI</t>
  </si>
  <si>
    <t>Prov DKI Jakarta</t>
  </si>
  <si>
    <t>Prov Nanggroe Aceh Darussalam</t>
  </si>
  <si>
    <t>Prov Sumatera Utara</t>
  </si>
  <si>
    <t>Prov Sumatera Barat</t>
  </si>
  <si>
    <t>Prov Riau</t>
  </si>
  <si>
    <t>Prov Jambi</t>
  </si>
  <si>
    <t>Prov Sumatera Selatan</t>
  </si>
  <si>
    <t>Prov Bengkulu</t>
  </si>
  <si>
    <t>Prov Lampung</t>
  </si>
  <si>
    <t>Prov Kepulauan Bangka Belitung</t>
  </si>
  <si>
    <t>Prov Kepulauan Riau</t>
  </si>
  <si>
    <t>Prov Jawa Barat</t>
  </si>
  <si>
    <t>Prov Jawa Tengah</t>
  </si>
  <si>
    <t>Prov DI Yogyakarta</t>
  </si>
  <si>
    <t>Prov Jawa Timur</t>
  </si>
  <si>
    <t>Prov Banten</t>
  </si>
  <si>
    <t>Prov Bali</t>
  </si>
  <si>
    <t>Prov Nusa Tenggara Barat</t>
  </si>
  <si>
    <t>Prov Nusa Tenggara Timur</t>
  </si>
  <si>
    <t>Prov Kalimantan Barat</t>
  </si>
  <si>
    <t>Prov Kalimantan Tengah</t>
  </si>
  <si>
    <t>Prov Kalimantan Selatan</t>
  </si>
  <si>
    <t>Prov Kalimantan Timur</t>
  </si>
  <si>
    <t>Prov Kalimantan Utara</t>
  </si>
  <si>
    <t>Prov Sulawesi Utara</t>
  </si>
  <si>
    <t>Prov Sulawesi Tengah</t>
  </si>
  <si>
    <t>Prov Sulawesi Selatan</t>
  </si>
  <si>
    <t>Prov Sulawesi Tenggara</t>
  </si>
  <si>
    <t>Prov Gorontalo</t>
  </si>
  <si>
    <t>Prov Sulawesi Barat</t>
  </si>
  <si>
    <t>Prov Maluku</t>
  </si>
  <si>
    <t>Prov Maluku Utara</t>
  </si>
  <si>
    <t>Prov Papua Barat</t>
  </si>
  <si>
    <t>Prov Papua</t>
  </si>
  <si>
    <t>Prov_DKI_Jakarta</t>
  </si>
  <si>
    <t>Kota Adm. Jakarta Barat</t>
  </si>
  <si>
    <t>Kab. Simeulue</t>
  </si>
  <si>
    <t>Kab. Nias</t>
  </si>
  <si>
    <t>Kab. Kepulauan Mentawai</t>
  </si>
  <si>
    <t>Kab. Kuantan Singingi</t>
  </si>
  <si>
    <t>Kab. Kerinci</t>
  </si>
  <si>
    <t>Kab. Ogan Komering Ulu</t>
  </si>
  <si>
    <t>Kab. Bengkulu Selatan</t>
  </si>
  <si>
    <t>Kab. Lampung Barat</t>
  </si>
  <si>
    <t>Kab. Bangka</t>
  </si>
  <si>
    <t>Kab. Karimun</t>
  </si>
  <si>
    <t>Kab. Bogor</t>
  </si>
  <si>
    <t>Kab. Cilacap</t>
  </si>
  <si>
    <t>Kab. Kulon Progo</t>
  </si>
  <si>
    <t>Kab. Pacitan</t>
  </si>
  <si>
    <t>Kab. Pandeglang</t>
  </si>
  <si>
    <t>Kab. Jembrana</t>
  </si>
  <si>
    <t>Kab. Lombok Barat</t>
  </si>
  <si>
    <t>Kab. Sumba Barat</t>
  </si>
  <si>
    <t>Kab. Sambas</t>
  </si>
  <si>
    <t>Kab. Kota Waringin Barat</t>
  </si>
  <si>
    <t>Kab. Tanah Laut</t>
  </si>
  <si>
    <t>Kab. Paser</t>
  </si>
  <si>
    <t>Kab. Malinau</t>
  </si>
  <si>
    <t>Kab. Bolaang Mongondow</t>
  </si>
  <si>
    <t>Kab. Banggai Kepulauan</t>
  </si>
  <si>
    <t>Kab. Kepulauan Selayar</t>
  </si>
  <si>
    <t>Kab. Buton</t>
  </si>
  <si>
    <t>Kab. Boalemo</t>
  </si>
  <si>
    <t>Kab. Majene</t>
  </si>
  <si>
    <t>Kab. Maluku Tenggara Barat</t>
  </si>
  <si>
    <t>Kab. Halmahera Barat</t>
  </si>
  <si>
    <t>Kab. Fak-Fak</t>
  </si>
  <si>
    <t>Kab. Merauke</t>
  </si>
  <si>
    <t>Prov_Bali</t>
  </si>
  <si>
    <t>Kota Adm. Jakarta Pusat</t>
  </si>
  <si>
    <t>Kab. Aceh Singkil</t>
  </si>
  <si>
    <t>Kab. Mandailing Natal</t>
  </si>
  <si>
    <t>Kab. Pesisir Selatan</t>
  </si>
  <si>
    <t>Kab. Indragiri Hulu</t>
  </si>
  <si>
    <t>Kab. Merangin</t>
  </si>
  <si>
    <t>Kab. Ogan Komering Ilir</t>
  </si>
  <si>
    <t>Kab. Rejang Lebong</t>
  </si>
  <si>
    <t>Kab. Tanggamus</t>
  </si>
  <si>
    <t>Kab. Belitung</t>
  </si>
  <si>
    <t>Kab. Bintan</t>
  </si>
  <si>
    <t>Kab. Sukabumi</t>
  </si>
  <si>
    <t>Kab. Banyumas</t>
  </si>
  <si>
    <t>Kab. Bantul</t>
  </si>
  <si>
    <t>Kab. Ponorogo</t>
  </si>
  <si>
    <t>Kab. Lebak</t>
  </si>
  <si>
    <t>Kab. Tabanan</t>
  </si>
  <si>
    <t>Kab. Lombok Tengah</t>
  </si>
  <si>
    <t>Kab. Sumba Timur</t>
  </si>
  <si>
    <t>Kab. Bengkayang</t>
  </si>
  <si>
    <t>Kab. Kota Waringin Timur</t>
  </si>
  <si>
    <t>Kab. Kota Baru</t>
  </si>
  <si>
    <t>Kab. Kutai Barat</t>
  </si>
  <si>
    <t>Kab. Bulungan</t>
  </si>
  <si>
    <t>Kab. Minahasa</t>
  </si>
  <si>
    <t>Kab. Banggai</t>
  </si>
  <si>
    <t>Kab. Bulukumba</t>
  </si>
  <si>
    <t>Kab. Muna</t>
  </si>
  <si>
    <t>Kab. Gorontalo</t>
  </si>
  <si>
    <t>Kab. Polewali Mandar</t>
  </si>
  <si>
    <t>Kab. Maluku Tenggara</t>
  </si>
  <si>
    <t>Kab. Halmahera Tengah</t>
  </si>
  <si>
    <t>Kab. Kaimana</t>
  </si>
  <si>
    <t>Kab. Jayawijaya</t>
  </si>
  <si>
    <t>Prov_Banten</t>
  </si>
  <si>
    <t>Kab. Aceh Selatan</t>
  </si>
  <si>
    <t>Kab. Tapanuli Selatan</t>
  </si>
  <si>
    <t>Kab. Solok</t>
  </si>
  <si>
    <t>Kab. Indragiri Hilir</t>
  </si>
  <si>
    <t>Kab. Sarolangun</t>
  </si>
  <si>
    <t>Kab. Muara Enim</t>
  </si>
  <si>
    <t>Kab. Bengkulu Utara</t>
  </si>
  <si>
    <t>Kab. Lampung Selatan</t>
  </si>
  <si>
    <t>Kab. Bangka Barat</t>
  </si>
  <si>
    <t>Kab. Natuna</t>
  </si>
  <si>
    <t>Kab. Cianjur</t>
  </si>
  <si>
    <t>Kab. Purbalingga</t>
  </si>
  <si>
    <t>Kab. Gunung Kidul</t>
  </si>
  <si>
    <t>Kab. Trenggalek</t>
  </si>
  <si>
    <t>Kab. Tangerang</t>
  </si>
  <si>
    <t>Kab. Badung</t>
  </si>
  <si>
    <t>Kab. Lombok Timur</t>
  </si>
  <si>
    <t>Kab. Kupang</t>
  </si>
  <si>
    <t>Kab. Landak</t>
  </si>
  <si>
    <t>Kab. Kapuas</t>
  </si>
  <si>
    <t>Kab. Banjar</t>
  </si>
  <si>
    <t>Kab. Kutai Kartanegara</t>
  </si>
  <si>
    <t>Kab. Nunukan</t>
  </si>
  <si>
    <t>Kab. Kepulauan Sangihe</t>
  </si>
  <si>
    <t>Kab. Morowali</t>
  </si>
  <si>
    <t>Kab. Bantaeng</t>
  </si>
  <si>
    <t>Kab. Konawe</t>
  </si>
  <si>
    <t>Kab. Pohuwato</t>
  </si>
  <si>
    <t>Kab. Mamasa</t>
  </si>
  <si>
    <t>Kab. Maluku Tengah</t>
  </si>
  <si>
    <t>Kab. Kepulauan Sula</t>
  </si>
  <si>
    <t>Kab. Teluk Wondama</t>
  </si>
  <si>
    <t>Kab. Jayapura</t>
  </si>
  <si>
    <t>Prov_Bengkulu</t>
  </si>
  <si>
    <t>Kota Adm. Jakarta Timur</t>
  </si>
  <si>
    <t>Kab. Aceh Tenggara</t>
  </si>
  <si>
    <t>Kab. Tapanuli Tengah</t>
  </si>
  <si>
    <t>Kab. Pelalawan</t>
  </si>
  <si>
    <t>Kab. Batang Hari</t>
  </si>
  <si>
    <t>Kab. Lahat</t>
  </si>
  <si>
    <t>Kab. Kaur</t>
  </si>
  <si>
    <t>Kab. Lampung Timur</t>
  </si>
  <si>
    <t>Kab. Bangka Tengah</t>
  </si>
  <si>
    <t>Kab. Lingga</t>
  </si>
  <si>
    <t>Kab. Bandung</t>
  </si>
  <si>
    <t>Kab. Banjarnegara</t>
  </si>
  <si>
    <t>Kab. Sleman</t>
  </si>
  <si>
    <t>Kab. Tulungagung</t>
  </si>
  <si>
    <t>Kab. Serang</t>
  </si>
  <si>
    <t>Kab. Gianyar</t>
  </si>
  <si>
    <t>Kab. Sumbawa</t>
  </si>
  <si>
    <t>Kab. Timor Tengah Selatan</t>
  </si>
  <si>
    <t>Kab. Pontianak</t>
  </si>
  <si>
    <t>Kab. Barito Selatan</t>
  </si>
  <si>
    <t>Kab. Barito Kuala</t>
  </si>
  <si>
    <t>Kab. Kutai Timur</t>
  </si>
  <si>
    <t>Kab. Tana Tidung</t>
  </si>
  <si>
    <t>Kab. Kepulauan Talaud</t>
  </si>
  <si>
    <t>Kab. Poso</t>
  </si>
  <si>
    <t>Kab. Jeneponto</t>
  </si>
  <si>
    <t>Kab. Kolaka</t>
  </si>
  <si>
    <t>Kab. Bone Bolango</t>
  </si>
  <si>
    <t>Kab. Mamuju</t>
  </si>
  <si>
    <t>Kab. Buru</t>
  </si>
  <si>
    <t>Kab. Halmahera Selatan</t>
  </si>
  <si>
    <t>Kab. Teluk Bintuni</t>
  </si>
  <si>
    <t>Kab. Nabire</t>
  </si>
  <si>
    <t>Prov_DI_Yogyakarta</t>
  </si>
  <si>
    <t>Kota Adm. Jakarta Utara</t>
  </si>
  <si>
    <t>Kab. Aceh Timur</t>
  </si>
  <si>
    <t>Kab. Tapanuli Utara</t>
  </si>
  <si>
    <t>Kab. Tanah Datar</t>
  </si>
  <si>
    <t>Kab. Siak</t>
  </si>
  <si>
    <t>Kab. Muaro Jambi</t>
  </si>
  <si>
    <t>Kab. Musi Rawas</t>
  </si>
  <si>
    <t>Kab. Seluma</t>
  </si>
  <si>
    <t>Kab. Lampung Tengah</t>
  </si>
  <si>
    <t>Kab. Bangka Selatan</t>
  </si>
  <si>
    <t>Kab. Kepulauan Anambas</t>
  </si>
  <si>
    <t>Kab. Garut</t>
  </si>
  <si>
    <t>Kab. Kebumen</t>
  </si>
  <si>
    <t>Kota Yogyakarta</t>
  </si>
  <si>
    <t>Kab. Blitar</t>
  </si>
  <si>
    <t>Kota Tangerang</t>
  </si>
  <si>
    <t>Kab. Klungkung</t>
  </si>
  <si>
    <t>Kab. Dompu</t>
  </si>
  <si>
    <t>Kab. Timor Tengah Utara</t>
  </si>
  <si>
    <t>Kab. Sanggau</t>
  </si>
  <si>
    <t>Kab. Barito Utara</t>
  </si>
  <si>
    <t>Kab. Tapin</t>
  </si>
  <si>
    <t>Kab. Berau</t>
  </si>
  <si>
    <t>Kota Tarakan</t>
  </si>
  <si>
    <t>Kab. Minahasa Selatan</t>
  </si>
  <si>
    <t>Kab. Donggala</t>
  </si>
  <si>
    <t>Kab. Takalar</t>
  </si>
  <si>
    <t>Kab. Konawe Selatan</t>
  </si>
  <si>
    <t>Kab. Gorontalo Utara</t>
  </si>
  <si>
    <t>Kab. Mamuju Utara</t>
  </si>
  <si>
    <t>Kab. Kepulauan Aru</t>
  </si>
  <si>
    <t>Kab. Halmahera Utara</t>
  </si>
  <si>
    <t>Kab. Manokwari</t>
  </si>
  <si>
    <t>Kab. Kep. Yapen (Yapen Waropen)</t>
  </si>
  <si>
    <t>Prov_Gorontalo</t>
  </si>
  <si>
    <t>Kab. Adm. Kepulauan Seribu</t>
  </si>
  <si>
    <t>Kab. Aceh Tengah</t>
  </si>
  <si>
    <t>Kab. Toba Samosir</t>
  </si>
  <si>
    <t>Kab. Padang Pariaman</t>
  </si>
  <si>
    <t>Kab. Kampar</t>
  </si>
  <si>
    <t>Kab. Tanjung Jabung Timur</t>
  </si>
  <si>
    <t>Kab. Musi Banyuasin</t>
  </si>
  <si>
    <t>Kab. Mukomuko</t>
  </si>
  <si>
    <t>Kab. Lampung Utara</t>
  </si>
  <si>
    <t>Kab. Belitung Timur</t>
  </si>
  <si>
    <t>Kota Batam</t>
  </si>
  <si>
    <t>Kab. Tasikmalaya</t>
  </si>
  <si>
    <t>Kab. Purworejo</t>
  </si>
  <si>
    <t>Kab. Kediri</t>
  </si>
  <si>
    <t>Kota Cilegon</t>
  </si>
  <si>
    <t>Kab. Bangli</t>
  </si>
  <si>
    <t>Kab. Bima</t>
  </si>
  <si>
    <t>Kab. Belu</t>
  </si>
  <si>
    <t>Kab. Ketapang</t>
  </si>
  <si>
    <t>Kab. Sukamara</t>
  </si>
  <si>
    <t>Kab. Hulu Sungai Selatan</t>
  </si>
  <si>
    <t>Kab. Penajam Paser Utara</t>
  </si>
  <si>
    <t>Kab. Minahasa Utara</t>
  </si>
  <si>
    <t>Kab. Toli-Toli</t>
  </si>
  <si>
    <t>Kab. Gowa</t>
  </si>
  <si>
    <t>Kab. Bombana</t>
  </si>
  <si>
    <t>Kota Gorontalo</t>
  </si>
  <si>
    <t>Kab. Mamuju Tengah</t>
  </si>
  <si>
    <t>Kab. Seram Bagian Barat</t>
  </si>
  <si>
    <t>Kab. Halmahera Timur</t>
  </si>
  <si>
    <t>Kab. Sorong Selatan</t>
  </si>
  <si>
    <t>Kab. Biak Numfor</t>
  </si>
  <si>
    <t>Prov_Jambi</t>
  </si>
  <si>
    <t>Kab. Aceh Barat</t>
  </si>
  <si>
    <t>Kab. Labuhan Batu</t>
  </si>
  <si>
    <t>Kab. Agam</t>
  </si>
  <si>
    <t>Kab. Rokan Hulu</t>
  </si>
  <si>
    <t>Kab. Tanjung Jabung Barat</t>
  </si>
  <si>
    <t>Kab. Banyu Asin</t>
  </si>
  <si>
    <t>Kab. Lebong</t>
  </si>
  <si>
    <t>Kab. Way Kanan</t>
  </si>
  <si>
    <t>Kota Pangkal Pinang</t>
  </si>
  <si>
    <t>Kota Tanjung Pinang</t>
  </si>
  <si>
    <t>Kab. Ciamis</t>
  </si>
  <si>
    <t>Kab. Wonosobo</t>
  </si>
  <si>
    <t>Kab. Malang</t>
  </si>
  <si>
    <t>Kota Serang</t>
  </si>
  <si>
    <t>Kab. Karangasem</t>
  </si>
  <si>
    <t>Kab. Sumbawa Barat</t>
  </si>
  <si>
    <t>Kab. Alor</t>
  </si>
  <si>
    <t>Kab. Sintang</t>
  </si>
  <si>
    <t>Kab. Lamandau</t>
  </si>
  <si>
    <t>Kab. Hulu Sungai Tengah</t>
  </si>
  <si>
    <t>Kab. Mahakam Ulu</t>
  </si>
  <si>
    <t>Kab. Bolaang Mongondow Utara</t>
  </si>
  <si>
    <t>Kab. Buol</t>
  </si>
  <si>
    <t>Kab. Sinjai</t>
  </si>
  <si>
    <t>Kab. Wakatobi</t>
  </si>
  <si>
    <t>Kab. Seram Bagian Timur</t>
  </si>
  <si>
    <t>Kab. Pulau Morotai</t>
  </si>
  <si>
    <t>Kab. Sorong</t>
  </si>
  <si>
    <t>Kab. Paniai</t>
  </si>
  <si>
    <t>Prov_Jawa_Barat</t>
  </si>
  <si>
    <t>Kab. Aceh Besar</t>
  </si>
  <si>
    <t>Kab. Asahan</t>
  </si>
  <si>
    <t>Kab. Lima Puluh Kota</t>
  </si>
  <si>
    <t>Kab. Bengkalis</t>
  </si>
  <si>
    <t>Kab. Tebo</t>
  </si>
  <si>
    <t>Kab. Oku Selatan</t>
  </si>
  <si>
    <t>Kab. Kepahiang</t>
  </si>
  <si>
    <t>Kab. Tulang Bawang</t>
  </si>
  <si>
    <t>Kab. Kuningan</t>
  </si>
  <si>
    <t>Kab. Magelang</t>
  </si>
  <si>
    <t>Kab. Lumajang</t>
  </si>
  <si>
    <t>Kota Tangerang Selatan</t>
  </si>
  <si>
    <t>Kab. Buleleng</t>
  </si>
  <si>
    <t>Kab. Lombok Utara</t>
  </si>
  <si>
    <t>Kab. Lembata</t>
  </si>
  <si>
    <t>Kab. Kapuas Hulu</t>
  </si>
  <si>
    <t>Kab. Seruyan</t>
  </si>
  <si>
    <t>Kab. Hulu Sungai Utara</t>
  </si>
  <si>
    <t>Kota Balikpapan</t>
  </si>
  <si>
    <t>Kab. Parigi Moutong</t>
  </si>
  <si>
    <t>Kab. Maros</t>
  </si>
  <si>
    <t>Kab. Kolaka Utara</t>
  </si>
  <si>
    <t>Kab. Buru Selatan</t>
  </si>
  <si>
    <t>Kab. Pulau Taliabu</t>
  </si>
  <si>
    <t>Kab. Raja Ampat</t>
  </si>
  <si>
    <t>Kab. Puncak Jaya</t>
  </si>
  <si>
    <t>Prov_Jawa_Tengah</t>
  </si>
  <si>
    <t>Kab. Pidie</t>
  </si>
  <si>
    <t>Kab. Simalungun</t>
  </si>
  <si>
    <t>Kab. Pasaman</t>
  </si>
  <si>
    <t>Kab. Rokan Hilir</t>
  </si>
  <si>
    <t>Kab. Bungo</t>
  </si>
  <si>
    <t>Kab. Oku Timur</t>
  </si>
  <si>
    <t>Kab. Bengkulu Tengah</t>
  </si>
  <si>
    <t>Kab. Pesawaran</t>
  </si>
  <si>
    <t>Kab. Cirebon</t>
  </si>
  <si>
    <t>Kab. Boyolali</t>
  </si>
  <si>
    <t>Kab. Jember</t>
  </si>
  <si>
    <t>Kota Denpasar</t>
  </si>
  <si>
    <t>Kota Mataram</t>
  </si>
  <si>
    <t>Kab. Flores Timur</t>
  </si>
  <si>
    <t>Kab. Sekadau</t>
  </si>
  <si>
    <t>Kab. Katingan</t>
  </si>
  <si>
    <t>Kab. Tabalong</t>
  </si>
  <si>
    <t>Kota Samarinda</t>
  </si>
  <si>
    <t>Kab. Minahasa Tenggara</t>
  </si>
  <si>
    <t>Kab. Tojo Una-Una</t>
  </si>
  <si>
    <t>Kab. Pangkajene &amp; Kepulauan</t>
  </si>
  <si>
    <t>Kab. Buton Utara</t>
  </si>
  <si>
    <t>Kab. Maluku Barat Daya</t>
  </si>
  <si>
    <t>Kota Ternate</t>
  </si>
  <si>
    <t>Kab. Maybrat</t>
  </si>
  <si>
    <t>Kab. Mimika</t>
  </si>
  <si>
    <t>Prov_Jawa_Timur</t>
  </si>
  <si>
    <t>Kab. Bireuen</t>
  </si>
  <si>
    <t>Kab. Dairi</t>
  </si>
  <si>
    <t>Kab. Solok Selatan</t>
  </si>
  <si>
    <t>Kab. Kepulauan Meranti</t>
  </si>
  <si>
    <t>Kota Jambi</t>
  </si>
  <si>
    <t>Kab. Ogan Ilir</t>
  </si>
  <si>
    <t>Kota Bengkulu</t>
  </si>
  <si>
    <t>Kab. Pringsewu</t>
  </si>
  <si>
    <t>Kab. Majalengka</t>
  </si>
  <si>
    <t>Kab. Klaten</t>
  </si>
  <si>
    <t>Kab. Banyuwangi</t>
  </si>
  <si>
    <t>Kota Bima</t>
  </si>
  <si>
    <t>Kab. Sikka</t>
  </si>
  <si>
    <t>Kab. Melawi</t>
  </si>
  <si>
    <t>Kab. Pulang Pisau</t>
  </si>
  <si>
    <t>Kab. Tanah Bumbu</t>
  </si>
  <si>
    <t>Kota Bontang</t>
  </si>
  <si>
    <t>Kab. Bolaang Mongondow Selatan</t>
  </si>
  <si>
    <t>Kab. Sigi</t>
  </si>
  <si>
    <t>Kab. Barru</t>
  </si>
  <si>
    <t>Kab. Konawe Utara</t>
  </si>
  <si>
    <t>Kota Ambon</t>
  </si>
  <si>
    <t>Kota Tidore Kepulauan</t>
  </si>
  <si>
    <t>Kab. Tambrauw</t>
  </si>
  <si>
    <t>Kab. Boven Digoel</t>
  </si>
  <si>
    <t>Prov_Kalimantan_Barat</t>
  </si>
  <si>
    <t>Kab. Aceh Utara</t>
  </si>
  <si>
    <t>Kab. Karo</t>
  </si>
  <si>
    <t>Kab. Dharmas Raya</t>
  </si>
  <si>
    <t>Kota Pekanbaru</t>
  </si>
  <si>
    <t>Kota Sungai Penuh</t>
  </si>
  <si>
    <t>Kab. Empat Lawang</t>
  </si>
  <si>
    <t>Kab. Mesuji</t>
  </si>
  <si>
    <t>Kab. Sumedang</t>
  </si>
  <si>
    <t>Kab. Sukoharjo</t>
  </si>
  <si>
    <t>Kab. Bondowoso</t>
  </si>
  <si>
    <t>Kab. Ende</t>
  </si>
  <si>
    <t>Kab. Kayong Utara</t>
  </si>
  <si>
    <t>Kab. Gunung Mas</t>
  </si>
  <si>
    <t>Kab. Balangan</t>
  </si>
  <si>
    <t>Kab. Bolaang Mongondow Timur</t>
  </si>
  <si>
    <t>Kab. Banggai Laut</t>
  </si>
  <si>
    <t>Kab. Bone</t>
  </si>
  <si>
    <t>Kab. Konawe Kepulauan</t>
  </si>
  <si>
    <t>Kota Tual</t>
  </si>
  <si>
    <t>Kab. Manokwari Selatan</t>
  </si>
  <si>
    <t>Kab. Mappi</t>
  </si>
  <si>
    <t>Prov_Kalimantan_Selatan</t>
  </si>
  <si>
    <t>Kab. Aceh Barat Daya</t>
  </si>
  <si>
    <t>Kab. Deli Serdang</t>
  </si>
  <si>
    <t>Kab. Pasaman Barat</t>
  </si>
  <si>
    <t>Kota Dumai</t>
  </si>
  <si>
    <t>Kab. Penukal Abab Lematang Ilir</t>
  </si>
  <si>
    <t>Kab. Tulang Bawang Barat</t>
  </si>
  <si>
    <t>Kab. Indramayu</t>
  </si>
  <si>
    <t>Kab. Wonogiri</t>
  </si>
  <si>
    <t>Kab. Situbondo</t>
  </si>
  <si>
    <t>Kab. Ngada</t>
  </si>
  <si>
    <t>Kab. Kubu Raya</t>
  </si>
  <si>
    <t>Kab. Barito Timur</t>
  </si>
  <si>
    <t>Kota Banjarmasin</t>
  </si>
  <si>
    <t>Kota Manado</t>
  </si>
  <si>
    <t>Kab. Morowali Utara</t>
  </si>
  <si>
    <t>Kab. Soppeng</t>
  </si>
  <si>
    <t>Kab. Kolaka Timur</t>
  </si>
  <si>
    <t>Kab. Pegunungan Arfak</t>
  </si>
  <si>
    <t>Kab. Asmat</t>
  </si>
  <si>
    <t>Prov_Kalimantan_Tengah</t>
  </si>
  <si>
    <t>Kab. Gayo Lues</t>
  </si>
  <si>
    <t>Kab. Langkat</t>
  </si>
  <si>
    <t>Kota Padang</t>
  </si>
  <si>
    <t>Kab. Musi Rawas Utara</t>
  </si>
  <si>
    <t>Kab. Pesisir Barat</t>
  </si>
  <si>
    <t>Kab. Subang</t>
  </si>
  <si>
    <t>Kab. Karanganyar</t>
  </si>
  <si>
    <t>Kab. Probolinggo</t>
  </si>
  <si>
    <t>Kab. Manggarai</t>
  </si>
  <si>
    <t>Kota Pontianak</t>
  </si>
  <si>
    <t>Kab. Murung Raya</t>
  </si>
  <si>
    <t>Kota Banjarbaru</t>
  </si>
  <si>
    <t>Kota Bitung</t>
  </si>
  <si>
    <t>Kota Palu</t>
  </si>
  <si>
    <t>Kab. Wajo</t>
  </si>
  <si>
    <t>Kab. Muna Barat</t>
  </si>
  <si>
    <t>Kota Sorong</t>
  </si>
  <si>
    <t>Kab. Yahukimo</t>
  </si>
  <si>
    <t>Prov_Kalimantan_Timur</t>
  </si>
  <si>
    <t>Kab. Aceh Tamiang</t>
  </si>
  <si>
    <t>Kab. Nias Selatan</t>
  </si>
  <si>
    <t>Kota Solok</t>
  </si>
  <si>
    <t>Kota Palembang</t>
  </si>
  <si>
    <t>Kota Bandar Lampung</t>
  </si>
  <si>
    <t>Kab. Purwakarta</t>
  </si>
  <si>
    <t>Kab. Sragen</t>
  </si>
  <si>
    <t>Kab. Pasuruan</t>
  </si>
  <si>
    <t>Kab. Rote Ndao</t>
  </si>
  <si>
    <t>Kota Singkawang</t>
  </si>
  <si>
    <t>Kota Palangkaraya</t>
  </si>
  <si>
    <t>Kota Tomohon</t>
  </si>
  <si>
    <t>Kab. Sidenreng Rappang</t>
  </si>
  <si>
    <t>Kab. Buton Tengah</t>
  </si>
  <si>
    <t>Kab. Pegunungan Bintang</t>
  </si>
  <si>
    <t>Prov_Kalimantan_Utara</t>
  </si>
  <si>
    <t>Kab. Nagan Raya</t>
  </si>
  <si>
    <t>Kab. Humbang Hasundutan</t>
  </si>
  <si>
    <t>Kota Sawah Lunto</t>
  </si>
  <si>
    <t>Kota Prabumulih</t>
  </si>
  <si>
    <t>Kota Metro</t>
  </si>
  <si>
    <t>Kab. Karawang</t>
  </si>
  <si>
    <t>Kab. Grobogan</t>
  </si>
  <si>
    <t>Kab. Sidoarjo</t>
  </si>
  <si>
    <t>Kab. Manggarai Barat</t>
  </si>
  <si>
    <t>Kota Kotamobagu</t>
  </si>
  <si>
    <t>Kab. Pinrang</t>
  </si>
  <si>
    <t>Kab. Buton Selatan</t>
  </si>
  <si>
    <t>Kab. Tolikara</t>
  </si>
  <si>
    <t>Prov_Kepulauan_Bangka_Belitung</t>
  </si>
  <si>
    <t>Kab. Aceh Jaya</t>
  </si>
  <si>
    <t>Kab. Pakpak Bharat</t>
  </si>
  <si>
    <t>Kota Padang Panjang</t>
  </si>
  <si>
    <t>Kota Pagar Alam</t>
  </si>
  <si>
    <t>Kab. Bekasi</t>
  </si>
  <si>
    <t>Kab. Blora</t>
  </si>
  <si>
    <t>Kab. Mojokerto</t>
  </si>
  <si>
    <t>Kab. Sumba Barat Daya</t>
  </si>
  <si>
    <t>Kab. Enrekang</t>
  </si>
  <si>
    <t>Kota Kendari</t>
  </si>
  <si>
    <t>Kab. Sarmi</t>
  </si>
  <si>
    <t>Prov_Kepulauan_Riau</t>
  </si>
  <si>
    <t>Kab. Bener Meriah</t>
  </si>
  <si>
    <t>Kab. Samosir</t>
  </si>
  <si>
    <t>Kota Bukittinggi</t>
  </si>
  <si>
    <t>Kota Lubuklinggau</t>
  </si>
  <si>
    <t>Kab. Bandung Barat</t>
  </si>
  <si>
    <t>Kab. Rembang</t>
  </si>
  <si>
    <t>Kab. Jombang</t>
  </si>
  <si>
    <t>Kab. Sumba Tengah</t>
  </si>
  <si>
    <t>Kab. Luwu</t>
  </si>
  <si>
    <t>Kota Bau-Bau</t>
  </si>
  <si>
    <t>Kab. Keerom</t>
  </si>
  <si>
    <t>Prov_Lampung</t>
  </si>
  <si>
    <t>Kab. Pidie Jaya</t>
  </si>
  <si>
    <t>Kab. Serdang Bedagai</t>
  </si>
  <si>
    <t>Kota Payakumbuh</t>
  </si>
  <si>
    <t>Kab. Pangandaran</t>
  </si>
  <si>
    <t>Kab. Pati</t>
  </si>
  <si>
    <t>Kab. Nganjuk</t>
  </si>
  <si>
    <t>Kab. Nagekeo</t>
  </si>
  <si>
    <t>Kab. Tana Toraja</t>
  </si>
  <si>
    <t>Kab. Waropen</t>
  </si>
  <si>
    <t>Prov_Maluku</t>
  </si>
  <si>
    <t>Kota Banda Aceh</t>
  </si>
  <si>
    <t>Kab. Batu Bara</t>
  </si>
  <si>
    <t>Kota Pariaman</t>
  </si>
  <si>
    <t>Kota Bogor</t>
  </si>
  <si>
    <t>Kab. Kudus</t>
  </si>
  <si>
    <t>Kab. Madiun</t>
  </si>
  <si>
    <t>Kab. Manggarai Timur</t>
  </si>
  <si>
    <t>Kab. Toraja Utara</t>
  </si>
  <si>
    <t>Kab. Supiori</t>
  </si>
  <si>
    <t>Prov_Maluku_Utara</t>
  </si>
  <si>
    <t>Kota Sabang</t>
  </si>
  <si>
    <t>Kab. Padang Lawas Utara</t>
  </si>
  <si>
    <t>Kota Sukabumi</t>
  </si>
  <si>
    <t>Kab. Jepara</t>
  </si>
  <si>
    <t>Kab. Magetan</t>
  </si>
  <si>
    <t>Kab. Sabu Raijua</t>
  </si>
  <si>
    <t>Kab. Luwu Utara</t>
  </si>
  <si>
    <t>Kab. Mamberamo Raya</t>
  </si>
  <si>
    <t>Prov_Nanggroe_Aceh_Darussalam</t>
  </si>
  <si>
    <t>Kota Langsa</t>
  </si>
  <si>
    <t>Kab. Padang Lawas</t>
  </si>
  <si>
    <t>Kota Bandung</t>
  </si>
  <si>
    <t>Kab. Demak</t>
  </si>
  <si>
    <t>Kab. Ngawi</t>
  </si>
  <si>
    <t>Kab. Malaka</t>
  </si>
  <si>
    <t>Kab. Luwu Timur</t>
  </si>
  <si>
    <t>Kab. Nduga</t>
  </si>
  <si>
    <t>Prov_Nusa_Tenggara_Barat</t>
  </si>
  <si>
    <t>Kota Lhokseumawe</t>
  </si>
  <si>
    <t>Kab. Labuhan Batu Utara</t>
  </si>
  <si>
    <t>Kota Cirebon</t>
  </si>
  <si>
    <t>Kab. Semarang</t>
  </si>
  <si>
    <t>Kab. Bojonegoro</t>
  </si>
  <si>
    <t>Kota Kupang</t>
  </si>
  <si>
    <t>Kota Makassar</t>
  </si>
  <si>
    <t>Kab. Lanny Jaya</t>
  </si>
  <si>
    <t>Prov_Nusa_Tenggara_Timur</t>
  </si>
  <si>
    <t>Kota Subulussalam</t>
  </si>
  <si>
    <t>Kab. Labuhan Batu Selatan</t>
  </si>
  <si>
    <t>Kota Bekasi</t>
  </si>
  <si>
    <t>Kab. Temanggung</t>
  </si>
  <si>
    <t>Kab. Tuban</t>
  </si>
  <si>
    <t>Kota Parepare</t>
  </si>
  <si>
    <t>Kab. Mamberamo Tengah</t>
  </si>
  <si>
    <t>Prov_Papua</t>
  </si>
  <si>
    <t>Kab. Nias Utara</t>
  </si>
  <si>
    <t>Kota Depok</t>
  </si>
  <si>
    <t>Kab. Kendal</t>
  </si>
  <si>
    <t>Kab. Lamongan</t>
  </si>
  <si>
    <t>Kota Palopo</t>
  </si>
  <si>
    <t>Kab. Yalimo</t>
  </si>
  <si>
    <t>Prov_Papua_Barat</t>
  </si>
  <si>
    <t>Kab. Nias Barat</t>
  </si>
  <si>
    <t>Kota Cimahi</t>
  </si>
  <si>
    <t>Kab. Batang</t>
  </si>
  <si>
    <t>Kab. Gresik</t>
  </si>
  <si>
    <t>Kab. Puncak</t>
  </si>
  <si>
    <t>Prov_Riau</t>
  </si>
  <si>
    <t>Kota Sibolga</t>
  </si>
  <si>
    <t>Kota Tasikmalaya</t>
  </si>
  <si>
    <t>Kab. Pekalongan</t>
  </si>
  <si>
    <t>Kab. Bangkalan</t>
  </si>
  <si>
    <t>Kab. Dogiyai</t>
  </si>
  <si>
    <t>Prov_Sulawesi_Barat</t>
  </si>
  <si>
    <t>Kota Tanjungbalai</t>
  </si>
  <si>
    <t>Kota Banjar</t>
  </si>
  <si>
    <t>Kab. Pemalang</t>
  </si>
  <si>
    <t>Kab. Sampang</t>
  </si>
  <si>
    <t>Kab. Intan Jaya</t>
  </si>
  <si>
    <t>Prov_Sulawesi_Selatan</t>
  </si>
  <si>
    <t>Kota Pematang Siantar</t>
  </si>
  <si>
    <t>Kab. Tegal</t>
  </si>
  <si>
    <t>Kab. Pamekasan</t>
  </si>
  <si>
    <t>Kab. Deiyai</t>
  </si>
  <si>
    <t>Prov_Sulawesi_Tengah</t>
  </si>
  <si>
    <t>Kota Tebing Tinggi</t>
  </si>
  <si>
    <t>Kab. Brebes</t>
  </si>
  <si>
    <t>Kab. Sumenep</t>
  </si>
  <si>
    <t>Kota Jayapura</t>
  </si>
  <si>
    <t>Prov_Sulawesi_Tenggara</t>
  </si>
  <si>
    <t>Kota Medan</t>
  </si>
  <si>
    <t>Kota Magelang</t>
  </si>
  <si>
    <t>Kota Kediri</t>
  </si>
  <si>
    <t>Prov_Sulawesi_Utara</t>
  </si>
  <si>
    <t>Kota Binjai</t>
  </si>
  <si>
    <t>Kota Surakarta</t>
  </si>
  <si>
    <t>Kota Blitar</t>
  </si>
  <si>
    <t>Prov_Sumatera_Barat</t>
  </si>
  <si>
    <t>Kota Padangsidempuan</t>
  </si>
  <si>
    <t>Kota Salatiga</t>
  </si>
  <si>
    <t>Kota Malang</t>
  </si>
  <si>
    <t>Prov_Sumatera_Selatan</t>
  </si>
  <si>
    <t>Kota Gunung Sitoli</t>
  </si>
  <si>
    <t>Kota Semarang</t>
  </si>
  <si>
    <t>Kota Probolinggo</t>
  </si>
  <si>
    <t>Prov_Sumatera_Utara</t>
  </si>
  <si>
    <t>Kota Pekalongan</t>
  </si>
  <si>
    <t>Kota Pasuruan</t>
  </si>
  <si>
    <t>Kota Tegal</t>
  </si>
  <si>
    <t>Kota Mojokerto</t>
  </si>
  <si>
    <t>Kota Madiun</t>
  </si>
  <si>
    <t>Kota Surabaya</t>
  </si>
  <si>
    <t>Kota Batu</t>
  </si>
  <si>
    <t>Kota / Kabupaten</t>
  </si>
  <si>
    <t>PROV. DKI JAKARTA</t>
  </si>
  <si>
    <t>PROV. NANGGROE ACEH DARUSSALAM</t>
  </si>
  <si>
    <t>KAB. SIMEULUE</t>
  </si>
  <si>
    <t>KAB. ACEH SINGKIL</t>
  </si>
  <si>
    <t>KAB. ACEH SELATAN</t>
  </si>
  <si>
    <t>KAB. ACEH TENGGARA</t>
  </si>
  <si>
    <t>KAB. ACEH TIMUR</t>
  </si>
  <si>
    <t>KAB. ACEH TENGAH</t>
  </si>
  <si>
    <t>KAB. ACEH BARAT</t>
  </si>
  <si>
    <t>KAB. ACEH BESAR</t>
  </si>
  <si>
    <t>KAB. PIDIE</t>
  </si>
  <si>
    <t>KAB. BIREUEN</t>
  </si>
  <si>
    <t>KAB. ACEH UTARA</t>
  </si>
  <si>
    <t>KAB. ACEH BARAT DAYA</t>
  </si>
  <si>
    <t>KAB. GAYO LUES</t>
  </si>
  <si>
    <t>KAB. ACEH TAMIANG</t>
  </si>
  <si>
    <t>KAB. NAGAN RAYA</t>
  </si>
  <si>
    <t>KAB. ACEH JAYA</t>
  </si>
  <si>
    <t>KAB. BENER MERIAH</t>
  </si>
  <si>
    <t>KAB. PIDIE JAYA</t>
  </si>
  <si>
    <t>KOTA BANDA ACEH</t>
  </si>
  <si>
    <t>KOTA SABANG</t>
  </si>
  <si>
    <t>KOTA LANGSA</t>
  </si>
  <si>
    <t>KOTA LHOKSEUMAWE</t>
  </si>
  <si>
    <t>KOTA SUBULUSSALAM</t>
  </si>
  <si>
    <t>PROV. SUMATERA UTARA</t>
  </si>
  <si>
    <t>KAB. NIAS</t>
  </si>
  <si>
    <t>KAB. MANDAILING NATAL</t>
  </si>
  <si>
    <t>KAB. TAPANULI SELATAN</t>
  </si>
  <si>
    <t>KAB. TAPANULI TENGAH</t>
  </si>
  <si>
    <t>KAB. TAPANULI UTARA</t>
  </si>
  <si>
    <t>KAB. TOBA SAMOSIR</t>
  </si>
  <si>
    <t>KAB. LABUHAN BATU</t>
  </si>
  <si>
    <t>KAB. ASAHAN</t>
  </si>
  <si>
    <t>KAB. SIMALUNGUN</t>
  </si>
  <si>
    <t>KAB. DAIRI</t>
  </si>
  <si>
    <t>KAB. KARO</t>
  </si>
  <si>
    <t>KAB. DELI SERDANG</t>
  </si>
  <si>
    <t>KAB. LANGKAT</t>
  </si>
  <si>
    <t>KAB. NIAS SELATAN</t>
  </si>
  <si>
    <t>KAB. HUMBANG HASUNDUTAN</t>
  </si>
  <si>
    <t>KAB. PAKPAK BHARAT</t>
  </si>
  <si>
    <t>KAB. SAMOSIR</t>
  </si>
  <si>
    <t>KAB. SERDANG BEDAGAI</t>
  </si>
  <si>
    <t>KAB. BATU BARA</t>
  </si>
  <si>
    <t>KAB. PADANG LAWAS UTARA</t>
  </si>
  <si>
    <t>KAB. PADANG LAWAS</t>
  </si>
  <si>
    <t>KAB. LABUHAN BATU UTARA</t>
  </si>
  <si>
    <t>KAB. LABUHAN BATU SELATAN</t>
  </si>
  <si>
    <t>KAB. NIAS UTARA</t>
  </si>
  <si>
    <t>KAB. NIAS BARAT</t>
  </si>
  <si>
    <t>KOTA SIBOLGA</t>
  </si>
  <si>
    <t>KOTA TANJUNGBALAI</t>
  </si>
  <si>
    <t>KOTA PEMATANG SIANTAR</t>
  </si>
  <si>
    <t>KOTA TEBING TINGGI</t>
  </si>
  <si>
    <t>KOTA MEDAN</t>
  </si>
  <si>
    <t>KOTA BINJAI</t>
  </si>
  <si>
    <t>KOTA PADANGSIDEMPUAN</t>
  </si>
  <si>
    <t>KOTA GUNUNG SITOLI</t>
  </si>
  <si>
    <t>PROV. SUMATERA BARAT</t>
  </si>
  <si>
    <t>KAB. KEPULAUAN MENTAWAI</t>
  </si>
  <si>
    <t>KAB. PESISIR SELATAN</t>
  </si>
  <si>
    <t>KAB. SOLOK</t>
  </si>
  <si>
    <t>KAB. TANAH DATAR</t>
  </si>
  <si>
    <t>KAB. PADANG PARIAMAN</t>
  </si>
  <si>
    <t>KAB. AGAM</t>
  </si>
  <si>
    <t>KAB. LIMA PULUH KOTA</t>
  </si>
  <si>
    <t>KAB. PASAMAN</t>
  </si>
  <si>
    <t>KAB. SOLOK SELATAN</t>
  </si>
  <si>
    <t>KAB. DHARMAS RAYA</t>
  </si>
  <si>
    <t>KAB. PASAMAN BARAT</t>
  </si>
  <si>
    <t>KOTA PADANG</t>
  </si>
  <si>
    <t>KOTA SOLOK</t>
  </si>
  <si>
    <t>KOTA SAWAH LUNTO</t>
  </si>
  <si>
    <t>KOTA PADANG PANJANG</t>
  </si>
  <si>
    <t>KOTA BUKITTINGGI</t>
  </si>
  <si>
    <t>KOTA PAYAKUMBUH</t>
  </si>
  <si>
    <t>KOTA PARIAMAN</t>
  </si>
  <si>
    <t>PROV. RIAU</t>
  </si>
  <si>
    <t>KAB. KUANTAN SINGINGI</t>
  </si>
  <si>
    <t>KAB. INDRAGIRI HULU</t>
  </si>
  <si>
    <t>KAB. INDRAGIRI HILIR</t>
  </si>
  <si>
    <t>KAB. PELALAWAN</t>
  </si>
  <si>
    <t>KAB. SIAK</t>
  </si>
  <si>
    <t>KAB. KAMPAR</t>
  </si>
  <si>
    <t>KAB. ROKAN HULU</t>
  </si>
  <si>
    <t>KAB. BENGKALIS</t>
  </si>
  <si>
    <t>KAB. ROKAN HILIR</t>
  </si>
  <si>
    <t>KAB. KEPULAUAN MERANTI</t>
  </si>
  <si>
    <t>KOTA PEKANBARU</t>
  </si>
  <si>
    <t>KOTA DUMAI</t>
  </si>
  <si>
    <t>PROV. JAMBI</t>
  </si>
  <si>
    <t>KAB. KERINCI</t>
  </si>
  <si>
    <t>KAB. MERANGIN</t>
  </si>
  <si>
    <t>KAB. SAROLANGUN</t>
  </si>
  <si>
    <t>KAB. BATANG HARI</t>
  </si>
  <si>
    <t>KAB. MUARO JAMBI</t>
  </si>
  <si>
    <t>KAB. TANJUNG JABUNG TIMUR</t>
  </si>
  <si>
    <t>KAB. TANJUNG JABUNG BARAT</t>
  </si>
  <si>
    <t>KAB. TEBO</t>
  </si>
  <si>
    <t>KAB. BUNGO</t>
  </si>
  <si>
    <t>KOTA JAMBI</t>
  </si>
  <si>
    <t>KOTA SUNGAI PENUH</t>
  </si>
  <si>
    <t>PROV. SUMATERA SELATAN</t>
  </si>
  <si>
    <t>KAB. OGAN KOMERING ULU</t>
  </si>
  <si>
    <t>KAB. OGAN KOMERING ILIR</t>
  </si>
  <si>
    <t>KAB. MUARA ENIM</t>
  </si>
  <si>
    <t>KAB. LAHAT</t>
  </si>
  <si>
    <t>KAB. MUSI RAWAS</t>
  </si>
  <si>
    <t>KAB. MUSI BANYUASIN</t>
  </si>
  <si>
    <t>KAB. BANYU ASIN</t>
  </si>
  <si>
    <t>KAB. OKU SELATAN</t>
  </si>
  <si>
    <t>KAB. OKU TIMUR</t>
  </si>
  <si>
    <t>KAB. OGAN ILIR</t>
  </si>
  <si>
    <t>KAB. EMPAT LAWANG</t>
  </si>
  <si>
    <t>KAB. PENUKAL ABAB LEMATANG ILIR</t>
  </si>
  <si>
    <t>KAB. MUSI RAWAS UTARA</t>
  </si>
  <si>
    <t>KOTA PALEMBANG</t>
  </si>
  <si>
    <t>KOTA PRABUMULIH</t>
  </si>
  <si>
    <t>KOTA PAGAR ALAM</t>
  </si>
  <si>
    <t>KOTA LUBUKLINGGAU</t>
  </si>
  <si>
    <t>PROV. BENGKULU</t>
  </si>
  <si>
    <t>KAB. BENGKULU SELATAN</t>
  </si>
  <si>
    <t>KAB. REJANG LEBONG</t>
  </si>
  <si>
    <t>KAB. BENGKULU UTARA</t>
  </si>
  <si>
    <t>KAB. KAUR</t>
  </si>
  <si>
    <t>KAB. SELUMA</t>
  </si>
  <si>
    <t>KAB. MUKOMUKO</t>
  </si>
  <si>
    <t>KAB. LEBONG</t>
  </si>
  <si>
    <t>KAB. KEPAHIANG</t>
  </si>
  <si>
    <t>KAB. BENGKULU TENGAH</t>
  </si>
  <si>
    <t>KOTA BENGKULU</t>
  </si>
  <si>
    <t>PROV. LAMPUNG</t>
  </si>
  <si>
    <t>KAB. LAMPUNG BARAT</t>
  </si>
  <si>
    <t>KAB. TANGGAMUS</t>
  </si>
  <si>
    <t>KAB. LAMPUNG SELATAN</t>
  </si>
  <si>
    <t>KAB. LAMPUNG TIMUR</t>
  </si>
  <si>
    <t>KAB. LAMPUNG TENGAH</t>
  </si>
  <si>
    <t>KAB. LAMPUNG UTARA</t>
  </si>
  <si>
    <t>KAB. WAY KANAN</t>
  </si>
  <si>
    <t>KAB. TULANG BAWANG</t>
  </si>
  <si>
    <t>KAB. PESAWARAN</t>
  </si>
  <si>
    <t>KAB. PRINGSEWU</t>
  </si>
  <si>
    <t>KAB. MESUJI</t>
  </si>
  <si>
    <t>KAB. TULANG BAWANG BARAT</t>
  </si>
  <si>
    <t>KAB. PESISIR BARAT</t>
  </si>
  <si>
    <t>KOTA BANDAR LAMPUNG</t>
  </si>
  <si>
    <t>KOTA METRO</t>
  </si>
  <si>
    <t>PROV. KEPULAUAN BANGKA BELITUNG</t>
  </si>
  <si>
    <t>KAB. BANGKA</t>
  </si>
  <si>
    <t>KAB. BELITUNG</t>
  </si>
  <si>
    <t>KAB. BANGKA BARAT</t>
  </si>
  <si>
    <t>KAB. BANGKA TENGAH</t>
  </si>
  <si>
    <t>KAB. BANGKA SELATAN</t>
  </si>
  <si>
    <t>KAB. BELITUNG TIMUR</t>
  </si>
  <si>
    <t>KOTA PANGKAL PINANG</t>
  </si>
  <si>
    <t>PROV. KEPULAUAN RIAU</t>
  </si>
  <si>
    <t>KAB. KARIMUN</t>
  </si>
  <si>
    <t>KAB. BINTAN</t>
  </si>
  <si>
    <t>KAB. NATUNA</t>
  </si>
  <si>
    <t>KAB. LINGGA</t>
  </si>
  <si>
    <t>KAB. KEPULAUAN ANAMBAS</t>
  </si>
  <si>
    <t>KOTA BATAM</t>
  </si>
  <si>
    <t>KOTA TANJUNG PINANG</t>
  </si>
  <si>
    <t>PROV. JAWA BARAT</t>
  </si>
  <si>
    <t>KAB. BOGOR</t>
  </si>
  <si>
    <t>KAB. SUKABUMI</t>
  </si>
  <si>
    <t>KAB. CIANJUR</t>
  </si>
  <si>
    <t>KAB. BANDUNG</t>
  </si>
  <si>
    <t>KAB. GARUT</t>
  </si>
  <si>
    <t>KAB. TASIKMALAYA</t>
  </si>
  <si>
    <t>KAB. CIAMIS</t>
  </si>
  <si>
    <t>KAB. KUNINGAN</t>
  </si>
  <si>
    <t>KAB. CIREBON</t>
  </si>
  <si>
    <t>KAB. MAJALENGKA</t>
  </si>
  <si>
    <t>KAB. SUMEDANG</t>
  </si>
  <si>
    <t>KAB. INDRAMAYU</t>
  </si>
  <si>
    <t>KAB. SUBANG</t>
  </si>
  <si>
    <t>KAB. PURWAKARTA</t>
  </si>
  <si>
    <t>KAB. KARAWANG</t>
  </si>
  <si>
    <t>KAB. BEKASI</t>
  </si>
  <si>
    <t>KAB. BANDUNG BARAT</t>
  </si>
  <si>
    <t>KAB. PANGANDARAN</t>
  </si>
  <si>
    <t>KOTA BOGOR</t>
  </si>
  <si>
    <t>KOTA SUKABUMI</t>
  </si>
  <si>
    <t>KOTA BANDUNG</t>
  </si>
  <si>
    <t>KOTA CIREBON</t>
  </si>
  <si>
    <t>KOTA BEKASI</t>
  </si>
  <si>
    <t>KOTA DEPOK</t>
  </si>
  <si>
    <t>KOTA CIMAHI</t>
  </si>
  <si>
    <t>KOTA TASIKMALAYA</t>
  </si>
  <si>
    <t>KOTA BANJAR</t>
  </si>
  <si>
    <t>PROV. JAWA TENGAH</t>
  </si>
  <si>
    <t>KAB. CILACAP</t>
  </si>
  <si>
    <t>KAB. BANYUMAS</t>
  </si>
  <si>
    <t>KAB. PURBALINGGA</t>
  </si>
  <si>
    <t>KAB. BANJARNEGARA</t>
  </si>
  <si>
    <t>KAB. KEBUMEN</t>
  </si>
  <si>
    <t>KAB. PURWOREJO</t>
  </si>
  <si>
    <t>KAB. WONOSOBO</t>
  </si>
  <si>
    <t>KAB. MAGELANG</t>
  </si>
  <si>
    <t>KAB. BOYOLALI</t>
  </si>
  <si>
    <t>KAB. KLATEN</t>
  </si>
  <si>
    <t>KAB. SUKOHARJO</t>
  </si>
  <si>
    <t>KAB. WONOGIRI</t>
  </si>
  <si>
    <t>KAB. KARANGANYAR</t>
  </si>
  <si>
    <t>KAB. SRAGEN</t>
  </si>
  <si>
    <t>KAB. GROBOGAN</t>
  </si>
  <si>
    <t>KAB. BLORA</t>
  </si>
  <si>
    <t>KAB. REMBANG</t>
  </si>
  <si>
    <t>KAB. PATI</t>
  </si>
  <si>
    <t>KAB. KUDUS</t>
  </si>
  <si>
    <t>KAB. JEPARA</t>
  </si>
  <si>
    <t>KAB. DEMAK</t>
  </si>
  <si>
    <t>KAB. SEMARANG</t>
  </si>
  <si>
    <t>KAB. TEMANGGUNG</t>
  </si>
  <si>
    <t>KAB. KENDAL</t>
  </si>
  <si>
    <t>KAB. BATANG</t>
  </si>
  <si>
    <t>KAB. PEKALONGAN</t>
  </si>
  <si>
    <t>KAB. PEMALANG</t>
  </si>
  <si>
    <t>KAB. TEGAL</t>
  </si>
  <si>
    <t>KAB. BREBES</t>
  </si>
  <si>
    <t>KOTA MAGELANG</t>
  </si>
  <si>
    <t>KOTA SURAKARTA</t>
  </si>
  <si>
    <t>KOTA SALATIGA</t>
  </si>
  <si>
    <t>KOTA SEMARANG</t>
  </si>
  <si>
    <t>KOTA PEKALONGAN</t>
  </si>
  <si>
    <t>KOTA TEGAL</t>
  </si>
  <si>
    <t>PROV. DI YOGYAKARTA</t>
  </si>
  <si>
    <t>KAB. KULON PROGO</t>
  </si>
  <si>
    <t>KAB. BANTUL</t>
  </si>
  <si>
    <t>KAB. GUNUNG KIDUL</t>
  </si>
  <si>
    <t>KAB. SLEMAN</t>
  </si>
  <si>
    <t>KOTA YOGYAKARTA</t>
  </si>
  <si>
    <t>PROV. JAWA TIMUR</t>
  </si>
  <si>
    <t>KAB. PACITAN</t>
  </si>
  <si>
    <t>KAB. PONOROGO</t>
  </si>
  <si>
    <t>KAB. TRENGGALEK</t>
  </si>
  <si>
    <t>KAB. TULUNGAGUNG</t>
  </si>
  <si>
    <t>KAB. BLITAR</t>
  </si>
  <si>
    <t>KAB. KEDIRI</t>
  </si>
  <si>
    <t>KAB. MALANG</t>
  </si>
  <si>
    <t>KAB. LUMAJANG</t>
  </si>
  <si>
    <t>KAB. JEMBER</t>
  </si>
  <si>
    <t>KAB. BANYUWANGI</t>
  </si>
  <si>
    <t>KAB. BONDOWOSO</t>
  </si>
  <si>
    <t>KAB. SITUBONDO</t>
  </si>
  <si>
    <t>KAB. PROBOLINGGO</t>
  </si>
  <si>
    <t>KAB. PASURUAN</t>
  </si>
  <si>
    <t>KAB. SIDOARJO</t>
  </si>
  <si>
    <t>KAB. MOJOKERTO</t>
  </si>
  <si>
    <t>KAB. JOMBANG</t>
  </si>
  <si>
    <t>KAB. NGANJUK</t>
  </si>
  <si>
    <t>KAB. MADIUN</t>
  </si>
  <si>
    <t>KAB. MAGETAN</t>
  </si>
  <si>
    <t>KAB. NGAWI</t>
  </si>
  <si>
    <t>KAB. BOJONEGORO</t>
  </si>
  <si>
    <t>KAB. TUBAN</t>
  </si>
  <si>
    <t>KAB. LAMONGAN</t>
  </si>
  <si>
    <t>KAB. GRESIK</t>
  </si>
  <si>
    <t>KAB. BANGKALAN</t>
  </si>
  <si>
    <t>KAB. SAMPANG</t>
  </si>
  <si>
    <t>KAB. PAMEKASAN</t>
  </si>
  <si>
    <t>KAB. SUMENEP</t>
  </si>
  <si>
    <t>KOTA KEDIRI</t>
  </si>
  <si>
    <t>KOTA BLITAR</t>
  </si>
  <si>
    <t>KOTA MALANG</t>
  </si>
  <si>
    <t>KOTA PROBOLINGGO</t>
  </si>
  <si>
    <t>KOTA PASURUAN</t>
  </si>
  <si>
    <t>KOTA MOJOKERTO</t>
  </si>
  <si>
    <t>KOTA MADIUN</t>
  </si>
  <si>
    <t>KOTA SURABAYA</t>
  </si>
  <si>
    <t>KOTA BATU</t>
  </si>
  <si>
    <t>PROV. BANTEN</t>
  </si>
  <si>
    <t>KAB. PANDEGLANG</t>
  </si>
  <si>
    <t>KAB. LEBAK</t>
  </si>
  <si>
    <t>KAB. TANGERANG</t>
  </si>
  <si>
    <t>KAB. SERANG</t>
  </si>
  <si>
    <t>KOTA TANGERANG</t>
  </si>
  <si>
    <t>KOTA CILEGON</t>
  </si>
  <si>
    <t>KOTA SERANG</t>
  </si>
  <si>
    <t>KOTA TANGERANG SELATAN</t>
  </si>
  <si>
    <t>PROV. BALI</t>
  </si>
  <si>
    <t>KAB. JEMBRANA</t>
  </si>
  <si>
    <t>KAB. TABANAN</t>
  </si>
  <si>
    <t>KAB. BADUNG</t>
  </si>
  <si>
    <t>KAB. GIANYAR</t>
  </si>
  <si>
    <t>KAB. KLUNGKUNG</t>
  </si>
  <si>
    <t>KAB. BANGLI</t>
  </si>
  <si>
    <t>KAB. KARANGASEM</t>
  </si>
  <si>
    <t>KAB. BULELENG</t>
  </si>
  <si>
    <t>KOTA DENPASAR</t>
  </si>
  <si>
    <t>PROV. NUSA TENGGARA BARAT</t>
  </si>
  <si>
    <t>KAB. LOMBOK BARAT</t>
  </si>
  <si>
    <t>KAB. LOMBOK TENGAH</t>
  </si>
  <si>
    <t>KAB. LOMBOK TIMUR</t>
  </si>
  <si>
    <t>KAB. SUMBAWA</t>
  </si>
  <si>
    <t>KAB. DOMPU</t>
  </si>
  <si>
    <t>KAB. BIMA</t>
  </si>
  <si>
    <t>KAB. SUMBAWA BARAT</t>
  </si>
  <si>
    <t>KAB. LOMBOK UTARA</t>
  </si>
  <si>
    <t>KOTA MATARAM</t>
  </si>
  <si>
    <t>KOTA BIMA</t>
  </si>
  <si>
    <t>PROV. NUSA TENGGARA TIMUR</t>
  </si>
  <si>
    <t>KAB. SUMBA BARAT</t>
  </si>
  <si>
    <t>KAB. SUMBA TIMUR</t>
  </si>
  <si>
    <t>KAB. KUPANG</t>
  </si>
  <si>
    <t>KAB. TIMOR TENGAH SELATAN</t>
  </si>
  <si>
    <t>KAB. TIMOR TENGAH UTARA</t>
  </si>
  <si>
    <t>KAB. BELU</t>
  </si>
  <si>
    <t>KAB. ALOR</t>
  </si>
  <si>
    <t>KAB. LEMBATA</t>
  </si>
  <si>
    <t>KAB. FLORES TIMUR</t>
  </si>
  <si>
    <t>KAB. SIKKA</t>
  </si>
  <si>
    <t>KAB. ENDE</t>
  </si>
  <si>
    <t>KAB. NGADA</t>
  </si>
  <si>
    <t>KAB. MANGGARAI</t>
  </si>
  <si>
    <t>KAB. ROTE NDAO</t>
  </si>
  <si>
    <t>KAB. MANGGARAI BARAT</t>
  </si>
  <si>
    <t>KAB. SUMBA BARAT DAYA</t>
  </si>
  <si>
    <t>KAB. SUMBA TENGAH</t>
  </si>
  <si>
    <t>KAB. NAGEKEO</t>
  </si>
  <si>
    <t>KAB. MANGGARAI TIMUR</t>
  </si>
  <si>
    <t>KAB. SABU RAIJUA</t>
  </si>
  <si>
    <t>KAB. MALAKA</t>
  </si>
  <si>
    <t>KOTA KUPANG</t>
  </si>
  <si>
    <t>PROV. KALIMANTAN BARAT</t>
  </si>
  <si>
    <t>KAB. SAMBAS</t>
  </si>
  <si>
    <t>KAB. BENGKAYANG</t>
  </si>
  <si>
    <t>KAB. LANDAK</t>
  </si>
  <si>
    <t>KAB. PONTIANAK</t>
  </si>
  <si>
    <t>KAB. SANGGAU</t>
  </si>
  <si>
    <t>KAB. KETAPANG</t>
  </si>
  <si>
    <t>KAB. SINTANG</t>
  </si>
  <si>
    <t>KAB. KAPUAS HULU</t>
  </si>
  <si>
    <t>KAB. SEKADAU</t>
  </si>
  <si>
    <t>KAB. MELAWI</t>
  </si>
  <si>
    <t>KAB. KAYONG UTARA</t>
  </si>
  <si>
    <t>KAB. KUBU RAYA</t>
  </si>
  <si>
    <t>KOTA PONTIANAK</t>
  </si>
  <si>
    <t>KOTA SINGKAWANG</t>
  </si>
  <si>
    <t>PROV. KALIMANTAN TENGAH</t>
  </si>
  <si>
    <t>KAB. KOTA WARINGIN BARAT</t>
  </si>
  <si>
    <t>KAB. KOTA WARINGIN TIMUR</t>
  </si>
  <si>
    <t>KAB. KAPUAS</t>
  </si>
  <si>
    <t>KAB. BARITO SELATAN</t>
  </si>
  <si>
    <t>KAB. BARITO UTARA</t>
  </si>
  <si>
    <t>KAB. SUKAMARA</t>
  </si>
  <si>
    <t>KAB. LAMANDAU</t>
  </si>
  <si>
    <t>KAB. SERUYAN</t>
  </si>
  <si>
    <t>KAB. KATINGAN</t>
  </si>
  <si>
    <t>KAB. PULANG PISAU</t>
  </si>
  <si>
    <t>KAB. GUNUNG MAS</t>
  </si>
  <si>
    <t>KAB. BARITO TIMUR</t>
  </si>
  <si>
    <t>KAB. MURUNG RAYA</t>
  </si>
  <si>
    <t>KOTA PALANGKARAYA</t>
  </si>
  <si>
    <t>PROV. KALIMANTAN SELATAN</t>
  </si>
  <si>
    <t>KAB. TANAH LAUT</t>
  </si>
  <si>
    <t>KAB. KOTA BARU</t>
  </si>
  <si>
    <t>KAB. BANJAR</t>
  </si>
  <si>
    <t>KAB. BARITO KUALA</t>
  </si>
  <si>
    <t>KAB. TAPIN</t>
  </si>
  <si>
    <t>KAB. HULU SUNGAI SELATAN</t>
  </si>
  <si>
    <t>KAB. HULU SUNGAI TENGAH</t>
  </si>
  <si>
    <t>KAB. HULU SUNGAI UTARA</t>
  </si>
  <si>
    <t>KAB. TABALONG</t>
  </si>
  <si>
    <t>KAB. TANAH BUMBU</t>
  </si>
  <si>
    <t>KAB. BALANGAN</t>
  </si>
  <si>
    <t>KOTA BANJARMASIN</t>
  </si>
  <si>
    <t>KOTA BANJARBARU</t>
  </si>
  <si>
    <t>PROV. KALIMANTAN TIMUR</t>
  </si>
  <si>
    <t>KAB. PASER</t>
  </si>
  <si>
    <t>KAB. KUTAI BARAT</t>
  </si>
  <si>
    <t>KAB. KUTAI KARTANEGARA</t>
  </si>
  <si>
    <t>KAB. KUTAI TIMUR</t>
  </si>
  <si>
    <t>KAB. BERAU</t>
  </si>
  <si>
    <t>KAB. PENAJAM PASER UTARA</t>
  </si>
  <si>
    <t>KAB. MAHAKAM ULU</t>
  </si>
  <si>
    <t>KOTA BALIKPAPAN</t>
  </si>
  <si>
    <t>KOTA SAMARINDA</t>
  </si>
  <si>
    <t>KOTA BONTANG</t>
  </si>
  <si>
    <t>PROV. KALIMANTAN UTARA</t>
  </si>
  <si>
    <t>KAB. MALINAU</t>
  </si>
  <si>
    <t>KAB. BULUNGAN</t>
  </si>
  <si>
    <t>KAB. NUNUKAN</t>
  </si>
  <si>
    <t>KAB. TANA TIDUNG</t>
  </si>
  <si>
    <t>KOTA TARAKAN</t>
  </si>
  <si>
    <t>PROV. SULAWESI UTARA</t>
  </si>
  <si>
    <t>KAB. BOLAANG MONGONDOW</t>
  </si>
  <si>
    <t>KAB. MINAHASA</t>
  </si>
  <si>
    <t>KAB. KEPULAUAN SANGIHE</t>
  </si>
  <si>
    <t>KAB. KEPULAUAN TALAUD</t>
  </si>
  <si>
    <t>KAB. MINAHASA SELATAN</t>
  </si>
  <si>
    <t>KAB. MINAHASA UTARA</t>
  </si>
  <si>
    <t>KAB. BOLAANG MONGONDOW UTARA</t>
  </si>
  <si>
    <t>KAB. KEP. SIAU TAGULANDANG BIARO (SITARO)</t>
  </si>
  <si>
    <t>KAB. MINAHASA TENGGARA</t>
  </si>
  <si>
    <t>KAB. BOLAANG MONGONDOW SELATAN</t>
  </si>
  <si>
    <t>KAB. BOLAANG MONGONDOW TIMUR</t>
  </si>
  <si>
    <t>KOTA MANADO</t>
  </si>
  <si>
    <t>KOTA BITUNG</t>
  </si>
  <si>
    <t>KOTA TOMOHON</t>
  </si>
  <si>
    <t>KOTA KOTAMOBAGU</t>
  </si>
  <si>
    <t>PROV. SULAWESI TENGAH</t>
  </si>
  <si>
    <t>KAB. BANGGAI KEPULAUAN</t>
  </si>
  <si>
    <t>KAB. BANGGAI</t>
  </si>
  <si>
    <t>KAB. MOROWALI</t>
  </si>
  <si>
    <t>KAB. POSO</t>
  </si>
  <si>
    <t>KAB. DONGGALA</t>
  </si>
  <si>
    <t>KAB. TOLI-TOLI</t>
  </si>
  <si>
    <t>KAB. BUOL</t>
  </si>
  <si>
    <t>KAB. PARIGI MOUTONG</t>
  </si>
  <si>
    <t>KAB. TOJO UNA-UNA</t>
  </si>
  <si>
    <t>KAB. SIGI</t>
  </si>
  <si>
    <t>KAB. BANGGAI LAUT</t>
  </si>
  <si>
    <t>KAB. MOROWALI UTARA</t>
  </si>
  <si>
    <t>KOTA PALU</t>
  </si>
  <si>
    <t>PROV. SULAWESI SELATAN</t>
  </si>
  <si>
    <t>KAB. KEPULAUAN SELAYAR</t>
  </si>
  <si>
    <t>KAB. BULUKUMBA</t>
  </si>
  <si>
    <t>KAB. BANTAENG</t>
  </si>
  <si>
    <t>KAB. JENEPONTO</t>
  </si>
  <si>
    <t>KAB. TAKALAR</t>
  </si>
  <si>
    <t>KAB. GOWA</t>
  </si>
  <si>
    <t>KAB. SINJAI</t>
  </si>
  <si>
    <t>KAB. MAROS</t>
  </si>
  <si>
    <t>KAB. PANGKAJENE &amp; KEPULAUAN</t>
  </si>
  <si>
    <t>KAB. BARRU</t>
  </si>
  <si>
    <t>KAB. BONE</t>
  </si>
  <si>
    <t>KAB. SOPPENG</t>
  </si>
  <si>
    <t>KAB. WAJO</t>
  </si>
  <si>
    <t>KAB. SIDENRENG RAPPANG</t>
  </si>
  <si>
    <t>KAB. PINRANG</t>
  </si>
  <si>
    <t>KAB. ENREKANG</t>
  </si>
  <si>
    <t>KAB. LUWU</t>
  </si>
  <si>
    <t>KAB. TANA TORAJA</t>
  </si>
  <si>
    <t>KAB. TORAJA UTARA</t>
  </si>
  <si>
    <t>KAB. LUWU UTARA</t>
  </si>
  <si>
    <t>KAB. LUWU TIMUR</t>
  </si>
  <si>
    <t>KOTA MAKASSAR</t>
  </si>
  <si>
    <t>KOTA PAREPARE</t>
  </si>
  <si>
    <t>KOTA PALOPO</t>
  </si>
  <si>
    <t>PROV. SULAWESI TENGGARA</t>
  </si>
  <si>
    <t>KAB. BUTON</t>
  </si>
  <si>
    <t>KAB. MUNA</t>
  </si>
  <si>
    <t>KAB. KONAWE</t>
  </si>
  <si>
    <t>KAB. KOLAKA</t>
  </si>
  <si>
    <t>KAB. KONAWE SELATAN</t>
  </si>
  <si>
    <t>KAB. BOMBANA</t>
  </si>
  <si>
    <t>KAB. WAKATOBI</t>
  </si>
  <si>
    <t>KAB. KOLAKA UTARA</t>
  </si>
  <si>
    <t>KAB. BUTON UTARA</t>
  </si>
  <si>
    <t>KAB. KONAWE UTARA</t>
  </si>
  <si>
    <t>KAB. KONAWE KEPULAUAN</t>
  </si>
  <si>
    <t>KAB. KOLAKA TIMUR</t>
  </si>
  <si>
    <t>KAB. MUNA BARAT</t>
  </si>
  <si>
    <t>KAB. BUTON TENGAH</t>
  </si>
  <si>
    <t>KAB. BUTON SELATAN</t>
  </si>
  <si>
    <t>KOTA KENDARI</t>
  </si>
  <si>
    <t>KOTA BAU-BAU</t>
  </si>
  <si>
    <t>PROV. GORONTALO</t>
  </si>
  <si>
    <t>KAB. BOALEMO</t>
  </si>
  <si>
    <t>KAB. GORONTALO</t>
  </si>
  <si>
    <t>KAB. POHUWATO</t>
  </si>
  <si>
    <t>KAB. BONE BOLANGO</t>
  </si>
  <si>
    <t>KAB. GORONTALO UTARA</t>
  </si>
  <si>
    <t>KOTA GORONTALO</t>
  </si>
  <si>
    <t>PROV. SULAWESI BARAT</t>
  </si>
  <si>
    <t>KAB. MAJENE</t>
  </si>
  <si>
    <t>KAB. POLEWALI MANDAR</t>
  </si>
  <si>
    <t>KAB. MAMASA</t>
  </si>
  <si>
    <t>KAB. MAMUJU</t>
  </si>
  <si>
    <t>KAB. MAMUJU UTARA</t>
  </si>
  <si>
    <t>KAB. MAMUJU TENGAH</t>
  </si>
  <si>
    <t>PROV. MALUKU</t>
  </si>
  <si>
    <t>KAB. MALUKU TENGGARA BARAT</t>
  </si>
  <si>
    <t>KAB. MALUKU TENGGARA</t>
  </si>
  <si>
    <t>KAB. MALUKU TENGAH</t>
  </si>
  <si>
    <t>KAB. BURU</t>
  </si>
  <si>
    <t>KAB. KEPULAUAN ARU</t>
  </si>
  <si>
    <t>KAB. SERAM BAGIAN BARAT</t>
  </si>
  <si>
    <t>KAB. SERAM BAGIAN TIMUR</t>
  </si>
  <si>
    <t>KAB. BURU SELATAN</t>
  </si>
  <si>
    <t>KAB. MALUKU BARAT DAYA</t>
  </si>
  <si>
    <t>KOTA AMBON</t>
  </si>
  <si>
    <t>KOTA TUAL</t>
  </si>
  <si>
    <t>PROV. MALUKU UTARA</t>
  </si>
  <si>
    <t>KAB. HALMAHERA BARAT</t>
  </si>
  <si>
    <t>KAB. HALMAHERA TENGAH</t>
  </si>
  <si>
    <t>KAB. KEPULAUAN SULA</t>
  </si>
  <si>
    <t>KAB. HALMAHERA SELATAN</t>
  </si>
  <si>
    <t>KAB. HALMAHERA UTARA</t>
  </si>
  <si>
    <t>KAB. HALMAHERA TIMUR</t>
  </si>
  <si>
    <t>KAB. PULAU MOROTAI</t>
  </si>
  <si>
    <t>KAB. PULAU TALIABU</t>
  </si>
  <si>
    <t>KOTA TERNATE</t>
  </si>
  <si>
    <t>KOTA TIDORE KEPULAUAN</t>
  </si>
  <si>
    <t>PROV. PAPUA BARAT</t>
  </si>
  <si>
    <t>KAB. FAK-FAK</t>
  </si>
  <si>
    <t>KAB. KAIMANA</t>
  </si>
  <si>
    <t>KAB. TELUK WONDAMA</t>
  </si>
  <si>
    <t>KAB. TELUK BINTUNI</t>
  </si>
  <si>
    <t>KAB. MANOKWARI</t>
  </si>
  <si>
    <t>KAB. SORONG SELATAN</t>
  </si>
  <si>
    <t>KAB. SORONG</t>
  </si>
  <si>
    <t>KAB. RAJA AMPAT</t>
  </si>
  <si>
    <t>KAB. MAYBRAT</t>
  </si>
  <si>
    <t>KAB. TAMBRAUW</t>
  </si>
  <si>
    <t>KAB. MANOKWARI SELATAN</t>
  </si>
  <si>
    <t>KAB. PEGUNUNGAN ARFAK</t>
  </si>
  <si>
    <t>KOTA SORONG</t>
  </si>
  <si>
    <t>PROV. PAPUA</t>
  </si>
  <si>
    <t>KAB. MERAUKE</t>
  </si>
  <si>
    <t>KAB. JAYAWIJAYA</t>
  </si>
  <si>
    <t>KAB. JAYAPURA</t>
  </si>
  <si>
    <t>KAB. NABIRE</t>
  </si>
  <si>
    <t>KAB. KEP. YAPEN (YAPEN WAROPEN)</t>
  </si>
  <si>
    <t>KAB. BIAK NUMFOR</t>
  </si>
  <si>
    <t>KAB. PANIAI</t>
  </si>
  <si>
    <t>KAB. PUNCAK JAYA</t>
  </si>
  <si>
    <t>KAB. MIMIKA</t>
  </si>
  <si>
    <t>KAB. BOVEN DIGOEL</t>
  </si>
  <si>
    <t>KAB. MAPPI</t>
  </si>
  <si>
    <t>KAB. ASMAT</t>
  </si>
  <si>
    <t>KAB. YAHUKIMO</t>
  </si>
  <si>
    <t>KAB. PEGUNUNGAN BINTANG</t>
  </si>
  <si>
    <t>KAB. TOLIKARA</t>
  </si>
  <si>
    <t>KAB. SARMI</t>
  </si>
  <si>
    <t>KAB. KEEROM</t>
  </si>
  <si>
    <t>KAB. WAROPEN</t>
  </si>
  <si>
    <t>KAB. SUPIORI</t>
  </si>
  <si>
    <t>KAB. MAMBERAMO RAYA</t>
  </si>
  <si>
    <t>KAB. NDUGA</t>
  </si>
  <si>
    <t>KAB. LANNY JAYA</t>
  </si>
  <si>
    <t>KAB. MAMBERAMO TENGAH</t>
  </si>
  <si>
    <t>KAB. YALIMO</t>
  </si>
  <si>
    <t>KAB. PUNCAK</t>
  </si>
  <si>
    <t>KAB. DOGIYAI</t>
  </si>
  <si>
    <t>KAB. INTAN JAYA</t>
  </si>
  <si>
    <t>KAB. DEIYAI</t>
  </si>
  <si>
    <t>KOTA JAYAPURA</t>
  </si>
  <si>
    <t>Rumah Tinggal</t>
  </si>
  <si>
    <t>HBU</t>
  </si>
  <si>
    <t>Bangunan Komersil (Ruko / Rukan)</t>
  </si>
  <si>
    <t>Bangunan Komersil (Perkantoran)</t>
  </si>
  <si>
    <t>Bangunan Komersil (Pusat Perbelanjaan / Kios)</t>
  </si>
  <si>
    <t>Bangunan Komersil (Hotel / Resort / Villa)</t>
  </si>
  <si>
    <t>Bangunan Komersil (Showroom)</t>
  </si>
  <si>
    <t>Bangunan Komersil (Showroom &amp; Bengkel)</t>
  </si>
  <si>
    <t>Bangunan Industri (Pabrik)</t>
  </si>
  <si>
    <t>Bangunan Industri (Gudang)</t>
  </si>
  <si>
    <t>Pertanian (Sawah)</t>
  </si>
  <si>
    <t>Pertanian (Kebun)</t>
  </si>
  <si>
    <t>Peternakan</t>
  </si>
  <si>
    <t>Perikanan</t>
  </si>
  <si>
    <t>Pertambangan</t>
  </si>
  <si>
    <t>NO</t>
  </si>
  <si>
    <t>JUMLAH LANTAI</t>
  </si>
  <si>
    <t>Ü</t>
  </si>
  <si>
    <t>Bangunan Industri (Workshop)</t>
  </si>
  <si>
    <t>Bangunan Industri (Workshop &amp; Bengkel)</t>
  </si>
  <si>
    <t>PENGGUNAAN OBYEK</t>
  </si>
  <si>
    <t>Gudang</t>
  </si>
  <si>
    <t>Tempat Kerja / Kantor</t>
  </si>
  <si>
    <t>Workshop / Bengkel</t>
  </si>
  <si>
    <t>Villa / Penginapan</t>
  </si>
  <si>
    <t>Tempat Usaha (Salon)</t>
  </si>
  <si>
    <t>Tempat Pengobatan / Klinik</t>
  </si>
  <si>
    <t>Pos Jaga</t>
  </si>
  <si>
    <t>Tempat Usaha (Kantin)</t>
  </si>
  <si>
    <t>RUMAH TINGGAL</t>
  </si>
  <si>
    <t>RUMAH KONTRAKAN</t>
  </si>
  <si>
    <t>RUMAH KOS</t>
  </si>
  <si>
    <t>PABRIK</t>
  </si>
  <si>
    <t>RUANG PRODUKSI</t>
  </si>
  <si>
    <t>RUANG GUDANG</t>
  </si>
  <si>
    <t>RUANG KANTOR</t>
  </si>
  <si>
    <t>HOME INDUSTRI</t>
  </si>
  <si>
    <t>RUMAH PENJAGA</t>
  </si>
  <si>
    <t>RUANG GENSET</t>
  </si>
  <si>
    <t>RUANG POMPA</t>
  </si>
  <si>
    <t>MESS PIMPINAN</t>
  </si>
  <si>
    <t>MESS KARYAWAN</t>
  </si>
  <si>
    <t>GUEST HOUSE</t>
  </si>
  <si>
    <t>PAVILIUN</t>
  </si>
  <si>
    <t>KAMAR TIDUR</t>
  </si>
  <si>
    <t>KAMAR MANDI / WC</t>
  </si>
  <si>
    <t>SHOWROOM</t>
  </si>
  <si>
    <t>RUANG BENGKEL</t>
  </si>
  <si>
    <t>TOKO</t>
  </si>
  <si>
    <t>KIOS</t>
  </si>
  <si>
    <t>WARUNG</t>
  </si>
  <si>
    <t>MUSHOLLA</t>
  </si>
  <si>
    <t>KANTIN</t>
  </si>
  <si>
    <t>POS JAGA</t>
  </si>
  <si>
    <t>GAZEBO</t>
  </si>
  <si>
    <t>RUANG DAPUR</t>
  </si>
  <si>
    <t>GARASI</t>
  </si>
  <si>
    <t>CARPORT</t>
  </si>
  <si>
    <t>TEMPAT PARKIR</t>
  </si>
  <si>
    <t>BASEMENT</t>
  </si>
  <si>
    <t>KOLAM PENAMPUNGAN AIR</t>
  </si>
  <si>
    <t>Tempat Pertemuan / Aula</t>
  </si>
  <si>
    <t>Mess / Asrama</t>
  </si>
  <si>
    <t>Tempat Parkir / Garasi</t>
  </si>
  <si>
    <t>Guest House</t>
  </si>
  <si>
    <t>Tempat Usaha (Toko / Warung)</t>
  </si>
  <si>
    <t>Tempat Usaha (Home Industri)</t>
  </si>
  <si>
    <t>Rumah Kontrakan</t>
  </si>
  <si>
    <t>Rumah Kost</t>
  </si>
  <si>
    <t>TIPE BANGUNAN</t>
  </si>
  <si>
    <t>RUMAH TINGGAL - 1</t>
  </si>
  <si>
    <t>RUMAH TINGGAL - 2</t>
  </si>
  <si>
    <t>RUMAH KONTRAKAN - 1</t>
  </si>
  <si>
    <t>RUMAH KONTRAKAN - 2</t>
  </si>
  <si>
    <t>PABRIK - 1</t>
  </si>
  <si>
    <t>PABRIK - 2</t>
  </si>
  <si>
    <t>PRODUKSI</t>
  </si>
  <si>
    <t>PRODUKSI - 1</t>
  </si>
  <si>
    <t>PRODUKSI - 2</t>
  </si>
  <si>
    <t>GUDANG</t>
  </si>
  <si>
    <t>GUDANG - 1</t>
  </si>
  <si>
    <t>GUDANG - 2</t>
  </si>
  <si>
    <t>WORKSHOP</t>
  </si>
  <si>
    <t>WORKSHOP - 1</t>
  </si>
  <si>
    <t>WORKSHOP - 2</t>
  </si>
  <si>
    <t>MESS KARYAWAN - 1</t>
  </si>
  <si>
    <t>MESS KARYAWAN - 2</t>
  </si>
  <si>
    <t>MESS KARYAWAN - 3</t>
  </si>
  <si>
    <t>POS JAGA - 1</t>
  </si>
  <si>
    <t>POS JAGA - 2</t>
  </si>
  <si>
    <t>GAZEBO - 1</t>
  </si>
  <si>
    <t>GAZEBO - 2</t>
  </si>
  <si>
    <t>KANTOR</t>
  </si>
  <si>
    <t>BENGKEL</t>
  </si>
  <si>
    <t>DAPUR</t>
  </si>
  <si>
    <t>RUMAH GENSET</t>
  </si>
  <si>
    <t>RUMAH POMPA</t>
  </si>
  <si>
    <t>PARKIR KENDARAAN</t>
  </si>
  <si>
    <t>OBYEK PENILAIAN ( BANGUNAN )</t>
  </si>
  <si>
    <t>Bentuk bangunan modern</t>
  </si>
  <si>
    <t>Bentuk bangunan minimalis</t>
  </si>
  <si>
    <t>PENGGUNAAN BANGUNAN</t>
  </si>
  <si>
    <t>Bentuk bangunan standar</t>
  </si>
  <si>
    <t>Bentuk bangunan klasik</t>
  </si>
  <si>
    <t>ARSITEKTUR BANGUNAN</t>
  </si>
  <si>
    <t>BANGUNAN RUMAH TINGGAL</t>
  </si>
  <si>
    <t>BANGUNAN GUDANG</t>
  </si>
  <si>
    <t>2 LANTAI</t>
  </si>
  <si>
    <t>1 LANTAI</t>
  </si>
  <si>
    <t>MAKS. 4 LANTAI</t>
  </si>
  <si>
    <t>MAKS. 8 LANTAI</t>
  </si>
  <si>
    <t>MIN. 9 LANTAI</t>
  </si>
  <si>
    <t>ELEMEN BANGUNAN</t>
  </si>
  <si>
    <t>INDEKS</t>
  </si>
  <si>
    <t>PONDASI</t>
  </si>
  <si>
    <t>STRUKTUR BETON BERTULANG</t>
  </si>
  <si>
    <t>STRUKTUR KAYU</t>
  </si>
  <si>
    <t>STRUKTUR KAYU KELAS I</t>
  </si>
  <si>
    <t>STRUKTUR</t>
  </si>
  <si>
    <t>RANGKA ATAP</t>
  </si>
  <si>
    <t>ATAP BAJA RINGAN</t>
  </si>
  <si>
    <t>PENUTUP ATAP</t>
  </si>
  <si>
    <t>ASBES</t>
  </si>
  <si>
    <t>DAK BETON</t>
  </si>
  <si>
    <t>FIBREGLASS</t>
  </si>
  <si>
    <t>GENTENG KODOK</t>
  </si>
  <si>
    <t>GENTENG METAL</t>
  </si>
  <si>
    <t xml:space="preserve">GENTENG BETON </t>
  </si>
  <si>
    <t>GENTENG TEGOLA</t>
  </si>
  <si>
    <t>SIRAP</t>
  </si>
  <si>
    <t>SPANDEX</t>
  </si>
  <si>
    <t>PLAFON</t>
  </si>
  <si>
    <t>AKUSTIK</t>
  </si>
  <si>
    <t>TEAKWOOD</t>
  </si>
  <si>
    <t>DINDING</t>
  </si>
  <si>
    <t>BATAKO DILAPIS CAT</t>
  </si>
  <si>
    <t>PAPAN DICAT</t>
  </si>
  <si>
    <t>BATU BATA DILAPIS CAT</t>
  </si>
  <si>
    <t>DINDING SENG</t>
  </si>
  <si>
    <t>BATU PALIMANAN</t>
  </si>
  <si>
    <t>BATU TEMPEL HITAM</t>
  </si>
  <si>
    <t>DILAPIS KERAMIK LOKAL</t>
  </si>
  <si>
    <t>DINDING SPANDEX</t>
  </si>
  <si>
    <t>BATU PARAS</t>
  </si>
  <si>
    <t>DILAPIS KERAMIK IMPOR</t>
  </si>
  <si>
    <t xml:space="preserve">DILAPIS MOZAIK </t>
  </si>
  <si>
    <t>DILAPIS PORSELIN</t>
  </si>
  <si>
    <t>ROOSTER BATA MERAH</t>
  </si>
  <si>
    <t>ROOSTER BETON</t>
  </si>
  <si>
    <t>DILAPIS MARMER LOKAL</t>
  </si>
  <si>
    <t>PINTU &amp; JENDELA</t>
  </si>
  <si>
    <t>PINTU &amp; JENDELA KACA BENING</t>
  </si>
  <si>
    <t>PINTU &amp; JENDELA KACA ES</t>
  </si>
  <si>
    <t>PINTU &amp; JENDELA KACA GRAVIR BIASA</t>
  </si>
  <si>
    <t>KUSEN KAYU KELAS I</t>
  </si>
  <si>
    <t>KUSEN KAYU KELAS II</t>
  </si>
  <si>
    <t>KUSEN KAYU KELAS III</t>
  </si>
  <si>
    <t>PINTU PLYWOOD</t>
  </si>
  <si>
    <t>KUSEN ALMUNIUM</t>
  </si>
  <si>
    <t>LANTAI</t>
  </si>
  <si>
    <t>GRANIT LOKAL</t>
  </si>
  <si>
    <t>KERAMIK LOKAL</t>
  </si>
  <si>
    <t>GRANIT IMPOR</t>
  </si>
  <si>
    <t>KERAMIK IMPOR</t>
  </si>
  <si>
    <t>KARPET LOKAL</t>
  </si>
  <si>
    <t xml:space="preserve">MOZAIK </t>
  </si>
  <si>
    <t>KARPET IMPOR</t>
  </si>
  <si>
    <t>PORSELIN</t>
  </si>
  <si>
    <t>RABAT BETON (SEMEN EKSPOSE)</t>
  </si>
  <si>
    <t>PAPAN</t>
  </si>
  <si>
    <t>MARMER LOKAL</t>
  </si>
  <si>
    <t>UBIN PC</t>
  </si>
  <si>
    <t>UBIN TERASO</t>
  </si>
  <si>
    <t>MARMER IMPOR</t>
  </si>
  <si>
    <t>VYNIL LOKAL</t>
  </si>
  <si>
    <t>UBIN KAYU IMPOR</t>
  </si>
  <si>
    <t>VYNIL IMPOR</t>
  </si>
  <si>
    <t>KONSTRUKSI BAJA</t>
  </si>
  <si>
    <t>BETON BERTULANG (DAK) &amp; DIEKSPOS</t>
  </si>
  <si>
    <t>BAJA</t>
  </si>
  <si>
    <t>PELAT LANTAI BETON T =  8 CM</t>
  </si>
  <si>
    <t>PELAT LANTAI BETON T = 10 CM</t>
  </si>
  <si>
    <t>PELAT LANTAI BETON T = 12 CM</t>
  </si>
  <si>
    <t>PELAT LANTAI BETON T = 15 CM</t>
  </si>
  <si>
    <t>PELAT LANTAI BETON T = 18 CM</t>
  </si>
  <si>
    <t>SLAB BETON T = 10 CM</t>
  </si>
  <si>
    <t>SLAB BETON T = 15 CM</t>
  </si>
  <si>
    <t>SLAB BETON T = 20 CM</t>
  </si>
  <si>
    <t>SLAB BETON T = 25 CM</t>
  </si>
  <si>
    <t>SLAB BETON T = 30 CM</t>
  </si>
  <si>
    <r>
      <t xml:space="preserve">RENDAH </t>
    </r>
    <r>
      <rPr>
        <b/>
        <i/>
        <sz val="8"/>
        <color indexed="13"/>
        <rFont val="Calibri"/>
        <family val="2"/>
      </rPr>
      <t>(LOW-RISE)</t>
    </r>
  </si>
  <si>
    <r>
      <t xml:space="preserve">SEDANG </t>
    </r>
    <r>
      <rPr>
        <b/>
        <i/>
        <sz val="8"/>
        <color indexed="13"/>
        <rFont val="Calibri"/>
        <family val="2"/>
      </rPr>
      <t>(MID-RISE)</t>
    </r>
  </si>
  <si>
    <r>
      <t xml:space="preserve">TINGGI </t>
    </r>
    <r>
      <rPr>
        <b/>
        <i/>
        <sz val="8"/>
        <color indexed="13"/>
        <rFont val="Calibri"/>
        <family val="2"/>
      </rPr>
      <t>(HIGH RISE)</t>
    </r>
  </si>
  <si>
    <t>BANGUNAN HOTEL / MOTEL</t>
  </si>
  <si>
    <t>BANGUNAN RUMAH SUSUN</t>
  </si>
  <si>
    <t>BANGUNAN INDUSTRI DAN GUDANG</t>
  </si>
  <si>
    <t>Ruko / Rukan</t>
  </si>
  <si>
    <t>Pasar Tradisional</t>
  </si>
  <si>
    <t>Pusat Perbelanjaan / Mall</t>
  </si>
  <si>
    <t>BANGUNAN KANTOR</t>
  </si>
  <si>
    <t>BANGUNAN GEDUNG PEMERINTAH</t>
  </si>
  <si>
    <t>Bangunan Peribadatan &amp; Pusat Kebudayaan</t>
  </si>
  <si>
    <t>Toko / Kios Individu</t>
  </si>
  <si>
    <t>BANGUNAN PUSAT PERBELANJAAN</t>
  </si>
  <si>
    <t>UMUR EKONOMIS BANGUNAN</t>
  </si>
  <si>
    <t>BANGUNAN KAWASAN PERKEBUNAN</t>
  </si>
  <si>
    <t>UEKO_BGN_RUMAH_TINGGAL</t>
  </si>
  <si>
    <t>UEKO_BGN_RUMAH_SUSUN</t>
  </si>
  <si>
    <t>UEKO_BGN_PUSAT_PERBELANJAAN</t>
  </si>
  <si>
    <t>UEKO_BGN_GEDUNG_PEMERINTAH</t>
  </si>
  <si>
    <t>UEKO_BGN_HOTEL___MOTEL</t>
  </si>
  <si>
    <t>UEKO_BGN_INDUSTRI_DAN_GUDANG</t>
  </si>
  <si>
    <t>UEKO_BGN_KAWASAN_PERKEBUNAN</t>
  </si>
  <si>
    <t>Klasifikasi Bangunan</t>
  </si>
  <si>
    <t>UEKO BGN RUMAH TINGGAL</t>
  </si>
  <si>
    <t>UEKO BGN RUMAH SUSUN</t>
  </si>
  <si>
    <t>UEKO BGN PUSAT PERBELANJAAN</t>
  </si>
  <si>
    <t>UEKO BGN KANTOR</t>
  </si>
  <si>
    <t>UEKO BGN GEDUNG PEMERINTAH</t>
  </si>
  <si>
    <t>UEKO BGN HOTEL / MOTEL</t>
  </si>
  <si>
    <t>UEKO BGN INDUSTRI DAN GUDANG</t>
  </si>
  <si>
    <t>UEKO BGN KAWASAN PERKEBUNAN</t>
  </si>
  <si>
    <t>UEKO_BGN_KANTOR</t>
  </si>
  <si>
    <t>Kelas Bangunan</t>
  </si>
  <si>
    <t>Bangunan Kelas Sangat Sederhana</t>
  </si>
  <si>
    <t>Bangunan Kelas Sederhana</t>
  </si>
  <si>
    <t>Bangunan Kelas Menengah</t>
  </si>
  <si>
    <t>Bangunan Kelas Menengah-Mewah</t>
  </si>
  <si>
    <t>Bangunan Kelas Mewah</t>
  </si>
  <si>
    <t>Bangunan Kantor, Sekolah, Balai Pertemuan, Rumah Sakit &amp; Laboratorium</t>
  </si>
  <si>
    <t>Bangunan Hotel / Motel Bertingkat ≥ 5 Lantai</t>
  </si>
  <si>
    <t>Rumah Susun ≥ 5 Lantai</t>
  </si>
  <si>
    <t>Bangunan Kantor ≥ 5 Lantai</t>
  </si>
  <si>
    <t>Bangunan Villa Tidak Bertingkat</t>
  </si>
  <si>
    <t xml:space="preserve">Bangunan Bahan Konstruksi Kayu Kelas Awet 4 &amp; 5 </t>
  </si>
  <si>
    <t>Bangunan Bahan Konstruksi Kayu Kelas Awet 3</t>
  </si>
  <si>
    <t>Bangunan Bahan Konstruksi Kayu Kelas Awet 1 &amp; 2</t>
  </si>
  <si>
    <t>Bangunan Bahan Konstruksi Beton Bertulang / Baja / Tembok Batu Bata</t>
  </si>
  <si>
    <t>BANGUNAN RUMAH TINGGAL MEWAH</t>
  </si>
  <si>
    <t>BANGUNAN RUMAH TINGGAL MENENGAH</t>
  </si>
  <si>
    <t>BANGUNAN RUMAH TINGGAL SEDERHANA</t>
  </si>
  <si>
    <t>BANGUNAN PERKEBUNAN (SEMI PERMANEN)</t>
  </si>
  <si>
    <t>Rumah Susun ≤ 4 Lantai</t>
  </si>
  <si>
    <t>Bangunan Kantor ≤ 4 Lantai</t>
  </si>
  <si>
    <t>Bangunan Villa / Hotel / Motel Bertingkat ≤ 4 Lantai</t>
  </si>
  <si>
    <t>PONDASI-RT-MWH</t>
  </si>
  <si>
    <t>PONDASI-RT-MNG</t>
  </si>
  <si>
    <t>PONDASI-RT-SDN</t>
  </si>
  <si>
    <t>PONDASI-SEMI-P</t>
  </si>
  <si>
    <t>STRUKTUR-RT-MWH</t>
  </si>
  <si>
    <t>STRUKTUR-RT-MNG</t>
  </si>
  <si>
    <t>STRUKTUR-RT-SDN</t>
  </si>
  <si>
    <t>STRUKTUR-SEMI-P</t>
  </si>
  <si>
    <t>RANGKA ATAP-RT-MWH</t>
  </si>
  <si>
    <t>RANGKA ATAP-RT-MNG</t>
  </si>
  <si>
    <t>RANGKA ATAP-RT-SDN</t>
  </si>
  <si>
    <t>RANGKA ATAP-SEMI-P</t>
  </si>
  <si>
    <t>PENUTUP ATAP-RT-MWH</t>
  </si>
  <si>
    <t>PENUTUP ATAP-RT-MNG</t>
  </si>
  <si>
    <t>PENUTUP ATAP-RT-SDN</t>
  </si>
  <si>
    <t>PENUTUP ATAP-SEMI-P</t>
  </si>
  <si>
    <t>PLAFON-RT-MWH</t>
  </si>
  <si>
    <t>PLAFON-RT-MNG</t>
  </si>
  <si>
    <t>PLAFON-RT-SDN</t>
  </si>
  <si>
    <t>PLAFON-SEMI-P</t>
  </si>
  <si>
    <t>DINDING-RT-MWH</t>
  </si>
  <si>
    <t>DINDING-RT-MNG</t>
  </si>
  <si>
    <t>DINDING-RT-SDN</t>
  </si>
  <si>
    <t>DINDING-SEMI-P</t>
  </si>
  <si>
    <t>PINTU &amp; JENDELA-RT-MWH</t>
  </si>
  <si>
    <t>PINTU &amp; JENDELA-RT-MNG</t>
  </si>
  <si>
    <t>PINTU &amp; JENDELA-RT-SDN</t>
  </si>
  <si>
    <t>PINTU &amp; JENDELA-SEMI-P</t>
  </si>
  <si>
    <t>LANTAI-RT-MWH</t>
  </si>
  <si>
    <t>LANTAI-RT-MNG</t>
  </si>
  <si>
    <t>LANTAI-RT-SDN</t>
  </si>
  <si>
    <t>LANTAI-SEMI-P</t>
  </si>
  <si>
    <t>PONDASI-GUDANG</t>
  </si>
  <si>
    <t>PONDASI-GDG-4LT</t>
  </si>
  <si>
    <t>PONDASI-GDG-8LT</t>
  </si>
  <si>
    <t>PONDASI-GDG-9LT</t>
  </si>
  <si>
    <t>STRUKTUR-GUDANG</t>
  </si>
  <si>
    <t>STRUKTUR-GDG-4LT</t>
  </si>
  <si>
    <t>STRUKTUR-GDG-8LT</t>
  </si>
  <si>
    <t>STRUKTUR-GDG-9LT</t>
  </si>
  <si>
    <t>RANGKA ATAP-GUDANG</t>
  </si>
  <si>
    <t>RANGKA ATAP-GDG-4LT</t>
  </si>
  <si>
    <t>RANGKA ATAP-GDG-8LT</t>
  </si>
  <si>
    <t>RANGKA ATAP-GDG-9LT</t>
  </si>
  <si>
    <t>PENUTUP ATAP-GUDANG</t>
  </si>
  <si>
    <t>PENUTUP ATAP-GDG-4LT</t>
  </si>
  <si>
    <t>PENUTUP ATAP-GDG-8LT</t>
  </si>
  <si>
    <t>PENUTUP ATAP-GDG-9LT</t>
  </si>
  <si>
    <t>PLAFON-GUDANG</t>
  </si>
  <si>
    <t>PLAFON-GDG-4LT</t>
  </si>
  <si>
    <t>PLAFON-GDG-8LT</t>
  </si>
  <si>
    <t>PLAFON-GDG-9LT</t>
  </si>
  <si>
    <t>DINDING-GUDANG</t>
  </si>
  <si>
    <t>DINDING-GDG-4LT</t>
  </si>
  <si>
    <t>DINDING-GDG-8LT</t>
  </si>
  <si>
    <t>DINDING-GDG-9LT</t>
  </si>
  <si>
    <t>PINTU &amp; JENDELA-GUDANG</t>
  </si>
  <si>
    <t>PINTU &amp; JENDELA-GDG-4LT</t>
  </si>
  <si>
    <t>PINTU &amp; JENDELA-GDG-8LT</t>
  </si>
  <si>
    <t>PINTU &amp; JENDELA-GDG-9LT</t>
  </si>
  <si>
    <t>LANTAI-GUDANG</t>
  </si>
  <si>
    <t>LANTAI-GDG-4LT</t>
  </si>
  <si>
    <t>LANTAI-GDG-8LT</t>
  </si>
  <si>
    <t>LANTAI-GDG-9LT</t>
  </si>
  <si>
    <t>BANGUNAN GEDUNG MAKSIMAL 4 LANTAI</t>
  </si>
  <si>
    <t>BANGUNAN GEDUNG MAKSIMAL 8 LANTAI</t>
  </si>
  <si>
    <t>BANGUNAN GEDUNG MINIMAL 9 LANTAI</t>
  </si>
  <si>
    <t>INDEKS_MATERIAL_RT_MWH</t>
  </si>
  <si>
    <t>INDEKS_MATERIAL_RT_MNG</t>
  </si>
  <si>
    <t>INDEKS_MATERIAL_RT_SDN</t>
  </si>
  <si>
    <t>INDEKS_MATERIAL_SEMI_P</t>
  </si>
  <si>
    <t>INDEKS_MATERIAL_GUDANG</t>
  </si>
  <si>
    <t>INDEKS_MATERIAL_GDG_4LT</t>
  </si>
  <si>
    <t>INDEKS_MATERIAL_GDG_8LT</t>
  </si>
  <si>
    <t>INDEKS_MATERIAL_GDG_9LT</t>
  </si>
  <si>
    <t>INDEKS MATERIAL GUDANG</t>
  </si>
  <si>
    <t>INDEKS MATERIAL RT-MWH</t>
  </si>
  <si>
    <t>INDEKS MATERIAL RT-MNG</t>
  </si>
  <si>
    <t>INDEKS MATERIAL RT-SDN</t>
  </si>
  <si>
    <t>INDEKS MATERIAL SEMI-P</t>
  </si>
  <si>
    <t>INDEKS MATERIAL GDG-4LT</t>
  </si>
  <si>
    <t>INDEKS MATERIAL GDG-8LT</t>
  </si>
  <si>
    <t>INDEKS MATERIAL GDG-9LT</t>
  </si>
  <si>
    <t>TIPE BANGUNAN MAPPI</t>
  </si>
  <si>
    <t>Jumlah Lantai</t>
  </si>
  <si>
    <t>PLAFOND</t>
  </si>
  <si>
    <t>UTILITAS</t>
  </si>
  <si>
    <t>BANGUNAN</t>
  </si>
  <si>
    <t>Ruangan</t>
  </si>
  <si>
    <t>Garasi</t>
  </si>
  <si>
    <t>Ruang Keluarga</t>
  </si>
  <si>
    <t>Jumlah Luas</t>
  </si>
  <si>
    <t>NAMA MATERIAL</t>
  </si>
  <si>
    <t>PERSENTASE TERPASANG</t>
  </si>
  <si>
    <t>Umur Ekonomis</t>
  </si>
  <si>
    <t>Jenis Renovasi</t>
  </si>
  <si>
    <t>Tahun Renovasi</t>
  </si>
  <si>
    <t>Tahun Bangun</t>
  </si>
  <si>
    <t>PROVINSI</t>
  </si>
  <si>
    <t>KOTA / KABUPATEN</t>
  </si>
  <si>
    <t>Rp. / m²</t>
  </si>
  <si>
    <t>TOTAL BIAYA LANGSUNG ( A )</t>
  </si>
  <si>
    <t>Professional Fee</t>
  </si>
  <si>
    <t>TOTAL BIAYA TIDAK LANGSUNG ( B )</t>
  </si>
  <si>
    <t>TOTAL BIAYA PEMBANGUNAN BARU ( A + B )</t>
  </si>
  <si>
    <t>PPN 10%</t>
  </si>
  <si>
    <t>TOTAL BIAYA PEMB. BARU SETELAH PPN</t>
  </si>
  <si>
    <t>P E M B U L A T A N</t>
  </si>
  <si>
    <t>LAINNYA</t>
  </si>
  <si>
    <t>DKI JAKARTA</t>
  </si>
  <si>
    <t>KOTA JAKARTA</t>
  </si>
  <si>
    <t>IKK PROVINSI</t>
  </si>
  <si>
    <t>IKK KAB / KOTA</t>
  </si>
  <si>
    <t>KODE</t>
  </si>
  <si>
    <t>NAMA PROPINSI / KABUPATEN / KOTA</t>
  </si>
  <si>
    <t>IKK-MAPPI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</si>
  <si>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</si>
  <si>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</si>
  <si>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</si>
  <si>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</si>
  <si>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</si>
  <si>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</si>
  <si>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</si>
  <si>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</si>
  <si>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</si>
  <si>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</si>
  <si>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</si>
  <si>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</si>
  <si>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</si>
  <si>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</si>
  <si>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</si>
  <si>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</si>
  <si>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</si>
  <si>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</si>
  <si>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</si>
  <si>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</si>
  <si>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</si>
  <si>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</si>
  <si>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BIAYA TEKNIS BANGUNAN (BTB) - MAPPI</t>
  </si>
  <si>
    <t>INDEKS MATERIAL - MAPPI (IMM)</t>
  </si>
  <si>
    <t>INDEKS KEMAHALAN KONSTRUKSI (IKK) - MAPPI</t>
  </si>
  <si>
    <t>BTB SPESIFIKASI STANDAR MAPPI</t>
  </si>
  <si>
    <t>Kab. Kep. Siau Tagulandang Biaro (Sitaro)</t>
  </si>
  <si>
    <t>PONDASI_RT_MWH</t>
  </si>
  <si>
    <t>PONDASI_RT_MNG</t>
  </si>
  <si>
    <t>PONDASI_RT_SDN</t>
  </si>
  <si>
    <t>PONDASI_SEMI_P</t>
  </si>
  <si>
    <t>PONDASI_GUDANG</t>
  </si>
  <si>
    <t>PONDASI_GDG_4LT</t>
  </si>
  <si>
    <t>PONDASI_GDG_8LT</t>
  </si>
  <si>
    <t>PONDASI_GDG_9LT</t>
  </si>
  <si>
    <t>STRUKTUR_RT_MWH</t>
  </si>
  <si>
    <t>STRUKTUR_RT_MNG</t>
  </si>
  <si>
    <t>STRUKTUR_RT_SDN</t>
  </si>
  <si>
    <t>STRUKTUR_SEMI_P</t>
  </si>
  <si>
    <t>STRUKTUR_GUDANG</t>
  </si>
  <si>
    <t>STRUKTUR_GDG_4LT</t>
  </si>
  <si>
    <t>STRUKTUR_GDG_8LT</t>
  </si>
  <si>
    <t>STRUKTUR_GDG_9LT</t>
  </si>
  <si>
    <t>PLAFON_RT_MWH</t>
  </si>
  <si>
    <t>PLAFON_RT_MNG</t>
  </si>
  <si>
    <t>PLAFON_RT_SDN</t>
  </si>
  <si>
    <t>PLAFON_SEMI_P</t>
  </si>
  <si>
    <t>PLAFON_GUDANG</t>
  </si>
  <si>
    <t>PLAFON_GDG_4LT</t>
  </si>
  <si>
    <t>PLAFON_GDG_8LT</t>
  </si>
  <si>
    <t>PLAFON_GDG_9LT</t>
  </si>
  <si>
    <t>DINDING_RT_MWH</t>
  </si>
  <si>
    <t>DINDING_RT_MNG</t>
  </si>
  <si>
    <t>DINDING_RT_SDN</t>
  </si>
  <si>
    <t>DINDING_SEMI_P</t>
  </si>
  <si>
    <t>DINDING_GUDANG</t>
  </si>
  <si>
    <t>DINDING_GDG_4LT</t>
  </si>
  <si>
    <t>DINDING_GDG_8LT</t>
  </si>
  <si>
    <t>DINDING_GDG_9LT</t>
  </si>
  <si>
    <t>LANTAI_RT_MWH</t>
  </si>
  <si>
    <t>LANTAI_RT_MNG</t>
  </si>
  <si>
    <t>LANTAI_RT_SDN</t>
  </si>
  <si>
    <t>LANTAI_SEMI_P</t>
  </si>
  <si>
    <t>LANTAI_GUDANG</t>
  </si>
  <si>
    <t>LANTAI_GDG_4LT</t>
  </si>
  <si>
    <t>LANTAI_GDG_8LT</t>
  </si>
  <si>
    <t>LANTAI_GDG_9LT</t>
  </si>
  <si>
    <t>RANGKA_ATAP_RT_MWH</t>
  </si>
  <si>
    <t>RANGKA_ATAP_RT_MNG</t>
  </si>
  <si>
    <t>RANGKA_ATAP_RT_SDN</t>
  </si>
  <si>
    <t>RANGKA_ATAP_SEMI_P</t>
  </si>
  <si>
    <t>RANGKA_ATAP_GUDANG</t>
  </si>
  <si>
    <t>RANGKA_ATAP_GDG_4LT</t>
  </si>
  <si>
    <t>RANGKA_ATAP_GDG_8LT</t>
  </si>
  <si>
    <t>RANGKA_ATAP_GDG_9LT</t>
  </si>
  <si>
    <t>PENUTUP_ATAP_RT_MWH</t>
  </si>
  <si>
    <t>PENUTUP_ATAP_RT_MNG</t>
  </si>
  <si>
    <t>PENUTUP_ATAP_RT_SDN</t>
  </si>
  <si>
    <t>PENUTUP_ATAP_SEMI_P</t>
  </si>
  <si>
    <t>PENUTUP_ATAP_GUDANG</t>
  </si>
  <si>
    <t>PENUTUP_ATAP_GDG_4LT</t>
  </si>
  <si>
    <t>PENUTUP_ATAP_GDG_8LT</t>
  </si>
  <si>
    <t>PENUTUP_ATAP_GDG_9LT</t>
  </si>
  <si>
    <t>PINTU___JENDELA_RT_MWH</t>
  </si>
  <si>
    <t>PINTU___JENDELA_RT_MNG</t>
  </si>
  <si>
    <t>PINTU___JENDELA_RT_SDN</t>
  </si>
  <si>
    <t>PINTU___JENDELA_SEMI_P</t>
  </si>
  <si>
    <t>PINTU___JENDELA_GUDANG</t>
  </si>
  <si>
    <t>PINTU___JENDELA_GDG_4LT</t>
  </si>
  <si>
    <t>PINTU___JENDELA_GDG_8LT</t>
  </si>
  <si>
    <t>PINTU___JENDELA_GDG_9LT</t>
  </si>
  <si>
    <t>NAMA PROVINSI / KOTA / KABUPATEN</t>
  </si>
  <si>
    <t>Kab. Sijunjung (Sawah Lunto)</t>
  </si>
  <si>
    <t>STRUKTUR BAJA PROFIL</t>
  </si>
  <si>
    <t>GENTENG KERAMIK BERGLAZUR</t>
  </si>
  <si>
    <t>GENTENG ONDULIN</t>
  </si>
  <si>
    <t xml:space="preserve">FIBERSEMEN </t>
  </si>
  <si>
    <t>SENG GELOMBANG</t>
  </si>
  <si>
    <t>PVC</t>
  </si>
  <si>
    <t>LAMBRESERING (KAYU)</t>
  </si>
  <si>
    <t>BETON EKSPOSE DI CAT</t>
  </si>
  <si>
    <t>GYPSUMBOARD RANGKA METAL FURING</t>
  </si>
  <si>
    <t>GYPSUMBOARD RANGKA GALVANIS</t>
  </si>
  <si>
    <t>GYPSUMBOARD RANGKA HOLLO CAT MENI</t>
  </si>
  <si>
    <t>TRIPLEK</t>
  </si>
  <si>
    <t>GRC RANGKA METAL FURING</t>
  </si>
  <si>
    <t>GRC RANGKA GALVANIS</t>
  </si>
  <si>
    <t>GRC RANGKA HOLLO CAT MENI</t>
  </si>
  <si>
    <t>BATA RINGAN DICAT</t>
  </si>
  <si>
    <t>PARTISI GYPSUMBOARD 2 MUKA</t>
  </si>
  <si>
    <t>DILAPIS MARMER IMPOR</t>
  </si>
  <si>
    <t>DILAPIS GRANIT LOKAL</t>
  </si>
  <si>
    <t>DILAPIS GRANIT IMPOR</t>
  </si>
  <si>
    <t xml:space="preserve">DILAPIS WALLPAPER </t>
  </si>
  <si>
    <t>ALUMINIUM COMPOSITE PANEL (ACP)</t>
  </si>
  <si>
    <t>CURTAIN WALL, KACA CLEAR 8 MM</t>
  </si>
  <si>
    <t>PINTU &amp; JENDELA KACA RAYBAN</t>
  </si>
  <si>
    <t>PINTU DARI PAPAN</t>
  </si>
  <si>
    <t>FOLDING GATE</t>
  </si>
  <si>
    <t>PINTU BESI STANDARD</t>
  </si>
  <si>
    <t>PINTU BESI TAHAN API</t>
  </si>
  <si>
    <t>HOMOGENEOUS TILE</t>
  </si>
  <si>
    <t>PARKIT JATI</t>
  </si>
  <si>
    <t>SCREED ACI DILAPIS FLOORHARDENER</t>
  </si>
  <si>
    <t>STRUKTUR BETON BERTULANG (DAK)</t>
  </si>
  <si>
    <t>TANPA PLAFON</t>
  </si>
  <si>
    <t>NAMA MATERIAL YANG BERBEDA</t>
  </si>
  <si>
    <t>MODEL : 3 LT RUKO</t>
  </si>
  <si>
    <t>MODEL : 8 LT OFFICE</t>
  </si>
  <si>
    <t>MODEL : 16 LT OFFICE</t>
  </si>
  <si>
    <t>IMM</t>
  </si>
  <si>
    <t>TANPA RANGKA ATAP</t>
  </si>
  <si>
    <t>- - - -</t>
  </si>
  <si>
    <t>BAIK SEKALI</t>
  </si>
  <si>
    <t>BAIK</t>
  </si>
  <si>
    <t>CUKUP BAIK</t>
  </si>
  <si>
    <t>CUKUP</t>
  </si>
  <si>
    <t>KURANG</t>
  </si>
  <si>
    <t>BURUK</t>
  </si>
  <si>
    <t>BOBOT ELEMENT                                 BANGUNAN</t>
  </si>
  <si>
    <t>PENYUSUTAN FISIK</t>
  </si>
  <si>
    <t>KONDISI KESESUAIAN</t>
  </si>
  <si>
    <t>KONDISI BANGUNAN</t>
  </si>
  <si>
    <t xml:space="preserve"> BRB / RCN</t>
  </si>
  <si>
    <t xml:space="preserve"> NILAI PASAR BANGUNAN</t>
  </si>
  <si>
    <t>TOTAL BRB SETELAH PPN (PEMBULATAN)</t>
  </si>
  <si>
    <t>TOTAL BIAYA TIDAK LANGSUNG  ( B )</t>
  </si>
  <si>
    <t>TOTAL BIAYA LANGSUNG  ( A )</t>
  </si>
  <si>
    <t>NILAI PASAR BANGUNAN</t>
  </si>
  <si>
    <t>BIAYA REPRODUKSI BARU (BRB) / BIAYA PENGGANTI BARU</t>
  </si>
  <si>
    <t>Umur Efektif</t>
  </si>
  <si>
    <r>
      <t xml:space="preserve"> BRB / RCN  ( / M</t>
    </r>
    <r>
      <rPr>
        <b/>
        <sz val="10"/>
        <color indexed="9"/>
        <rFont val="Calibri"/>
        <family val="2"/>
        <charset val="1"/>
      </rPr>
      <t>² )</t>
    </r>
  </si>
  <si>
    <r>
      <t xml:space="preserve"> NILAI PASAR BANGUNAN  ( / M</t>
    </r>
    <r>
      <rPr>
        <b/>
        <sz val="10"/>
        <color indexed="9"/>
        <rFont val="Calibri"/>
        <family val="2"/>
        <charset val="1"/>
      </rPr>
      <t>² )</t>
    </r>
  </si>
  <si>
    <t>PROFESSIONAL FEE + PERIJINAN + KEUNTUNGAN KONTRAKTOR</t>
  </si>
  <si>
    <t>HARGA SATUAN                 ( Rp / m² )</t>
  </si>
  <si>
    <t>HASIL PENYESUAIAN MATERIAL              PER-ELEMEN BANGUNAN                 ( Rp / m² )</t>
  </si>
  <si>
    <t>STANDAR MAPPI</t>
  </si>
  <si>
    <t>UMUR EKONOMIS / MANFAAT BANGUNAN  :</t>
  </si>
  <si>
    <t>BANGUNAN GEDUNG BERTINGKAT</t>
  </si>
  <si>
    <t>MID-RISE</t>
  </si>
  <si>
    <t>HIGH-RISE</t>
  </si>
  <si>
    <t>LOW-RISE</t>
  </si>
  <si>
    <t>BANGUNAN PERKEBUNAN</t>
  </si>
  <si>
    <t>( SEMI PERMANEN )</t>
  </si>
  <si>
    <t>Maks. 4 Lantai</t>
  </si>
  <si>
    <t>Maks. 8 Lantai</t>
  </si>
  <si>
    <t>Min. 9 Lantai</t>
  </si>
  <si>
    <t>MEWAH - 2 LT</t>
  </si>
  <si>
    <t>MENENGAH - 2 LT</t>
  </si>
  <si>
    <t xml:space="preserve">  SEDERHANA - 1 LT</t>
  </si>
  <si>
    <t>Bgn. Gudang / Industri Kelas Konstruksi Ringan</t>
  </si>
  <si>
    <t>Bgn. Gudang / Industri Kelas Konstruksi Menengah &amp; Berat</t>
  </si>
  <si>
    <r>
      <t xml:space="preserve">REFERENSI VISUAL TIPE BANGUNAN                               </t>
    </r>
    <r>
      <rPr>
        <b/>
        <u/>
        <sz val="18"/>
        <color indexed="17"/>
        <rFont val="Calibri"/>
        <family val="2"/>
      </rPr>
      <t>(STANDAR MAPPI)</t>
    </r>
  </si>
  <si>
    <t>Lantai           Mezzanine                            ( m² )</t>
  </si>
  <si>
    <t>Teras / Balkon                           ( m² )</t>
  </si>
  <si>
    <t>Bgn. Kantor                     / Lainnya                            ( m² )</t>
  </si>
  <si>
    <t>BANGUNAN KANTOR / LAINNYA DALAM GUDANG / PABRIK</t>
  </si>
  <si>
    <t>Rp. / M2</t>
  </si>
  <si>
    <t>2 - LANTAI</t>
  </si>
  <si>
    <t>1 - LANTAI</t>
  </si>
  <si>
    <t>BGN. KANTOR / LAINNYA</t>
  </si>
  <si>
    <t>PENYUSUTAN BANGUNAN</t>
  </si>
  <si>
    <t>KEUSANGAN FUNGSIONAL</t>
  </si>
  <si>
    <t>KEUSANGAN EKONOMIS</t>
  </si>
  <si>
    <t>TOTAL PENYUSUTAN</t>
  </si>
  <si>
    <t>KEMUNDURAN FISIK</t>
  </si>
  <si>
    <t>KONDISI TERLIHAT</t>
  </si>
  <si>
    <t>KAB. SIJUNJUNG (SWL)</t>
  </si>
  <si>
    <t xml:space="preserve">KOTA JAKARTA PUSAT </t>
  </si>
  <si>
    <t xml:space="preserve">KAB KEPULAUAN SERIBU </t>
  </si>
  <si>
    <t xml:space="preserve">KOTA JAKARTA BARAT </t>
  </si>
  <si>
    <t xml:space="preserve">KOTA JAKARTA SELATAN </t>
  </si>
  <si>
    <t xml:space="preserve">KOTA JAKARTA UTARA </t>
  </si>
  <si>
    <t xml:space="preserve">KOTA JAKARTA TIMUR </t>
  </si>
  <si>
    <t>ELEMEN /                   KOMPONEN BANGUNAN</t>
  </si>
  <si>
    <t>"Renovasi Total harus dibuktikan dengan IMB".</t>
  </si>
  <si>
    <t>ADJUSMENT</t>
  </si>
  <si>
    <t>HASIL INSPEKSI &amp; PENYESUAIAN MATERIAL YANG BERBEDA</t>
  </si>
  <si>
    <t>TOTAL BRB SETELAH PPN (PEMBULATAN) - MAPPI</t>
  </si>
  <si>
    <t>LANTAI MEZZANINE</t>
  </si>
  <si>
    <t>===&gt;</t>
  </si>
  <si>
    <t>&lt;===</t>
  </si>
  <si>
    <t>S E L I S I H</t>
  </si>
  <si>
    <t>Struktur Baja - Lantai Plat</t>
  </si>
  <si>
    <t>Struktur Baja - Lantai Plywood</t>
  </si>
  <si>
    <t>Struktur Beton - Lantai Plat</t>
  </si>
  <si>
    <t>Struktur Beton - Lantai Plywood</t>
  </si>
  <si>
    <t>Struktur Kayu - Lantai Plywood</t>
  </si>
  <si>
    <t>Struktur Baja - Lantai Panel Beton</t>
  </si>
  <si>
    <t>Struktur Beton - Lantai Panel Beton</t>
  </si>
  <si>
    <t>TERAS BANGUNAN</t>
  </si>
  <si>
    <t xml:space="preserve"> = = = = = = = = = = = = = = = = = = = = = = = = = = = = = = = = = = = = = = = = = = = = = = = = = = = = = = = = = = = = = = = = = = = = = = </t>
  </si>
  <si>
    <t xml:space="preserve"> = = = = = = = = = = = = = = = = = = = = = = = =</t>
  </si>
  <si>
    <t>Kelas Sangat Sederhana</t>
  </si>
  <si>
    <t>Kelas Sederhana</t>
  </si>
  <si>
    <t>Kelas Menengah</t>
  </si>
  <si>
    <t>Kelas Mewah</t>
  </si>
  <si>
    <t>NAMA MATERIAL YANG BERBEDA                                         LAINNYA  ( BILA ADA )</t>
  </si>
  <si>
    <t>TEMPELKAN FOTO TAMPAK DEPAN BANGUNAN YANG DIMAKSUD !!!</t>
  </si>
  <si>
    <t>Lantai ~ 1</t>
  </si>
  <si>
    <t>Lantai ~ 2</t>
  </si>
  <si>
    <t>Lantai ~ 3</t>
  </si>
  <si>
    <t>Lantai ~ 4</t>
  </si>
  <si>
    <t>Lantai ~ 5</t>
  </si>
  <si>
    <t>Tahun Penilaian</t>
  </si>
  <si>
    <t>LUAS PENGUKURAN FISIK BANGUNAN UTAMA</t>
  </si>
  <si>
    <t xml:space="preserve">TOTAL LUAS PENGUKURAN FISIK BANGUNAN UTAMA </t>
  </si>
  <si>
    <r>
      <t>Keterangan dari BTB MAPPI   =====&gt;   LUAS BANGUNAN = Luas Bangunan Utama + (</t>
    </r>
    <r>
      <rPr>
        <b/>
        <sz val="10"/>
        <rFont val="Calibri"/>
        <family val="2"/>
      </rPr>
      <t>½ x Luas Teras)</t>
    </r>
  </si>
  <si>
    <t>TOTAL LUAS BANGUNAN</t>
  </si>
  <si>
    <t>KHUSUS BGN. GUDANG</t>
  </si>
  <si>
    <t xml:space="preserve"> PENILAIAN BANGUNAN</t>
  </si>
  <si>
    <t>O B Y E K   P E N I L A I A N</t>
  </si>
  <si>
    <t>§</t>
  </si>
  <si>
    <t>Tanggal Inspeksi</t>
  </si>
  <si>
    <t>Alamat Obyek</t>
  </si>
  <si>
    <t>Tipe Bangunan</t>
  </si>
  <si>
    <t>Penggunaan saat ini</t>
  </si>
  <si>
    <t>Ruang                     Tamu</t>
  </si>
  <si>
    <t>Ruang             Keluarga</t>
  </si>
  <si>
    <t>Dapur</t>
  </si>
  <si>
    <t xml:space="preserve">Kamar                                      Mandi                                 </t>
  </si>
  <si>
    <t>Jumlah</t>
  </si>
  <si>
    <t xml:space="preserve"> Lantai ~ 1</t>
  </si>
  <si>
    <t xml:space="preserve"> Lantai ~ 2</t>
  </si>
  <si>
    <t xml:space="preserve"> Lantai ~ 3</t>
  </si>
  <si>
    <t xml:space="preserve"> Lantai ~ 4</t>
  </si>
  <si>
    <t xml:space="preserve"> Lantai ~ 5</t>
  </si>
  <si>
    <t>Lantai</t>
  </si>
  <si>
    <t>K E T E R A N G A N     B A N G U N A N</t>
  </si>
  <si>
    <t>Bentuk arsitek bangunan</t>
  </si>
  <si>
    <t>Nomor Ijin Mendirikan Bangunan</t>
  </si>
  <si>
    <t>Tahun dibangun</t>
  </si>
  <si>
    <t>Tanggal dikeluarkan IMB</t>
  </si>
  <si>
    <t>Tahun direnovasi</t>
  </si>
  <si>
    <t>Luas bangunan berdasarkan IMB</t>
  </si>
  <si>
    <t>Pagar halaman</t>
  </si>
  <si>
    <t>Perbedaan luas IMB &amp; pengukuran fisik</t>
  </si>
  <si>
    <t>Keadaan halaman</t>
  </si>
  <si>
    <t>Pemotongan (rencana / pelebaran jalan)</t>
  </si>
  <si>
    <t xml:space="preserve">Tinggi halaman terhadap jalan </t>
  </si>
  <si>
    <t>Pemotongan (ketentuan GSB)</t>
  </si>
  <si>
    <t>Tinggi halaman terhadap lantai bangunan</t>
  </si>
  <si>
    <t>S P E S I F I K A S I    B A N G U N A N</t>
  </si>
  <si>
    <t>Pondasi</t>
  </si>
  <si>
    <t>Plafond</t>
  </si>
  <si>
    <t>Dinding</t>
  </si>
  <si>
    <t>Kusen</t>
  </si>
  <si>
    <t>Atap</t>
  </si>
  <si>
    <t>Partisi ruangan</t>
  </si>
  <si>
    <t>Tangga</t>
  </si>
  <si>
    <t>Pagar</t>
  </si>
  <si>
    <t>F A S I L I T A S</t>
  </si>
  <si>
    <t>Saluran listrik PLN</t>
  </si>
  <si>
    <t>Carport / area parkir</t>
  </si>
  <si>
    <t>Pendingin ruangan</t>
  </si>
  <si>
    <t>- - - - - - - - - -</t>
  </si>
  <si>
    <t>Pemanas air</t>
  </si>
  <si>
    <t>Sambungan telepon</t>
  </si>
  <si>
    <t>Penangkal petir</t>
  </si>
  <si>
    <t>Jaringan air bersih</t>
  </si>
  <si>
    <t>Kolam renang</t>
  </si>
  <si>
    <t>NILAI PASAR</t>
  </si>
  <si>
    <t>NILAI BANGUNAN BERDASARKAN TATA KOTA SETEMPAT</t>
  </si>
  <si>
    <t>C A T A T A N    P E N I L A I</t>
  </si>
  <si>
    <t>1.</t>
  </si>
  <si>
    <t>2.</t>
  </si>
  <si>
    <t>●</t>
  </si>
  <si>
    <r>
      <t>TIPE PROPERTI</t>
    </r>
    <r>
      <rPr>
        <b/>
        <sz val="9"/>
        <color indexed="12"/>
        <rFont val="Arial"/>
        <family val="2"/>
      </rPr>
      <t xml:space="preserve"> :</t>
    </r>
  </si>
  <si>
    <r>
      <t>PENGGUNAAN SAAT INI</t>
    </r>
    <r>
      <rPr>
        <b/>
        <sz val="9"/>
        <color indexed="12"/>
        <rFont val="Arial"/>
        <family val="2"/>
      </rPr>
      <t xml:space="preserve"> :</t>
    </r>
  </si>
  <si>
    <t>- - - - - - - - -</t>
  </si>
  <si>
    <t>F A K T O R</t>
  </si>
  <si>
    <t>SCORE</t>
  </si>
  <si>
    <t>PILIHAN</t>
  </si>
  <si>
    <t>KETERANGAN</t>
  </si>
  <si>
    <t>Perawatan</t>
  </si>
  <si>
    <t xml:space="preserve"> Sangat baik</t>
  </si>
  <si>
    <t xml:space="preserve"> Baik</t>
  </si>
  <si>
    <t>Kondisi</t>
  </si>
  <si>
    <t xml:space="preserve"> Cukup</t>
  </si>
  <si>
    <t xml:space="preserve"> Kurang</t>
  </si>
  <si>
    <t>Konstruksi</t>
  </si>
  <si>
    <t xml:space="preserve"> Kualitas I, permanen, batu bata</t>
  </si>
  <si>
    <t xml:space="preserve"> Kualitas II, permanen, batu bata / batako</t>
  </si>
  <si>
    <t xml:space="preserve"> Kualitas III, semi permanen, batu bata / batako</t>
  </si>
  <si>
    <t xml:space="preserve"> Marmer / keramik, sanitair kualitas I</t>
  </si>
  <si>
    <t xml:space="preserve"> Tegel keramik / teraso kualitas II</t>
  </si>
  <si>
    <t xml:space="preserve"> Semen / tanpa lantai</t>
  </si>
  <si>
    <t>Umur Bangunan</t>
  </si>
  <si>
    <t xml:space="preserve"> 5 tahun ke bawah</t>
  </si>
  <si>
    <t xml:space="preserve"> Antara 5 tahun s/d 10 tahun</t>
  </si>
  <si>
    <t xml:space="preserve"> 11 tahun ke atas</t>
  </si>
  <si>
    <t>TOTAL SCORE</t>
  </si>
  <si>
    <t>FORM DATA ENTRY SURVEYOR</t>
  </si>
  <si>
    <t>SURVEYOR &amp; LAPORAN</t>
  </si>
  <si>
    <t>Nama Penilai</t>
  </si>
  <si>
    <t>Tim Inspeksi</t>
  </si>
  <si>
    <t>No. MAPPI - Ispektor</t>
  </si>
  <si>
    <t>Tanggal Inspeksi / Penilaian</t>
  </si>
  <si>
    <t>Nomor Laporan</t>
  </si>
  <si>
    <t>Tanggal Laporan</t>
  </si>
  <si>
    <t xml:space="preserve"> </t>
  </si>
  <si>
    <t>Objek Penilaian</t>
  </si>
  <si>
    <t>Highest and Best Use</t>
  </si>
  <si>
    <t>Telepon / HP.</t>
  </si>
  <si>
    <t>Status obyek</t>
  </si>
  <si>
    <t>Yang dijumpai</t>
  </si>
  <si>
    <t>Selaku</t>
  </si>
  <si>
    <t>Obyek ditempati oleh</t>
  </si>
  <si>
    <t>Penggunaan obyek</t>
  </si>
  <si>
    <t xml:space="preserve">SURAT PENUGASAN DARI </t>
  </si>
  <si>
    <t>Nomor Penugasan</t>
  </si>
  <si>
    <t>Tanggal Penugasan</t>
  </si>
  <si>
    <t>Cabang</t>
  </si>
  <si>
    <t xml:space="preserve">Nama Staff </t>
  </si>
  <si>
    <t>Jabatan</t>
  </si>
  <si>
    <t>Alamat Properti</t>
  </si>
  <si>
    <t>Kec.</t>
  </si>
  <si>
    <t>Prop.</t>
  </si>
  <si>
    <t>HASIL PENILAIAN TERDAHULU</t>
  </si>
  <si>
    <t>No.</t>
  </si>
  <si>
    <t>U R A I A N</t>
  </si>
  <si>
    <t>Nama Surveyor</t>
  </si>
  <si>
    <t>3.</t>
  </si>
  <si>
    <t>Luas Tanah</t>
  </si>
  <si>
    <t>4.</t>
  </si>
  <si>
    <t>Luas Bangunan</t>
  </si>
  <si>
    <t>5.</t>
  </si>
  <si>
    <r>
      <t>Nilai Pasar Tanah / m</t>
    </r>
    <r>
      <rPr>
        <sz val="8"/>
        <rFont val="Arial"/>
        <family val="2"/>
      </rPr>
      <t>²</t>
    </r>
  </si>
  <si>
    <t>6.</t>
  </si>
  <si>
    <r>
      <t>Nilai Pasar Bangunan / m</t>
    </r>
    <r>
      <rPr>
        <sz val="8"/>
        <rFont val="Arial"/>
        <family val="2"/>
      </rPr>
      <t>²</t>
    </r>
  </si>
  <si>
    <t>7.</t>
  </si>
  <si>
    <t>Nilai Pasar</t>
  </si>
  <si>
    <t>8.</t>
  </si>
  <si>
    <t>Nilai Likuidasi</t>
  </si>
  <si>
    <t xml:space="preserve">- - - - - - - - - - </t>
  </si>
  <si>
    <t>Cabang Utama Juanda</t>
  </si>
  <si>
    <t>Group Comercial Departement Corporasi</t>
  </si>
  <si>
    <t>PILIHAN LIST VALIDASI</t>
  </si>
  <si>
    <r>
      <t>OBJEK PENILAIAN</t>
    </r>
    <r>
      <rPr>
        <b/>
        <sz val="9"/>
        <color indexed="12"/>
        <rFont val="Arial"/>
        <family val="2"/>
      </rPr>
      <t xml:space="preserve"> :</t>
    </r>
  </si>
  <si>
    <t>H B U</t>
  </si>
  <si>
    <t>Tanah, Bangunan Pabrik &amp; Sarana Pelengkap</t>
  </si>
  <si>
    <t>Tanah, Bangunan Pabrik, Sarana Pelengkap, Mesin &amp; Peralatan</t>
  </si>
  <si>
    <t>Bangunan Industri (Workshop / Bengkel)</t>
  </si>
  <si>
    <t>OBYEK PENILAIAN</t>
  </si>
  <si>
    <t>DATA - 1</t>
  </si>
  <si>
    <t>DATA - 2</t>
  </si>
  <si>
    <t>DATA - 3</t>
  </si>
  <si>
    <t>DATA - 4</t>
  </si>
  <si>
    <t>DATA - 5</t>
  </si>
  <si>
    <t>DATA - 6</t>
  </si>
  <si>
    <t>LAMPIRAN                                      FOTO</t>
  </si>
  <si>
    <t>TAMPAK DEPAN                            PROPERTI</t>
  </si>
  <si>
    <t>TAMPAK DEPAN            DATA BANDING</t>
  </si>
  <si>
    <t>TAMPAK JALAN                             DI DEPAN PROPERTI</t>
  </si>
  <si>
    <t>TAMPAK JALAN              DI DEPAN                                 DATA BANDING</t>
  </si>
  <si>
    <t>INFORMASI</t>
  </si>
  <si>
    <t>Sumber data (nama)</t>
  </si>
  <si>
    <t xml:space="preserve">Bpk. </t>
  </si>
  <si>
    <t>Keterangan sumber data</t>
  </si>
  <si>
    <t>Telepon / Hp.</t>
  </si>
  <si>
    <t>Jenis properti</t>
  </si>
  <si>
    <t>Alamat</t>
  </si>
  <si>
    <t>Jarak dengan obyek</t>
  </si>
  <si>
    <t>Harga penawaran</t>
  </si>
  <si>
    <t>Perkiraan diskon</t>
  </si>
  <si>
    <t>Indikasi harga transaksi</t>
  </si>
  <si>
    <t>Waktu penawaran / transaksi</t>
  </si>
  <si>
    <t>SPESIFIKASI DATA</t>
  </si>
  <si>
    <t>Dokumen / legalitas tanah</t>
  </si>
  <si>
    <t>Luas tanah</t>
  </si>
  <si>
    <t>Luas bangunan</t>
  </si>
  <si>
    <t>Jumlah lantai bangunan</t>
  </si>
  <si>
    <t>Tahun di bangun</t>
  </si>
  <si>
    <t>Lebar jalan</t>
  </si>
  <si>
    <t>Bentuk tanah</t>
  </si>
  <si>
    <t>Letak / posisi tanah</t>
  </si>
  <si>
    <t>Peruntukan / zoning</t>
  </si>
  <si>
    <t>Kondisi eksisting tanah</t>
  </si>
  <si>
    <t>Kontur tanah / topograpi</t>
  </si>
  <si>
    <t>ANALISA DATA</t>
  </si>
  <si>
    <t>BRB Bangunan ( / m² )</t>
  </si>
  <si>
    <t>Kondisi fisik bangunan</t>
  </si>
  <si>
    <t>Indikasi Nilai Pasar Bgn. ( / m² )</t>
  </si>
  <si>
    <t>Indikasi Nilai Pasar Bangunan</t>
  </si>
  <si>
    <t>Indikasi Nilai Pasar Tanah</t>
  </si>
  <si>
    <r>
      <t>Indikasi Nilai Tanah ( / m</t>
    </r>
    <r>
      <rPr>
        <b/>
        <sz val="10"/>
        <rFont val="Arial"/>
        <family val="2"/>
      </rPr>
      <t>² )</t>
    </r>
  </si>
  <si>
    <t>PENYESUAIAN</t>
  </si>
  <si>
    <t>Lokasi</t>
  </si>
  <si>
    <r>
      <t>( 1</t>
    </r>
    <r>
      <rPr>
        <sz val="8"/>
        <color indexed="12"/>
        <rFont val="Arial Narrow"/>
        <family val="2"/>
      </rPr>
      <t>%</t>
    </r>
    <r>
      <rPr>
        <sz val="8"/>
        <rFont val="Arial Narrow"/>
        <family val="2"/>
      </rPr>
      <t xml:space="preserve">  s/d  40</t>
    </r>
    <r>
      <rPr>
        <sz val="8"/>
        <color indexed="12"/>
        <rFont val="Arial Narrow"/>
        <family val="2"/>
      </rPr>
      <t xml:space="preserve">% </t>
    </r>
    <r>
      <rPr>
        <sz val="8"/>
        <rFont val="Arial Narrow"/>
        <family val="2"/>
      </rPr>
      <t xml:space="preserve">) &amp; (  </t>
    </r>
    <r>
      <rPr>
        <sz val="8"/>
        <color indexed="10"/>
        <rFont val="Arial Narrow"/>
        <family val="2"/>
      </rPr>
      <t>-1%</t>
    </r>
    <r>
      <rPr>
        <sz val="8"/>
        <rFont val="Arial Narrow"/>
        <family val="2"/>
      </rPr>
      <t xml:space="preserve">  s/d  </t>
    </r>
    <r>
      <rPr>
        <sz val="8"/>
        <color indexed="10"/>
        <rFont val="Arial Narrow"/>
        <family val="2"/>
      </rPr>
      <t xml:space="preserve">-40% </t>
    </r>
    <r>
      <rPr>
        <sz val="8"/>
        <rFont val="Arial Narrow"/>
        <family val="2"/>
      </rPr>
      <t>)</t>
    </r>
  </si>
  <si>
    <r>
      <t>( 5</t>
    </r>
    <r>
      <rPr>
        <sz val="8"/>
        <color indexed="12"/>
        <rFont val="Arial Narrow"/>
        <family val="2"/>
      </rPr>
      <t>%</t>
    </r>
    <r>
      <rPr>
        <sz val="8"/>
        <rFont val="Arial Narrow"/>
        <family val="2"/>
      </rPr>
      <t xml:space="preserve">  s/d  20</t>
    </r>
    <r>
      <rPr>
        <sz val="8"/>
        <color indexed="12"/>
        <rFont val="Arial Narrow"/>
        <family val="2"/>
      </rPr>
      <t xml:space="preserve">% </t>
    </r>
    <r>
      <rPr>
        <sz val="8"/>
        <rFont val="Arial Narrow"/>
        <family val="2"/>
      </rPr>
      <t xml:space="preserve">) &amp; (  </t>
    </r>
    <r>
      <rPr>
        <sz val="8"/>
        <color indexed="10"/>
        <rFont val="Arial Narrow"/>
        <family val="2"/>
      </rPr>
      <t>-5%</t>
    </r>
    <r>
      <rPr>
        <sz val="8"/>
        <rFont val="Arial Narrow"/>
        <family val="2"/>
      </rPr>
      <t xml:space="preserve">  s/d  </t>
    </r>
    <r>
      <rPr>
        <sz val="8"/>
        <color indexed="10"/>
        <rFont val="Arial Narrow"/>
        <family val="2"/>
      </rPr>
      <t xml:space="preserve">-20% </t>
    </r>
    <r>
      <rPr>
        <sz val="8"/>
        <rFont val="Arial Narrow"/>
        <family val="2"/>
      </rPr>
      <t>)</t>
    </r>
  </si>
  <si>
    <r>
      <t>( 1</t>
    </r>
    <r>
      <rPr>
        <sz val="8"/>
        <color indexed="12"/>
        <rFont val="Arial Narrow"/>
        <family val="2"/>
      </rPr>
      <t>%</t>
    </r>
    <r>
      <rPr>
        <sz val="8"/>
        <rFont val="Arial Narrow"/>
        <family val="2"/>
      </rPr>
      <t xml:space="preserve">  s/d  30</t>
    </r>
    <r>
      <rPr>
        <sz val="8"/>
        <color indexed="12"/>
        <rFont val="Arial Narrow"/>
        <family val="2"/>
      </rPr>
      <t xml:space="preserve">% </t>
    </r>
    <r>
      <rPr>
        <sz val="8"/>
        <rFont val="Arial Narrow"/>
        <family val="2"/>
      </rPr>
      <t xml:space="preserve">) &amp; (  </t>
    </r>
    <r>
      <rPr>
        <sz val="8"/>
        <color indexed="10"/>
        <rFont val="Arial Narrow"/>
        <family val="2"/>
      </rPr>
      <t>-1%</t>
    </r>
    <r>
      <rPr>
        <sz val="8"/>
        <rFont val="Arial Narrow"/>
        <family val="2"/>
      </rPr>
      <t xml:space="preserve">  s/d  </t>
    </r>
    <r>
      <rPr>
        <sz val="8"/>
        <color indexed="10"/>
        <rFont val="Arial Narrow"/>
        <family val="2"/>
      </rPr>
      <t xml:space="preserve">-30% </t>
    </r>
    <r>
      <rPr>
        <sz val="8"/>
        <rFont val="Arial Narrow"/>
        <family val="2"/>
      </rPr>
      <t>)</t>
    </r>
  </si>
  <si>
    <t>Lebar dan kondisi jalan</t>
  </si>
  <si>
    <r>
      <t>( 2</t>
    </r>
    <r>
      <rPr>
        <sz val="8"/>
        <color indexed="12"/>
        <rFont val="Arial Narrow"/>
        <family val="2"/>
      </rPr>
      <t>%</t>
    </r>
    <r>
      <rPr>
        <sz val="8"/>
        <rFont val="Arial Narrow"/>
        <family val="2"/>
      </rPr>
      <t xml:space="preserve">  s/d  40</t>
    </r>
    <r>
      <rPr>
        <sz val="8"/>
        <color indexed="12"/>
        <rFont val="Arial Narrow"/>
        <family val="2"/>
      </rPr>
      <t xml:space="preserve">% </t>
    </r>
    <r>
      <rPr>
        <sz val="8"/>
        <rFont val="Arial Narrow"/>
        <family val="2"/>
      </rPr>
      <t xml:space="preserve">) &amp; (  </t>
    </r>
    <r>
      <rPr>
        <sz val="8"/>
        <color indexed="10"/>
        <rFont val="Arial Narrow"/>
        <family val="2"/>
      </rPr>
      <t>-2%</t>
    </r>
    <r>
      <rPr>
        <sz val="8"/>
        <rFont val="Arial Narrow"/>
        <family val="2"/>
      </rPr>
      <t xml:space="preserve">  s/d  </t>
    </r>
    <r>
      <rPr>
        <sz val="8"/>
        <color indexed="10"/>
        <rFont val="Arial Narrow"/>
        <family val="2"/>
      </rPr>
      <t xml:space="preserve">-40% </t>
    </r>
    <r>
      <rPr>
        <sz val="8"/>
        <rFont val="Arial Narrow"/>
        <family val="2"/>
      </rPr>
      <t>)</t>
    </r>
  </si>
  <si>
    <t>Posisi tanah sudut / hook</t>
  </si>
  <si>
    <r>
      <t>( 5</t>
    </r>
    <r>
      <rPr>
        <sz val="8"/>
        <color indexed="12"/>
        <rFont val="Arial Narrow"/>
        <family val="2"/>
      </rPr>
      <t>%</t>
    </r>
    <r>
      <rPr>
        <sz val="8"/>
        <rFont val="Arial Narrow"/>
        <family val="2"/>
      </rPr>
      <t xml:space="preserve">  s/d  15</t>
    </r>
    <r>
      <rPr>
        <sz val="8"/>
        <color indexed="12"/>
        <rFont val="Arial Narrow"/>
        <family val="2"/>
      </rPr>
      <t xml:space="preserve">% </t>
    </r>
    <r>
      <rPr>
        <sz val="8"/>
        <rFont val="Arial Narrow"/>
        <family val="2"/>
      </rPr>
      <t xml:space="preserve">) &amp; (  </t>
    </r>
    <r>
      <rPr>
        <sz val="8"/>
        <color indexed="10"/>
        <rFont val="Arial Narrow"/>
        <family val="2"/>
      </rPr>
      <t>-5%</t>
    </r>
    <r>
      <rPr>
        <sz val="8"/>
        <rFont val="Arial Narrow"/>
        <family val="2"/>
      </rPr>
      <t xml:space="preserve">  s/d  </t>
    </r>
    <r>
      <rPr>
        <sz val="8"/>
        <color indexed="10"/>
        <rFont val="Arial Narrow"/>
        <family val="2"/>
      </rPr>
      <t xml:space="preserve">-15% </t>
    </r>
    <r>
      <rPr>
        <sz val="8"/>
        <rFont val="Arial Narrow"/>
        <family val="2"/>
      </rPr>
      <t>)</t>
    </r>
  </si>
  <si>
    <t>Posisi tanah tusuk sate</t>
  </si>
  <si>
    <r>
      <t>( 10</t>
    </r>
    <r>
      <rPr>
        <sz val="8"/>
        <color indexed="12"/>
        <rFont val="Arial Narrow"/>
        <family val="2"/>
      </rPr>
      <t>%</t>
    </r>
    <r>
      <rPr>
        <sz val="8"/>
        <rFont val="Arial Narrow"/>
        <family val="2"/>
      </rPr>
      <t xml:space="preserve"> s/d 3</t>
    </r>
    <r>
      <rPr>
        <sz val="8"/>
        <color indexed="12"/>
        <rFont val="Arial Narrow"/>
        <family val="2"/>
      </rPr>
      <t xml:space="preserve">0% </t>
    </r>
    <r>
      <rPr>
        <sz val="8"/>
        <rFont val="Arial Narrow"/>
        <family val="2"/>
      </rPr>
      <t xml:space="preserve">) &amp; ( </t>
    </r>
    <r>
      <rPr>
        <sz val="8"/>
        <color indexed="10"/>
        <rFont val="Arial Narrow"/>
        <family val="2"/>
      </rPr>
      <t>-10%</t>
    </r>
    <r>
      <rPr>
        <sz val="8"/>
        <rFont val="Arial Narrow"/>
        <family val="2"/>
      </rPr>
      <t xml:space="preserve"> s/d  </t>
    </r>
    <r>
      <rPr>
        <sz val="8"/>
        <color indexed="10"/>
        <rFont val="Arial Narrow"/>
        <family val="2"/>
      </rPr>
      <t xml:space="preserve">-30% </t>
    </r>
    <r>
      <rPr>
        <sz val="8"/>
        <rFont val="Arial Narrow"/>
        <family val="2"/>
      </rPr>
      <t>)</t>
    </r>
  </si>
  <si>
    <r>
      <t>( 5</t>
    </r>
    <r>
      <rPr>
        <sz val="8"/>
        <color indexed="12"/>
        <rFont val="Arial Narrow"/>
        <family val="2"/>
      </rPr>
      <t>%</t>
    </r>
    <r>
      <rPr>
        <sz val="8"/>
        <rFont val="Arial Narrow"/>
        <family val="2"/>
      </rPr>
      <t xml:space="preserve">  s/d  40</t>
    </r>
    <r>
      <rPr>
        <sz val="8"/>
        <color indexed="12"/>
        <rFont val="Arial Narrow"/>
        <family val="2"/>
      </rPr>
      <t xml:space="preserve">% </t>
    </r>
    <r>
      <rPr>
        <sz val="8"/>
        <rFont val="Arial Narrow"/>
        <family val="2"/>
      </rPr>
      <t xml:space="preserve">) &amp; (  </t>
    </r>
    <r>
      <rPr>
        <sz val="8"/>
        <color indexed="10"/>
        <rFont val="Arial Narrow"/>
        <family val="2"/>
      </rPr>
      <t>-5%</t>
    </r>
    <r>
      <rPr>
        <sz val="8"/>
        <rFont val="Arial Narrow"/>
        <family val="2"/>
      </rPr>
      <t xml:space="preserve">  s/d  </t>
    </r>
    <r>
      <rPr>
        <sz val="8"/>
        <color indexed="10"/>
        <rFont val="Arial Narrow"/>
        <family val="2"/>
      </rPr>
      <t xml:space="preserve">-40% </t>
    </r>
    <r>
      <rPr>
        <sz val="8"/>
        <rFont val="Arial Narrow"/>
        <family val="2"/>
      </rPr>
      <t>)</t>
    </r>
  </si>
  <si>
    <r>
      <t>( 5</t>
    </r>
    <r>
      <rPr>
        <sz val="8"/>
        <color indexed="12"/>
        <rFont val="Arial Narrow"/>
        <family val="2"/>
      </rPr>
      <t>%</t>
    </r>
    <r>
      <rPr>
        <sz val="8"/>
        <rFont val="Arial Narrow"/>
        <family val="2"/>
      </rPr>
      <t xml:space="preserve">  s/d  30</t>
    </r>
    <r>
      <rPr>
        <sz val="8"/>
        <color indexed="12"/>
        <rFont val="Arial Narrow"/>
        <family val="2"/>
      </rPr>
      <t xml:space="preserve">% </t>
    </r>
    <r>
      <rPr>
        <sz val="8"/>
        <rFont val="Arial Narrow"/>
        <family val="2"/>
      </rPr>
      <t xml:space="preserve">) &amp; (  </t>
    </r>
    <r>
      <rPr>
        <sz val="8"/>
        <color indexed="10"/>
        <rFont val="Arial Narrow"/>
        <family val="2"/>
      </rPr>
      <t>-5%</t>
    </r>
    <r>
      <rPr>
        <sz val="8"/>
        <rFont val="Arial Narrow"/>
        <family val="2"/>
      </rPr>
      <t xml:space="preserve">  s/d  </t>
    </r>
    <r>
      <rPr>
        <sz val="8"/>
        <color indexed="10"/>
        <rFont val="Arial Narrow"/>
        <family val="2"/>
      </rPr>
      <t xml:space="preserve">-30% </t>
    </r>
    <r>
      <rPr>
        <sz val="8"/>
        <rFont val="Arial Narrow"/>
        <family val="2"/>
      </rPr>
      <t>)</t>
    </r>
  </si>
  <si>
    <r>
      <t>( 7%  s/d  10% ) atau</t>
    </r>
    <r>
      <rPr>
        <b/>
        <sz val="8"/>
        <color indexed="10"/>
        <rFont val="Arial Narrow"/>
        <family val="2"/>
      </rPr>
      <t xml:space="preserve"> INFLASI</t>
    </r>
  </si>
  <si>
    <t>Lain-lain</t>
  </si>
  <si>
    <t>Total Penyesuaian</t>
  </si>
  <si>
    <t>Indikasi Nilai Tanah Setelah Penyesuaian ( / m² )</t>
  </si>
  <si>
    <t>Bobot</t>
  </si>
  <si>
    <t>Nilai Pasar Tanah  ( / m² )</t>
  </si>
  <si>
    <t>Jenis Sertifikat</t>
  </si>
  <si>
    <t>Nomor Sertifikat</t>
  </si>
  <si>
    <t>Luas Tanah                                       ( m² )</t>
  </si>
  <si>
    <t>Indikasi Nilai Tanah                         (Rp.)</t>
  </si>
  <si>
    <t>Total Nilai Tanah                                             (Rp.)</t>
  </si>
  <si>
    <t>Nilai Indikasi Tertinggi</t>
  </si>
  <si>
    <t>JUMLAH</t>
  </si>
  <si>
    <t>Nilai Indikasi Terendah</t>
  </si>
  <si>
    <t>Indikasi Nilai Tanah Setelah Pembobotan ( / m² )</t>
  </si>
  <si>
    <t>DEVIASI DATA</t>
  </si>
  <si>
    <t>Nilai Rata-Rata Tanah Untuk Seluruh Sertifikat</t>
  </si>
  <si>
    <t>Tanah Kosong</t>
  </si>
  <si>
    <t>Pabrik</t>
  </si>
  <si>
    <t>Bengkel</t>
  </si>
  <si>
    <t>Showroom</t>
  </si>
  <si>
    <t>Toko</t>
  </si>
  <si>
    <t>Kios</t>
  </si>
  <si>
    <t>Warung</t>
  </si>
  <si>
    <t>Kantor</t>
  </si>
  <si>
    <t>Tanah Sawah</t>
  </si>
  <si>
    <t>±</t>
  </si>
  <si>
    <t>=</t>
  </si>
  <si>
    <t>Teras</t>
  </si>
  <si>
    <t>Balkon</t>
  </si>
  <si>
    <t>BRB / RCN                                                            ( Rp )</t>
  </si>
  <si>
    <t>BRB / RCN                                              ( Rp / m² )</t>
  </si>
  <si>
    <t>Nilai Pasar                                                           ( Rp )</t>
  </si>
  <si>
    <t>SARANA PELENGKAP</t>
  </si>
  <si>
    <t>Uraian Biaya</t>
  </si>
  <si>
    <t xml:space="preserve">Ukuran / Jumlah </t>
  </si>
  <si>
    <t>Unit</t>
  </si>
  <si>
    <t>Biaya / Satuan (Rp)</t>
  </si>
  <si>
    <t>BRB / RCN                                                (Rp)</t>
  </si>
  <si>
    <t>Dep.</t>
  </si>
  <si>
    <t>Nilai Pasar                                                (Rp)</t>
  </si>
  <si>
    <t>Indikasi Nilai Likuidasi                                                (Rp)</t>
  </si>
  <si>
    <t>Penyambungan telepon sebanyak</t>
  </si>
  <si>
    <t>Biaya unit indoor &amp; outdoor AC</t>
  </si>
  <si>
    <t>Pembuatan sumur dalam / artesis</t>
  </si>
  <si>
    <t>seluas</t>
  </si>
  <si>
    <t>Pembuatan Gazebo</t>
  </si>
  <si>
    <t>Pembuatan taman &amp; halaman</t>
  </si>
  <si>
    <t>pembuatam taman relief</t>
  </si>
  <si>
    <t>Biaya unit pemanas air / water heater</t>
  </si>
  <si>
    <t>Biaya unit penangkal petir</t>
  </si>
  <si>
    <t>Tembok pembatas keliling Top Roof, tinggi 90 cm</t>
  </si>
  <si>
    <t xml:space="preserve">Kitchenset </t>
  </si>
  <si>
    <t>Biaya kolam renang + unit mesin pompa</t>
  </si>
  <si>
    <t>dengan volume</t>
  </si>
  <si>
    <t>Pemotongan tata kota</t>
  </si>
  <si>
    <t>TOTAL SARANA PELENGKAP SETELAH KETENTUAN TATA KOTA</t>
  </si>
  <si>
    <t xml:space="preserve">  LAPORAN PENILAIAN PROPERTI</t>
  </si>
  <si>
    <t>I. SURAT PERINTAH KERJA (SPK) PENILAIAN AGUNAN</t>
  </si>
  <si>
    <t>Perusahaan Jasa Penilai</t>
  </si>
  <si>
    <t>KJPP ASNO MINANDA, USEP PRAWIRA DAN REKAN</t>
  </si>
  <si>
    <t xml:space="preserve">Alamat              </t>
  </si>
  <si>
    <t>Sentra Arteri Mas Building, Jl. Sultan Iskandar Muda Kav. 10-V (Arteri Pondok Indah)</t>
  </si>
  <si>
    <t>Kebayoran Lama, Jakarta 12240</t>
  </si>
  <si>
    <t xml:space="preserve">Penanggung Jawab  </t>
  </si>
  <si>
    <t>Ir. Usep Delianta Prawira, MAPPI (Cert.)</t>
  </si>
  <si>
    <t>Penilai</t>
  </si>
  <si>
    <t>Surveyor</t>
  </si>
  <si>
    <t>Status Penilai</t>
  </si>
  <si>
    <t xml:space="preserve">Penilai Publik yang tidak memiliki keterlibatan material atau benturan kepentingan (baik aktual maupun potensial) dengan objek penilaian, serta tidak ada bantuan tenaga ahli dari manapun dalam penilaian ini. </t>
  </si>
  <si>
    <t>Dengan ini ditugaskan untuk melakukan penilaian (appraisal) atas aset jaminan kredit sebagai berikut :</t>
  </si>
  <si>
    <t>Jenis Obyek / Tipe Properti</t>
  </si>
  <si>
    <t>Pemilik / Pemegang Hak</t>
  </si>
  <si>
    <t>Bentuk Kepemilikan</t>
  </si>
  <si>
    <t>Maksud &amp; Tujuan Penilaian</t>
  </si>
  <si>
    <t>Pengguna Laporan</t>
  </si>
  <si>
    <t xml:space="preserve">Tanggal Penilaian </t>
  </si>
  <si>
    <t>No. Laporan</t>
  </si>
  <si>
    <r>
      <t>Informasi Tambahan</t>
    </r>
    <r>
      <rPr>
        <sz val="10"/>
        <rFont val="Arial Narrow"/>
        <family val="2"/>
      </rPr>
      <t xml:space="preserve"> :</t>
    </r>
  </si>
  <si>
    <t xml:space="preserve">Cabang </t>
  </si>
  <si>
    <t xml:space="preserve">Tanggal  </t>
  </si>
  <si>
    <t xml:space="preserve">Jabatan    </t>
  </si>
  <si>
    <t>DEFINISI DAN ISTILAH NILAI YANG DIGUNAKAN</t>
  </si>
  <si>
    <r>
      <t>NILAI PASAR (</t>
    </r>
    <r>
      <rPr>
        <b/>
        <i/>
        <sz val="10"/>
        <rFont val="Arial Narrow"/>
        <family val="2"/>
      </rPr>
      <t>MARKET VALUE</t>
    </r>
    <r>
      <rPr>
        <b/>
        <sz val="10"/>
        <rFont val="Arial Narrow"/>
        <family val="2"/>
      </rPr>
      <t xml:space="preserve">) </t>
    </r>
  </si>
  <si>
    <t>”Estimasi  sejumlah uang  pada tanggal penilaian, yang dapat  diperoleh dari  hasil  penukaran  suatu  aset  atau  liabilitas  pada  tanggal penilaian,  antara  pembeli yang berminat membeli dengan  penjual  yang  berminat  menjual,  dalam  suatu transaksi bebas ikatan, yang pemasarannya  dilakukan  secara  layak, dimana kedua pihak masing-masing bertindak atas dasar pemahaman yang dimilikinya, kehati-hatian dan tanpa paksaan”, (SPI 101-Edisi VI 2015; klausul 3.1).</t>
  </si>
  <si>
    <r>
      <t>INDIKASI NILAI LIKUIDASI (</t>
    </r>
    <r>
      <rPr>
        <b/>
        <i/>
        <sz val="10"/>
        <rFont val="Arial Narrow"/>
        <family val="2"/>
      </rPr>
      <t>LIQUIDATION VALUE</t>
    </r>
    <r>
      <rPr>
        <b/>
        <sz val="10"/>
        <rFont val="Arial Narrow"/>
        <family val="2"/>
      </rPr>
      <t>)</t>
    </r>
  </si>
  <si>
    <t>”Sejumlah uang yang mungkin diterima dari penjualan suatu  aset dalam jangka waktu yang relatif pendek untuk dapat memenuhi jangka waktu pemasaran dalam definisi Nilai Pasar. Pada beberapa situasi, Nilai Likuidasi dapat melibatkan penjual yang tidak berminat menjual, dan pembeli yang membeli dengan mengetahui situasi yang tidak menguntungkan penjual”, (SPI- Edisi VI 2015 ; klausul 3.7.1).</t>
  </si>
  <si>
    <r>
      <t>PENGGUNAAN TERBAIK DAN TERTINGGI (</t>
    </r>
    <r>
      <rPr>
        <b/>
        <i/>
        <sz val="10"/>
        <rFont val="Arial Narrow"/>
        <family val="2"/>
      </rPr>
      <t>HIGHEST AND BEST USE</t>
    </r>
    <r>
      <rPr>
        <b/>
        <sz val="10"/>
        <rFont val="Arial Narrow"/>
        <family val="2"/>
      </rPr>
      <t>)</t>
    </r>
  </si>
  <si>
    <t>“Penggunaan yang paling mungkin dan optimal dari suatu properti (dalam hal ini berupa tanah / lahan), yang secara fisik dimungkinkan, telah  dipertimbangkan  secara  memadai,  secara  hukum  diijinkan,  secara  finansial layak dan menghasilkan nilai tertinggi dari properti tersebut”, (SPI-Edisi VI 2015; Konsep dan Prinsip Umum Penilaian; klausul 12.1).</t>
  </si>
  <si>
    <r>
      <t xml:space="preserve">BIAYA REPRODUKSI BARU (BRB / </t>
    </r>
    <r>
      <rPr>
        <b/>
        <i/>
        <sz val="10"/>
        <rFont val="Arial Narrow"/>
        <family val="2"/>
      </rPr>
      <t>New Reproduction Cost</t>
    </r>
    <r>
      <rPr>
        <b/>
        <sz val="10"/>
        <rFont val="Arial Narrow"/>
        <family val="2"/>
      </rPr>
      <t>)</t>
    </r>
  </si>
  <si>
    <t>Estimasi biaya untuk menciptakan replika dari struktur yang ada, menerapkan disain dan material yang sama. (SPI -Edisi VI 2015; klausul 4,11).</t>
  </si>
  <si>
    <t>(satu)</t>
  </si>
  <si>
    <t>(dua)</t>
  </si>
  <si>
    <t>(tiga)</t>
  </si>
  <si>
    <t>(empat)</t>
  </si>
  <si>
    <t>(lima)</t>
  </si>
  <si>
    <t>(enam)</t>
  </si>
  <si>
    <t>(tujuh)</t>
  </si>
  <si>
    <t>(delapan)</t>
  </si>
  <si>
    <t>(sembilan)</t>
  </si>
  <si>
    <t>(sepuluh)</t>
  </si>
  <si>
    <t>(sebelas)</t>
  </si>
  <si>
    <t>(dua belas)</t>
  </si>
  <si>
    <t>(tiga belas)</t>
  </si>
  <si>
    <t>(empat belas)</t>
  </si>
  <si>
    <t>(lima belas)</t>
  </si>
  <si>
    <t>(enam belas)</t>
  </si>
  <si>
    <t>(tujuh belas)</t>
  </si>
  <si>
    <t>(delapan belas)</t>
  </si>
  <si>
    <t>(sembilan belas)</t>
  </si>
  <si>
    <t>(dua puluh)</t>
  </si>
  <si>
    <t>(dua puluh satu)</t>
  </si>
  <si>
    <t>(dua puluh dua)</t>
  </si>
  <si>
    <t>(dua puluh tiga)</t>
  </si>
  <si>
    <t>(dua puluh empat)</t>
  </si>
  <si>
    <t>(dua puluh lima)</t>
  </si>
  <si>
    <t>(dua puluh enam)</t>
  </si>
  <si>
    <t>(dua puluh tujuh)</t>
  </si>
  <si>
    <t>(dua puluh delapan)</t>
  </si>
  <si>
    <t>(dua puluh sembilan)</t>
  </si>
  <si>
    <t>(tiga puluh)</t>
  </si>
  <si>
    <t>(tiga puluh satu)</t>
  </si>
  <si>
    <t>(tiga puluh dua)</t>
  </si>
  <si>
    <t>(tiga puluh tiga)</t>
  </si>
  <si>
    <t>(tiga puluh empat)</t>
  </si>
  <si>
    <t>(tiga puluh lima)</t>
  </si>
  <si>
    <t>(tiga puluh enam)</t>
  </si>
  <si>
    <t>(tiga puluh tujuh)</t>
  </si>
  <si>
    <t>(tiga puluh delapan)</t>
  </si>
  <si>
    <t>(tiga puluh sembilan)</t>
  </si>
  <si>
    <t>(empat puluh)</t>
  </si>
  <si>
    <t>(empat puluh satu)</t>
  </si>
  <si>
    <t>(empat puluh dua)</t>
  </si>
  <si>
    <t>(empat puluh tiga)</t>
  </si>
  <si>
    <t>(empat puluh empat)</t>
  </si>
  <si>
    <t>(empat puluh lima)</t>
  </si>
  <si>
    <t>(empat puluh enam)</t>
  </si>
  <si>
    <t>(empat puluh tujuh)</t>
  </si>
  <si>
    <t>(empat puluh delapan)</t>
  </si>
  <si>
    <t>(empat puluh sembilan)</t>
  </si>
  <si>
    <t>(lima puluh)</t>
  </si>
  <si>
    <t>(lima puluh satu)</t>
  </si>
  <si>
    <t>(lima puluh dua)</t>
  </si>
  <si>
    <t>(lima puluh tiga)</t>
  </si>
  <si>
    <t>(lima puluh empat)</t>
  </si>
  <si>
    <t>(lima puluh lima)</t>
  </si>
  <si>
    <t>(lima puluh enam)</t>
  </si>
  <si>
    <t>(lima puluh tujuh)</t>
  </si>
  <si>
    <t>(lima puluh delapan)</t>
  </si>
  <si>
    <t>(lima puluh sembilan)</t>
  </si>
  <si>
    <t>(enam puluh)</t>
  </si>
  <si>
    <t>(enam puluh satu)</t>
  </si>
  <si>
    <t>(enam puluh dua)</t>
  </si>
  <si>
    <t>(enam puluh tiga)</t>
  </si>
  <si>
    <t>(enam puluh empat)</t>
  </si>
  <si>
    <t>(enam puluh lima)</t>
  </si>
  <si>
    <t>(enam puluh enam)</t>
  </si>
  <si>
    <t>(enam puluh tujuh)</t>
  </si>
  <si>
    <t>(enam puluh delapan)</t>
  </si>
  <si>
    <t>(enam puluh sembilan)</t>
  </si>
  <si>
    <t>(tujuh puluh)</t>
  </si>
  <si>
    <t>(tujuh puluh satu)</t>
  </si>
  <si>
    <t>(tujuh puluh dua)</t>
  </si>
  <si>
    <t>(tujuh puluh tiga)</t>
  </si>
  <si>
    <t>(tujuh puluh empat)</t>
  </si>
  <si>
    <t>(tujuh puluh lima)</t>
  </si>
  <si>
    <t>(tujuh puluh enam)</t>
  </si>
  <si>
    <t>(tujuh puluh tujuh)</t>
  </si>
  <si>
    <t>(tujuh puluh delapan)</t>
  </si>
  <si>
    <t>(tujuh puluh sembilan)</t>
  </si>
  <si>
    <t>PENDEKATAN PENILAIAN</t>
  </si>
  <si>
    <r>
      <t xml:space="preserve">PENDEKATAN PASAR </t>
    </r>
    <r>
      <rPr>
        <b/>
        <i/>
        <sz val="10"/>
        <rFont val="Arial Narrow"/>
        <family val="2"/>
      </rPr>
      <t>(MARKET APPROACH)</t>
    </r>
  </si>
  <si>
    <t>Pendekatan Pasar  menghasilkan indikasi nilai dengan cara membandingkan aset yang dinilai dengan aset yang indentik atau sebanding dan adanya informasi harga transaksi atau penawaran di pasar. (SPI-Edisi VI 2015; Konsep dan Prinsip Umum Penilaian; klausul 17.1).</t>
  </si>
  <si>
    <r>
      <t xml:space="preserve">PENDEKATAN BIAYA </t>
    </r>
    <r>
      <rPr>
        <b/>
        <i/>
        <sz val="10"/>
        <rFont val="Arial Narrow"/>
        <family val="2"/>
      </rPr>
      <t>(COST APPROACH)</t>
    </r>
  </si>
  <si>
    <t>Pendekatan Biaya menghasilkan indikasi nilai dengan menggunakan prinsip ekonomi, dimana pembeli tidak akan membayar suatu aset / properti  lebih  dari  pada  biaya  untuk  memperoleh aset / properti dengan kegunaan yang sama atau setara, pada saat pembelian atau konstruksi. (SPI-Edisi VI 2015; Konsep dan Prinsip Umum Penilaian; klausul 19.1).</t>
  </si>
  <si>
    <t>PENILAIAN PROPERTI (OBJEK PENILAIAN)</t>
  </si>
  <si>
    <t>LUAS /       SATUAN</t>
  </si>
  <si>
    <t>NILAI PASAR                                                ( Rp.- )</t>
  </si>
  <si>
    <t>INDIKASI NILAI LIKUIDASI                                                       ( Rp.- )</t>
  </si>
  <si>
    <t>Disc.</t>
  </si>
  <si>
    <t>Min</t>
  </si>
  <si>
    <t>Max</t>
  </si>
  <si>
    <t>Tanah</t>
  </si>
  <si>
    <t>s/d</t>
  </si>
  <si>
    <t>Sarana Pelengkap</t>
  </si>
  <si>
    <t>1 Lot</t>
  </si>
  <si>
    <t>NILAI PROPERTI</t>
  </si>
  <si>
    <t>PEMBULATAN</t>
  </si>
  <si>
    <t xml:space="preserve"> Dep. Rata-Rata</t>
  </si>
  <si>
    <t>TERBILANG</t>
  </si>
  <si>
    <t>M a r k e t a b i l i t y   :</t>
  </si>
  <si>
    <t>Marketable</t>
  </si>
  <si>
    <t>Luas bangunan sesuai kondisi fisik = Luas dalam dokumen IMB.</t>
  </si>
  <si>
    <t>Kami menjamin bahwa penilaian ini telah dilakukan sesuai profesi selaku Penilai Publik serta dengan penuh kejujuran, tanggung jawab, obyektif dan independen berdasarkan Kode Etik Penilai Indonesia (KEPI) dan Standar Penilaian Indonesia (SPI) yang berlaku, tanpa adanya pengaruh / tekanan dari siapapun. Laporan ini hanya dapat digunakan oleh dan dengan tujuan penggunaan sebagaimana yang telah disebutkan pada halaman -1.</t>
  </si>
  <si>
    <t>MARKETABILITY</t>
  </si>
  <si>
    <t>Hormat kami,</t>
  </si>
  <si>
    <t>Maketabel &amp; Saleable</t>
  </si>
  <si>
    <r>
      <t xml:space="preserve">Properti yang </t>
    </r>
    <r>
      <rPr>
        <b/>
        <sz val="9"/>
        <color indexed="12"/>
        <rFont val="Arial"/>
        <family val="2"/>
      </rPr>
      <t>sangat mudah</t>
    </r>
    <r>
      <rPr>
        <sz val="9"/>
        <rFont val="Arial"/>
        <family val="2"/>
      </rPr>
      <t xml:space="preserve"> untuk di pasarkan / di jual</t>
    </r>
  </si>
  <si>
    <r>
      <t xml:space="preserve">Properti yang </t>
    </r>
    <r>
      <rPr>
        <b/>
        <sz val="9"/>
        <color indexed="12"/>
        <rFont val="Arial"/>
        <family val="2"/>
      </rPr>
      <t>mudah</t>
    </r>
    <r>
      <rPr>
        <b/>
        <sz val="9"/>
        <rFont val="Arial"/>
        <family val="2"/>
      </rPr>
      <t xml:space="preserve"> </t>
    </r>
    <r>
      <rPr>
        <sz val="9"/>
        <rFont val="Arial"/>
        <family val="2"/>
      </rPr>
      <t>untuk</t>
    </r>
    <r>
      <rPr>
        <b/>
        <sz val="9"/>
        <rFont val="Arial"/>
        <family val="2"/>
      </rPr>
      <t xml:space="preserve"> </t>
    </r>
    <r>
      <rPr>
        <sz val="9"/>
        <rFont val="Arial"/>
        <family val="2"/>
      </rPr>
      <t>di pasarkan / di jual</t>
    </r>
  </si>
  <si>
    <t>Cukup Marketable</t>
  </si>
  <si>
    <r>
      <t xml:space="preserve">Properti yang </t>
    </r>
    <r>
      <rPr>
        <b/>
        <sz val="9"/>
        <color indexed="13"/>
        <rFont val="Arial"/>
        <family val="2"/>
      </rPr>
      <t>masih dapat</t>
    </r>
    <r>
      <rPr>
        <sz val="9"/>
        <rFont val="Arial"/>
        <family val="2"/>
      </rPr>
      <t xml:space="preserve"> untuk di pasarkan / di jual</t>
    </r>
  </si>
  <si>
    <t>Tidak Marketable</t>
  </si>
  <si>
    <r>
      <t xml:space="preserve">Properti yang </t>
    </r>
    <r>
      <rPr>
        <b/>
        <sz val="9"/>
        <color indexed="10"/>
        <rFont val="Arial"/>
        <family val="2"/>
      </rPr>
      <t>sangat sulit</t>
    </r>
    <r>
      <rPr>
        <sz val="9"/>
        <rFont val="Arial"/>
        <family val="2"/>
      </rPr>
      <t xml:space="preserve"> untuk di pasarkan / di jual</t>
    </r>
  </si>
  <si>
    <t>Senior Partner</t>
  </si>
  <si>
    <t>MAPPI No.</t>
  </si>
  <si>
    <t>95-S-00575</t>
  </si>
  <si>
    <t>Ijin Penilai Publik No.</t>
  </si>
  <si>
    <t>P-1.10.00275</t>
  </si>
  <si>
    <t>STTD OJK No.</t>
  </si>
  <si>
    <t>58/BL/STTD-P/A/2011</t>
  </si>
  <si>
    <t>Kualifikasi Penilai</t>
  </si>
  <si>
    <t>Properti</t>
  </si>
  <si>
    <t>TINGKAT KEDALAMAN INVESTIGASI</t>
  </si>
  <si>
    <t>Inspeksi terhadap properti dilakukan dengan akses memadai (tanpa hambatan) dan pengumpulan, penelaahan/verifikasi serta analisis data (properti/objek penilaian dan pasar properti) dilakukan dengan waktu yang memadai.</t>
  </si>
  <si>
    <t>Adanya batas atau pembatasan dalam melakukan inpeksi, menelaah, penghitungan dan analisis akan mempengaruhi tingkat kedalaman investigasi yang dapat kami lakukan, akan kami nyatakan secara terperinci sebagai "Asumsi Khusus".</t>
  </si>
  <si>
    <t>Dalam pelaksanaan inspeksi lapangan, Surveyor (Tim Inspeksi) kami didampingi oleh counterpart yang mengetahui (aspek teknis dan hukum) dari properti yang dinilai, dan Surat Tugas (Berita Acara Hasil Inspeksi) ditandatangani bersama keduanya.</t>
  </si>
  <si>
    <t>SIFAT DAN SUMBER INFORMASI YANG DAPAT DIANDALKAN</t>
  </si>
  <si>
    <t>Data terkait properti yang digunakan untuk kepentingan analisis (referensi) berasal dari "sumber informasi yang dapat diandalkan" yang bersumber dari lembaga resmi pemerintah, seperti; Jurnal PU, BI, BPS, REI, PHRI, BTB-MAPPI dan lembaga riset resmi lainnya.</t>
  </si>
  <si>
    <t>ASUMSI DAN BATASAN</t>
  </si>
  <si>
    <t>Properti/objek penilaian diasumsikan "free &amp; clear", dilengkapi dokumen kepemilikan yang sah, bebas dari; jaminan/hipotik; pengga-daian; sewa-menyewa; penyitaan; tuntutan atau hambatan hukum lainnya serta hak kepemilikan properti dapat dialihkan.</t>
  </si>
  <si>
    <t>Pemeriksaan atas fakta-fakta serta faktor-faktor yang mempengaruhi nilai properti sebagaimana tercantum dalam laporan ini telah dibuat sedemikian rupa hingga hal-hal yang dicantumkan / dilaporkan bersifat praktis.</t>
  </si>
  <si>
    <t>Semua data/dokumen dan informasi/keterangan yang diberikan Pemberi Tugas dan/atau Pihak Ketiga lainnya yang terkait penilaian ini, adalah; sah; valid; benar dan akurat sesuai dengan fakta fisik dan hukum sebenarnya (sesuai kondisi terlihat). Apabila asumsi ini tidak terpenuhi, maka kami tidak bertanggung jawab terhadap kerugian material, immaterial serta permasalahan hukum yang timbul.</t>
  </si>
  <si>
    <t xml:space="preserve">Kami tidak melaksanakan pengukuran detail properti (sebagaimana petugas yang berwenang / BPN) dan gambar properti yang ditampilkan dalam laporan ini dimaksudkan hanya sebagai bahan ilustrasi / visualisasi saja yang diperoleh dari hasil inspeksi lapangan serta data, dokumen serta gambaran yang diberikan Pemberi Tugas yang diasumsikan sesuai point 3. </t>
  </si>
  <si>
    <t>Kondisi - kondisi yang tidak wajar yang tersembunyi atau tidak dapat dijangkau atau tidak / sulit terlihat baik terhadap struktur bangunan maupun tanah / tapak yang dapat membawa efek negatip terhadap nilai properti, tidak menjadi tanggung jawab kami sebab bukan merupakan bagian pekerjaan dan kewenangan kami.</t>
  </si>
  <si>
    <t>Laporan penilaian ini dan/atau salinannya bersifat rahasia serta tidak diperkenankan untuk : disebarluaskan, dijadikan referensi serta digunakan untuk tujuan lain tanpa ijin tertulis dari kami. Kami tidak bertanggung jawab dan tidak dapat dituntut atas segala kerugian yang terjadi saat ini dan di masa mendatang, apabila asumsi dan batasan penilaian ini dilanggar (tidak dapat dipenuhi).</t>
  </si>
  <si>
    <t>Nilai dalam laporan ini dinyatakan dalam mata uang Rupiah (Rp.-) dan atau ekuivalennya (sesuai kurs pada tanggal penilaian).</t>
  </si>
  <si>
    <t>Sepanjang sesuai dan dibenarkan oleh ketentuan hukum yang berlaku, kami bersedia memberikan kesaksian dan/atau penjelasan teknis penilaian kepada pihak lain (Pihak berwenang) yang berhubungan dengan penilaian properti ini.</t>
  </si>
  <si>
    <t>9.</t>
  </si>
  <si>
    <r>
      <t xml:space="preserve">Laporan penilaian ini sah, apabila disertai tanda tangan asli, stampel, serta watermarking logo </t>
    </r>
    <r>
      <rPr>
        <b/>
        <sz val="10"/>
        <rFont val="TIMMINS"/>
      </rPr>
      <t>KJPP ASUS &amp; REKAN</t>
    </r>
    <r>
      <rPr>
        <b/>
        <sz val="10"/>
        <rFont val="Arial Narrow"/>
        <family val="2"/>
      </rPr>
      <t>.</t>
    </r>
  </si>
  <si>
    <t>PERNYATAAN PENILAI</t>
  </si>
  <si>
    <t>Dalam batas kemampuan dan keyakinan kami sebagai Penilai Independen, kami yang bertanda tangan di bawah ini menyatakan bahwa :</t>
  </si>
  <si>
    <t>Pernyataan faktual yang dipresentasikan dalam laporan penilaian ini, adalah benar dan sesuai dengan pemahaman terbaik kami sebagai Penilai.</t>
  </si>
  <si>
    <t>Analisis data dan kesimpulan hanya dibatasi oleh asumsi dan kondisi pembatas sebagaimana yang dilaporkan.</t>
  </si>
  <si>
    <r>
      <t xml:space="preserve">Kami (Penilai) tidak memiliki kepentingan apapun </t>
    </r>
    <r>
      <rPr>
        <sz val="10"/>
        <rFont val="Arial Narrow"/>
        <family val="2"/>
      </rPr>
      <t>terhadap properti yang dinilai.</t>
    </r>
  </si>
  <si>
    <t>Imbalan jasa / fee Penilai yang kami terima tidak berkaitan dengan hasil penilaian yang dilaporkan.</t>
  </si>
  <si>
    <t>Penilaian dilakukan dengan memenuhi ketentuan Kode Etik Penilai Indonesia dan Standar Penilaian Indonesia Edisi VI - Tahun 2015.</t>
  </si>
  <si>
    <t>Penilai telah menyelesaikan persyaratan pendidikan profesional yang ditetapkan atau dilaksanakan oleh asosiasi MAPPI (Masyarakat Profesi Penilai Indonesia).</t>
  </si>
  <si>
    <t>Penilai memiliki pemahaman yang layak/kompeten dan memadai tentang lokasi dan/atau jenis properti yang dinilai.</t>
  </si>
  <si>
    <t>Penilai telah melaksanakan ruang lingkup penilaian, sesuai surat penugasan (kontrak kerja yang telah disepakati).</t>
  </si>
  <si>
    <t>þ</t>
  </si>
  <si>
    <t>Identifikasi masalah (identifikasi batasan, tujuan dan objek, definisi penilaian dan tanggal penilaian);</t>
  </si>
  <si>
    <t>Inspeksi lapangan berupa kegiatan verifikasi data / dokumen dengan fakta dan fisik teknis properti di lapangan, meliputi : pengumpulan data, wawancara dan pemeriksaan fisik properti;</t>
  </si>
  <si>
    <t>Analisis data dan kesimpulan estimasi nilai properti dengan menggunakan pendekatan penilaian : "Pendekatan Biaya";  dan</t>
  </si>
  <si>
    <t>Penulisan Laporan Penilaian.</t>
  </si>
  <si>
    <t>Tidak ada seorangpun (Penilai dan tenaga ahli teknis lainnya), terlibat dalam pelaksanaan keseluruhan kegiatan penilaian ini.</t>
  </si>
  <si>
    <t xml:space="preserve">N a m a    /   N o .   M A P P I </t>
  </si>
  <si>
    <t>Tanda - Tangan</t>
  </si>
  <si>
    <t>( Penanggung Jawab )</t>
  </si>
  <si>
    <t>MAPPI No.: 95-S-00575</t>
  </si>
  <si>
    <t>( Penilai &amp; Reviewer )</t>
  </si>
  <si>
    <t xml:space="preserve">MAPPI No.: 92-T-00279 </t>
  </si>
  <si>
    <t>( Surveyor )</t>
  </si>
  <si>
    <t xml:space="preserve"> PENILAIAN TANAH</t>
  </si>
  <si>
    <t>O B Y E K     P E N I L A I A N</t>
  </si>
  <si>
    <r>
      <t>Batas - Batas Properti</t>
    </r>
    <r>
      <rPr>
        <b/>
        <sz val="10"/>
        <rFont val="Arial Narrow"/>
        <family val="2"/>
      </rPr>
      <t xml:space="preserve">  :</t>
    </r>
  </si>
  <si>
    <t>Yang dijumpai dilokasi</t>
  </si>
  <si>
    <t>Informasi Properti</t>
  </si>
  <si>
    <t>Obyek dhuni oleh</t>
  </si>
  <si>
    <t>L I N G K U N G A N</t>
  </si>
  <si>
    <t>A N A L I S A   L I N G K U N G A N</t>
  </si>
  <si>
    <t>Baik</t>
  </si>
  <si>
    <t>Cukup</t>
  </si>
  <si>
    <t>Kurang</t>
  </si>
  <si>
    <t>Lokasi tanah</t>
  </si>
  <si>
    <t xml:space="preserve"> Pusat kota</t>
  </si>
  <si>
    <t xml:space="preserve"> Pinggir kota</t>
  </si>
  <si>
    <t xml:space="preserve"> Pedesaan</t>
  </si>
  <si>
    <t>Kemudahan mencapai</t>
  </si>
  <si>
    <t>obyek</t>
  </si>
  <si>
    <t>lokasi obyek</t>
  </si>
  <si>
    <t>Kepadatan</t>
  </si>
  <si>
    <t xml:space="preserve"> &gt; 75%</t>
  </si>
  <si>
    <t xml:space="preserve"> 25 - 75%</t>
  </si>
  <si>
    <t xml:space="preserve"> &lt; 25%</t>
  </si>
  <si>
    <t>bangunan</t>
  </si>
  <si>
    <t>Kemudahan belanja /</t>
  </si>
  <si>
    <t>Pertumbuhan</t>
  </si>
  <si>
    <t xml:space="preserve"> Cepat</t>
  </si>
  <si>
    <t xml:space="preserve"> Stabil</t>
  </si>
  <si>
    <t xml:space="preserve"> Lambat</t>
  </si>
  <si>
    <t>shooping</t>
  </si>
  <si>
    <t>Kemudahan ke sekolah /</t>
  </si>
  <si>
    <t>Harga tanah</t>
  </si>
  <si>
    <t xml:space="preserve"> Naik cepat</t>
  </si>
  <si>
    <t xml:space="preserve"> Cenderung</t>
  </si>
  <si>
    <t>sarana pendidikan</t>
  </si>
  <si>
    <t xml:space="preserve">  turun</t>
  </si>
  <si>
    <t>Kemudahan transportasi /</t>
  </si>
  <si>
    <t>K A W A S A N</t>
  </si>
  <si>
    <t>angkutan umum</t>
  </si>
  <si>
    <t>Penggunaan Tanah                          Saat Ini</t>
  </si>
  <si>
    <t>Perubahan Lingkungan /                                  Tata Guna Tanah                                                  Akan Datang</t>
  </si>
  <si>
    <t>Mayoritas                                                                           Data Hunian</t>
  </si>
  <si>
    <t>Kemudahan rekreasi /</t>
  </si>
  <si>
    <t xml:space="preserve"> hiburan</t>
  </si>
  <si>
    <t xml:space="preserve"> Perumahan</t>
  </si>
  <si>
    <t>Sedang berlangsung</t>
  </si>
  <si>
    <t xml:space="preserve">Pemilikan </t>
  </si>
  <si>
    <t>Keamanan terhadap</t>
  </si>
  <si>
    <t xml:space="preserve"> Industri</t>
  </si>
  <si>
    <t>kejahatan / kriminalitas</t>
  </si>
  <si>
    <t xml:space="preserve"> Perkantoran</t>
  </si>
  <si>
    <t>Sangat mungkin</t>
  </si>
  <si>
    <t xml:space="preserve">Penyewaan </t>
  </si>
  <si>
    <t xml:space="preserve"> Pertokoan</t>
  </si>
  <si>
    <t>kebakaran</t>
  </si>
  <si>
    <t xml:space="preserve"> Taman /</t>
  </si>
  <si>
    <t>Kecil kemungkinan</t>
  </si>
  <si>
    <t xml:space="preserve">Instansi </t>
  </si>
  <si>
    <t xml:space="preserve">  penghijauan</t>
  </si>
  <si>
    <t xml:space="preserve"> Tanah kosong</t>
  </si>
  <si>
    <t>Tidak mungkin</t>
  </si>
  <si>
    <t xml:space="preserve">Kosong </t>
  </si>
  <si>
    <t>bencana alam</t>
  </si>
  <si>
    <t>L O K A S I   S I T E</t>
  </si>
  <si>
    <t>Fasilitas Lingkungan</t>
  </si>
  <si>
    <t>Jaringan Listrik</t>
  </si>
  <si>
    <t>Lebar jalan di depan obyek</t>
  </si>
  <si>
    <t>Jaringan Air Bersih</t>
  </si>
  <si>
    <t>Lebar jalan lingkungan</t>
  </si>
  <si>
    <t>Jaringan Telepon</t>
  </si>
  <si>
    <t>Jenis jalan depan obyek</t>
  </si>
  <si>
    <t>Jaringan Gas</t>
  </si>
  <si>
    <t>Drainage</t>
  </si>
  <si>
    <t>Penampungan Sampah</t>
  </si>
  <si>
    <t>Trotoar</t>
  </si>
  <si>
    <t>Lampu Jalan</t>
  </si>
  <si>
    <t>Gambaran Umum Site</t>
  </si>
  <si>
    <t xml:space="preserve">Topografi </t>
  </si>
  <si>
    <t>Jenis tanah</t>
  </si>
  <si>
    <t xml:space="preserve">Tata lingkungan </t>
  </si>
  <si>
    <t xml:space="preserve">Resiko banjir </t>
  </si>
  <si>
    <t>Letak / Posisi</t>
  </si>
  <si>
    <t xml:space="preserve">Tinggi tanah terhadap jalan </t>
  </si>
  <si>
    <t>Minimal 20 cm</t>
  </si>
  <si>
    <t>Sal. Udara Teg. Ekstra Tinggi</t>
  </si>
  <si>
    <t>Jarak obyek terhadap SUTET</t>
  </si>
  <si>
    <t>D A T A    L E G A L I T A S</t>
  </si>
  <si>
    <t>Atas Nama</t>
  </si>
  <si>
    <t>Tanggal Sertifikat</t>
  </si>
  <si>
    <r>
      <t>Luas Tanah                                       ( m</t>
    </r>
    <r>
      <rPr>
        <b/>
        <sz val="10"/>
        <rFont val="Arial"/>
        <family val="2"/>
      </rPr>
      <t>²</t>
    </r>
    <r>
      <rPr>
        <b/>
        <sz val="10"/>
        <rFont val="Arial Narrow"/>
        <family val="2"/>
      </rPr>
      <t xml:space="preserve"> )</t>
    </r>
  </si>
  <si>
    <t>Terbit</t>
  </si>
  <si>
    <t>Berakhir</t>
  </si>
  <si>
    <t>Nomor</t>
  </si>
  <si>
    <t>Tgl-Bln-Thn</t>
  </si>
  <si>
    <t>Hak Milik</t>
  </si>
  <si>
    <t>2381</t>
  </si>
  <si>
    <t xml:space="preserve">1. ELNA SETIA PURBA </t>
  </si>
  <si>
    <t>04-09-1998</t>
  </si>
  <si>
    <t>1687</t>
  </si>
  <si>
    <t>2. CHRISDIANTO MAMANA TARIGAN</t>
  </si>
  <si>
    <t xml:space="preserve">3.LEBRANDO SONODA TARIGAN </t>
  </si>
  <si>
    <t xml:space="preserve"> 4. TERNALENTA TARIGAN</t>
  </si>
  <si>
    <t>5. JUNIOR GEDION TARIGAN</t>
  </si>
  <si>
    <t>Total luas tanah yang terpotong (rencana / pelebaran jalan)</t>
  </si>
  <si>
    <t>K E S I M P U L A N   N I L A I   T A N A H</t>
  </si>
  <si>
    <t xml:space="preserve"> PERHITUNGAN NILAI PASAR TANAH</t>
  </si>
  <si>
    <t>DENGAN METODE PENDEKATAN PERBANDINGAN DATA PASAR</t>
  </si>
  <si>
    <t>Data 1</t>
  </si>
  <si>
    <t>Data 2</t>
  </si>
  <si>
    <t>Data 3</t>
  </si>
  <si>
    <t xml:space="preserve"> PERHITUNGAN NILAI PASAR BANGUNAN &amp; SARANA PELENGKAP</t>
  </si>
  <si>
    <t>Luas bangunan utama</t>
  </si>
  <si>
    <t>Luas teras bangunan</t>
  </si>
  <si>
    <t>BRB / RCN                                                            ( Rp.- )</t>
  </si>
  <si>
    <t>BRB / RCN                                              ( Rp.- / m² )</t>
  </si>
  <si>
    <t>Nilai Pasar                                                           ( Rp.- )</t>
  </si>
  <si>
    <t>Nilai Pasar                                                        ( Rp.- / m² )</t>
  </si>
  <si>
    <t>Penyusutan (%)</t>
  </si>
  <si>
    <t>Kondisi Properti</t>
  </si>
  <si>
    <t>Kondisi                   Bangunan</t>
  </si>
  <si>
    <t>I. SARANA PELENGKAP BERDASARKAN KONDISI FISIK</t>
  </si>
  <si>
    <t>Satuan                 / Unit</t>
  </si>
  <si>
    <t>BRB / RCN                                                (Rp.-)</t>
  </si>
  <si>
    <t>Nilai Pasar                                                (Rp.-)</t>
  </si>
  <si>
    <t>Indikasi                                                 Nilai Likuidasi (Rp.-)</t>
  </si>
  <si>
    <t>NILAI BANGUNAN BEDASARKAN BERDASARKAN KETENTUAN DINAS TATA KOTA</t>
  </si>
  <si>
    <t>Nilai Pasar                                                        ( Rp / m² )</t>
  </si>
  <si>
    <t>SARANA  PELENGKAP BERDASARKAN KETENTUAN DINAS TATA KOTA</t>
  </si>
  <si>
    <t>(seluruhnya terpotong rencana jalan)</t>
  </si>
  <si>
    <r>
      <t>LAMPIRAN</t>
    </r>
    <r>
      <rPr>
        <b/>
        <sz val="4"/>
        <rFont val="Arial Narrow"/>
        <family val="2"/>
      </rPr>
      <t xml:space="preserve"> </t>
    </r>
    <r>
      <rPr>
        <b/>
        <sz val="13"/>
        <rFont val="Arial Narrow"/>
        <family val="2"/>
      </rPr>
      <t>-1</t>
    </r>
  </si>
  <si>
    <t>FOTO - FOTO PROPERTI</t>
  </si>
  <si>
    <t>Tampak Depan Properti</t>
  </si>
  <si>
    <t>FOTO PROPERTI</t>
  </si>
  <si>
    <r>
      <t>LAMPIRAN</t>
    </r>
    <r>
      <rPr>
        <b/>
        <sz val="4"/>
        <rFont val="Arial Narrow"/>
        <family val="2"/>
      </rPr>
      <t xml:space="preserve"> </t>
    </r>
    <r>
      <rPr>
        <b/>
        <sz val="13"/>
        <rFont val="Arial Narrow"/>
        <family val="2"/>
      </rPr>
      <t>-2</t>
    </r>
  </si>
  <si>
    <t>DENAH TANAH-BANGUNAN &amp; PETA LOKASI PROPERTI</t>
  </si>
  <si>
    <t>PETA LOKASI PROPERTI &amp; DATA PEMBANDING</t>
  </si>
  <si>
    <t>LAPORAN PENILAIAN PROPERTI</t>
  </si>
  <si>
    <t>Terletak di :</t>
  </si>
  <si>
    <t>http://www.hargamaterial.xyz/harga-asbes/</t>
  </si>
  <si>
    <t xml:space="preserve">Kamar Tidur </t>
  </si>
  <si>
    <t>Ruang Dapur</t>
  </si>
  <si>
    <t>Kamar Mandi/WC</t>
  </si>
  <si>
    <t>NAMA BANK</t>
  </si>
  <si>
    <t>TUJUAN PENILAIAN</t>
  </si>
  <si>
    <t>BANK</t>
  </si>
  <si>
    <r>
      <t>TUJUAN PENILAIAN</t>
    </r>
    <r>
      <rPr>
        <b/>
        <sz val="9"/>
        <color indexed="12"/>
        <rFont val="Arial"/>
        <family val="2"/>
      </rPr>
      <t xml:space="preserve"> :</t>
    </r>
  </si>
  <si>
    <t>Jaminan/Agunan Kredit</t>
  </si>
  <si>
    <t>Lelang Jaminan/Agunan Kredit</t>
  </si>
  <si>
    <t>Jaminan/Agunan Kredit (KPR)</t>
  </si>
  <si>
    <t>silahkan isi di colom BU87-BU95</t>
  </si>
  <si>
    <t>Moh. Sugianto. SE.</t>
  </si>
  <si>
    <t>Kamar                          Tidur - II</t>
  </si>
  <si>
    <t>Kamar                          Tidur - I</t>
  </si>
  <si>
    <t>Workshop</t>
  </si>
  <si>
    <t>MAPPI No.: 16-P-06915</t>
  </si>
  <si>
    <r>
      <t>Keterangan Legalitas</t>
    </r>
    <r>
      <rPr>
        <b/>
        <sz val="8"/>
        <rFont val="Arial"/>
        <family val="2"/>
      </rPr>
      <t xml:space="preserve"> :</t>
    </r>
  </si>
  <si>
    <t>Luas</t>
  </si>
  <si>
    <t>m²</t>
  </si>
  <si>
    <t>Total Luas</t>
  </si>
  <si>
    <t>SHM No. xxxx</t>
  </si>
  <si>
    <r>
      <t>Keterangan Bangunan</t>
    </r>
    <r>
      <rPr>
        <b/>
        <sz val="7"/>
        <rFont val="Arial"/>
        <family val="2"/>
      </rPr>
      <t xml:space="preserve"> :</t>
    </r>
  </si>
  <si>
    <t>Bgn. XXX</t>
  </si>
  <si>
    <t>DAFTAR surveyor</t>
  </si>
  <si>
    <t>DAFTAR SURVEYOR</t>
  </si>
  <si>
    <t>Derryl Andhika Yahya</t>
  </si>
  <si>
    <t>Rizky Pujakesuma</t>
  </si>
  <si>
    <t>Vicky Pratama</t>
  </si>
  <si>
    <t>MAPPI No.: 16-P-06314</t>
  </si>
  <si>
    <t>Herry Wahyudi</t>
  </si>
  <si>
    <t>MAPPI No.: 16-A-06588</t>
  </si>
  <si>
    <t>Reza Agung Maulana</t>
  </si>
  <si>
    <t>USEP PRAWIRA &amp; REKAN</t>
  </si>
  <si>
    <t>Jangan diisi.!!!!!!!!!</t>
  </si>
  <si>
    <t>...............</t>
  </si>
  <si>
    <t>TOTAL LUAS TANAH SESUAI SERTIFIKAT</t>
  </si>
  <si>
    <t>KHUSUS B. GUDANG</t>
  </si>
  <si>
    <t>Mezzanin                     ( m² )</t>
  </si>
  <si>
    <t>B. Kantor Lainnya                            ( m² )</t>
  </si>
  <si>
    <t>DAFTAR PENANGGUNG JAWAB</t>
  </si>
  <si>
    <t>Asno Minanda,M.Ec.Dev., MAPPI (Cert)</t>
  </si>
  <si>
    <t>Pemimpin Rekan</t>
  </si>
  <si>
    <t>06-S-02041</t>
  </si>
  <si>
    <t>PB-1.13.00383</t>
  </si>
  <si>
    <t>09/PM.22/STTD-P/A/2015</t>
  </si>
  <si>
    <t>02/PM.22/STTD-P/AB/2017</t>
  </si>
  <si>
    <t>Bisnis dan Properti</t>
  </si>
  <si>
    <t>MAPPI No.: 06-S-02041</t>
  </si>
  <si>
    <t>Penanggung Jawab</t>
  </si>
  <si>
    <t>KJPP ASNO MINANDA,</t>
  </si>
  <si>
    <t>Ruang Gudang</t>
  </si>
  <si>
    <t>INDIKASI NILAI PASAR BANGUNAN SESUAI DOKUMEN LEGALITAS</t>
  </si>
  <si>
    <t>Luas Bangunan Berdasarkan Ketentuan Pemerintah</t>
  </si>
  <si>
    <t>Rumah Tinggal - 1</t>
  </si>
  <si>
    <t>Rumah Tinggal - 2</t>
  </si>
  <si>
    <t>Rumah Kontrakan - 1</t>
  </si>
  <si>
    <t>Rumah Kontrakan - 2</t>
  </si>
  <si>
    <t>Pabrik - 1</t>
  </si>
  <si>
    <t>Pabrik - 2</t>
  </si>
  <si>
    <t>Produksi</t>
  </si>
  <si>
    <t>Produksi - 1</t>
  </si>
  <si>
    <t>Produksi - 2</t>
  </si>
  <si>
    <t>Gudang - 1</t>
  </si>
  <si>
    <t>Gudang - 2</t>
  </si>
  <si>
    <t>Workshop - 1</t>
  </si>
  <si>
    <t>Workshop - 2</t>
  </si>
  <si>
    <t>Mess Karyawan</t>
  </si>
  <si>
    <t>Mess Karyawan - 1</t>
  </si>
  <si>
    <t>Mess Karyawan - 2</t>
  </si>
  <si>
    <t>Mess Karyawan - 3</t>
  </si>
  <si>
    <t>Pos Jaga - 1</t>
  </si>
  <si>
    <t>Pos Jaga - 2</t>
  </si>
  <si>
    <t>Gazebo</t>
  </si>
  <si>
    <t>Gazebo - 1</t>
  </si>
  <si>
    <t>Gazebo - 2</t>
  </si>
  <si>
    <t>Rumah Kos</t>
  </si>
  <si>
    <t>Mess Pimpinan</t>
  </si>
  <si>
    <t>Paviliun</t>
  </si>
  <si>
    <t>Kamar Tidur</t>
  </si>
  <si>
    <t>Kamar Mandi / Wc</t>
  </si>
  <si>
    <t>Musholla</t>
  </si>
  <si>
    <t>Kantin</t>
  </si>
  <si>
    <t>Rumah Penjaga</t>
  </si>
  <si>
    <t>Rumah Genset</t>
  </si>
  <si>
    <t>Rumah Pompa</t>
  </si>
  <si>
    <t>Carport</t>
  </si>
  <si>
    <t>Parkir Kendaraan</t>
  </si>
  <si>
    <t>Kolam Penampungan Air</t>
  </si>
  <si>
    <t>Pemberi Tugas</t>
  </si>
  <si>
    <t>Luas bangunan yang dinilai</t>
  </si>
  <si>
    <t xml:space="preserve">Total Luas Bangunan </t>
  </si>
  <si>
    <t>FORM DATA ENTRY (Internal Only)</t>
  </si>
  <si>
    <t>Informasi Tata Kota tentang pelebaran jalan ……………………………………………………………..</t>
  </si>
  <si>
    <t>URAIAN SARANA PELENGKAP</t>
  </si>
  <si>
    <t>Asno Minanda,M.Ec.Dev., MAPPI (Cert.)</t>
  </si>
  <si>
    <t>I N F O R M A S I    T A M B A H A N</t>
  </si>
  <si>
    <t>Informasi NJOP Properti</t>
  </si>
  <si>
    <r>
      <t>BUMI ( / m</t>
    </r>
    <r>
      <rPr>
        <sz val="10.5"/>
        <rFont val="Arial"/>
        <family val="2"/>
      </rPr>
      <t>² )</t>
    </r>
  </si>
  <si>
    <r>
      <t>BANGUNAN ( / m</t>
    </r>
    <r>
      <rPr>
        <sz val="10.5"/>
        <rFont val="Arial"/>
        <family val="2"/>
      </rPr>
      <t>² )</t>
    </r>
  </si>
  <si>
    <t>Sesuai tipe properti yang dinilai dan tujuan penilaiannya, maka pendekatan penilaian yang digunakan yaitu; "Pendekatan Biaya (Cost Approach)", dimana khusus untuk meng-estimasi nilai tanah menggunakan "pendekatan pasar dengan metode Perbandingan langsung data transaksi pasar" dari properti/bidang tanah yang sejenis dan sebanding.</t>
  </si>
  <si>
    <t>Persetujuan pemilik aset/Pemberi Tugas/Debitur dan waktu penilaian aset yang disepakati :</t>
  </si>
  <si>
    <t xml:space="preserve"> BERDASARKAN DOKIMEN/LEGALITAS</t>
  </si>
  <si>
    <t>NILAI PASAR TANAH YANG DAPAT DINILAI (sesuai dokumen legalitas)</t>
  </si>
  <si>
    <t>PT. BANK BRI (PERSERO), Tbk.</t>
  </si>
  <si>
    <t>PT. BANK BNI (PERSERO), Tbk.</t>
  </si>
  <si>
    <t>BANK BTPN</t>
  </si>
  <si>
    <t>PT. BANK RAKYAT INDONESIA (PERSERO), Tbk.</t>
  </si>
  <si>
    <t>PT. BANK NEGARA INDONESIA (PERSERO), Tbk.</t>
  </si>
  <si>
    <t>PT. BANK TABUNGAN PENSIUNAN NASIONAL Tbk. (BANK BTPN)</t>
  </si>
  <si>
    <t>PT. BANK PEMBANGUNAN DAERAH JAWA BARAT DAN BANTEN, Tbk.</t>
  </si>
  <si>
    <t>DENAH TANAH &amp; DENAH BANGUNAN</t>
  </si>
  <si>
    <t>NILAI PASAR TANAH YANG DINILAI</t>
  </si>
  <si>
    <t xml:space="preserve">Informasi Tambahan </t>
  </si>
  <si>
    <t>I. Indikasi Nilai Pasar Sesuai Ketentuan Pemerintah</t>
  </si>
  <si>
    <t>II. Indikasi Nilai Pasar Sesuai Dokumen / Legalitas</t>
  </si>
  <si>
    <t>Kamr Tidur Utama</t>
  </si>
  <si>
    <t>Tangga Menuju Gudang &amp; Tempat Jemur</t>
  </si>
  <si>
    <t>Gudang &amp; Tempat Jemur</t>
  </si>
  <si>
    <t>Tidak terinformasi</t>
  </si>
  <si>
    <t>Pagar depan</t>
  </si>
  <si>
    <t>Persegi panjang</t>
  </si>
  <si>
    <t>Kamar Tidur Anak</t>
  </si>
  <si>
    <t>Tahun 2017</t>
  </si>
  <si>
    <t>Luas Bangunan yang Dinilai</t>
  </si>
  <si>
    <t>Luas Tanah Yang Dinilai</t>
  </si>
  <si>
    <t xml:space="preserve">II. RINGKASAN / KESIMPULAN HASIL PENILAIAN </t>
  </si>
  <si>
    <t>PT. Bank BJB, Tbk.</t>
  </si>
  <si>
    <t>Tunggal.</t>
  </si>
  <si>
    <t>Kamar Mandi / WC</t>
  </si>
  <si>
    <t>D a p u r</t>
  </si>
  <si>
    <t>Tanah, Bangunan Rumah Tinggal &amp; Sarana Pelengkap</t>
  </si>
  <si>
    <t>No. Surat Tugas</t>
  </si>
  <si>
    <t>Nama Pejabat</t>
  </si>
  <si>
    <t>MASTER</t>
  </si>
  <si>
    <t>Perkerasan &amp; Canopy Carport</t>
  </si>
  <si>
    <t>Reyhan Ryanafi</t>
  </si>
  <si>
    <t>MAPPI No.: 17-A-07993</t>
  </si>
  <si>
    <t>Fabian Putra Daiva</t>
  </si>
  <si>
    <t>MAPPI No.: 17-P-07992</t>
  </si>
  <si>
    <t>MAPPI No.: 17-P-07131</t>
  </si>
  <si>
    <t>DATA - 7</t>
  </si>
  <si>
    <t>DATA - 8</t>
  </si>
  <si>
    <t>DATA - 9</t>
  </si>
  <si>
    <t>REVIEW - 1</t>
  </si>
  <si>
    <t>REVIEW - 2</t>
  </si>
  <si>
    <t>REVIEW - 3</t>
  </si>
  <si>
    <t>Berdasarkan permintaan dari - - - - - - - - - maka Indikasi Nilai Pasar sesuai ketentuan Pemerintah/sesuai legalitas adalah :</t>
  </si>
  <si>
    <t xml:space="preserve">Bangunan </t>
  </si>
  <si>
    <t>TOTAL SARANA PELENGKAP</t>
  </si>
  <si>
    <t>MAPPI No.: 17-P-07130</t>
  </si>
  <si>
    <t>Debitur</t>
  </si>
  <si>
    <t>Kel.</t>
  </si>
  <si>
    <t>√</t>
  </si>
  <si>
    <t>Koordinat</t>
  </si>
  <si>
    <t>Data Banding dilarang dari Internet</t>
  </si>
  <si>
    <t>SUWITO SALIM</t>
  </si>
  <si>
    <t>Dihuni</t>
  </si>
  <si>
    <t>Bintaro</t>
  </si>
  <si>
    <t>Sangiang Jaya</t>
  </si>
  <si>
    <t>Periuk</t>
  </si>
  <si>
    <t>Tangerang</t>
  </si>
  <si>
    <t>Banten</t>
  </si>
  <si>
    <t>Barat Laut</t>
  </si>
  <si>
    <t>Jl. Prabu Kian Santang</t>
  </si>
  <si>
    <t>Timur Laut</t>
  </si>
  <si>
    <t>Tenggara</t>
  </si>
  <si>
    <t>Barat Daya</t>
  </si>
  <si>
    <t>Pabrik Sepatu</t>
  </si>
  <si>
    <t>Aspal</t>
  </si>
  <si>
    <t>Terbuka &amp; Tertutup</t>
  </si>
  <si>
    <t>Tidak ada</t>
  </si>
  <si>
    <t>Ada</t>
  </si>
  <si>
    <t>Datar</t>
  </si>
  <si>
    <t>Tanah matang</t>
  </si>
  <si>
    <t>Tidak pernah terjadi</t>
  </si>
  <si>
    <t>Tengah</t>
  </si>
  <si>
    <t>2716</t>
  </si>
  <si>
    <t>17-05-2013</t>
  </si>
  <si>
    <t>Surat Ukur</t>
  </si>
  <si>
    <t>614/ SANGIANG JAYA/ 2013</t>
  </si>
  <si>
    <t>07-03-2013</t>
  </si>
  <si>
    <t>Standar</t>
  </si>
  <si>
    <t>Tanpa pagar</t>
  </si>
  <si>
    <t>Cukup tertata</t>
  </si>
  <si>
    <t>Tidak Terinformasi</t>
  </si>
  <si>
    <t>Beton</t>
  </si>
  <si>
    <t>Batu bata</t>
  </si>
  <si>
    <t>Keramik</t>
  </si>
  <si>
    <t>Plitur</t>
  </si>
  <si>
    <t>Tanpa tangga</t>
  </si>
  <si>
    <t>Gypsum</t>
  </si>
  <si>
    <t>Genteng tanah liat</t>
  </si>
  <si>
    <t>Bpk. Harun</t>
  </si>
  <si>
    <t>Pemilik</t>
  </si>
  <si>
    <t>0812 8336 7445</t>
  </si>
  <si>
    <t>Saat ini</t>
  </si>
  <si>
    <t>SHM</t>
  </si>
  <si>
    <t>Segi empat</t>
  </si>
  <si>
    <t>Pertokoan</t>
  </si>
  <si>
    <t>Tanah kosong</t>
  </si>
  <si>
    <t>Bpk. Jaya</t>
  </si>
  <si>
    <t>0812 9095 2751</t>
  </si>
  <si>
    <t>Bpk. Ujang</t>
  </si>
  <si>
    <t>0813 9520 6376</t>
  </si>
  <si>
    <t>Perkantoran</t>
  </si>
  <si>
    <t>Suasana Jl. Prabu Kian Santang                                                                                                                                                                          (Properti terletak disisi kiri jalan)</t>
  </si>
  <si>
    <t>Tampak Jl. Prabu Kian Santang                                                                   (Properti terletak disisi kanan jalan)</t>
  </si>
  <si>
    <t>-6.179925, 106.593186</t>
  </si>
  <si>
    <t>-6.180739, 106.594013</t>
  </si>
  <si>
    <t>-6.175935, 106.597637</t>
  </si>
  <si>
    <t>INTERNAL BRI</t>
  </si>
  <si>
    <t>2017</t>
  </si>
  <si>
    <t>Data-1,3 indikasi jual cepat</t>
  </si>
  <si>
    <t>#  Juta - Rupiah #</t>
  </si>
  <si>
    <t>04 Mei 2018</t>
  </si>
  <si>
    <t>Kota Adm.</t>
  </si>
  <si>
    <t>B.698 KC-XV/ADK/04/2018</t>
  </si>
  <si>
    <t>Teguh Rastianto</t>
  </si>
  <si>
    <t>Pemimpin Cabang</t>
  </si>
  <si>
    <t>0123-LK/KJPP-ASUS/V/18</t>
  </si>
  <si>
    <t>PT. BANK ABCDE</t>
  </si>
  <si>
    <t>PT. XYZ</t>
  </si>
  <si>
    <t>Jl. ABCDE</t>
  </si>
  <si>
    <t>Bangunan Rumah Tinggal</t>
  </si>
  <si>
    <t>m2</t>
  </si>
  <si>
    <t>lot</t>
  </si>
  <si>
    <t>Calon Debitur</t>
  </si>
  <si>
    <t>Marketibillity</t>
  </si>
  <si>
    <t>Disc</t>
  </si>
</sst>
</file>

<file path=xl/styles.xml><?xml version="1.0" encoding="utf-8"?>
<styleSheet xmlns="http://schemas.openxmlformats.org/spreadsheetml/2006/main" xmlns:mc="http://schemas.openxmlformats.org/markup-compatibility/2006" xmlns:x14ac="http://schemas.microsoft.com/office/spreadsheetml/2009/9/ac" mc:Ignorable="x14ac">
  <numFmts count="57">
    <numFmt numFmtId="41" formatCode="_(* #,##0_);_(* \(#,##0\);_(* &quot;-&quot;_);_(@_)"/>
    <numFmt numFmtId="43" formatCode="_(* #,##0.00_);_(* \(#,##0.00\);_(* &quot;-&quot;??_);_(@_)"/>
    <numFmt numFmtId="168" formatCode="_(&quot;Rp&quot;* #,##0_);_(&quot;Rp&quot;* \(#,##0\);_(&quot;Rp&quot;* &quot;-&quot;_);_(@_)"/>
    <numFmt numFmtId="170" formatCode="_-&quot;Rp&quot;* #,##0_-;\-&quot;Rp&quot;* #,##0_-;_-&quot;Rp&quot;* &quot;-&quot;_-;_-@_-"/>
    <numFmt numFmtId="171" formatCode="00"/>
    <numFmt numFmtId="172" formatCode="#,##0.0_);[Red]\(#,##0.0\)"/>
    <numFmt numFmtId="173" formatCode="#,##0\ &quot;Tahun&quot;"/>
    <numFmt numFmtId="174" formatCode="#,##0\ &quot;m² &quot;"/>
    <numFmt numFmtId="175" formatCode="#,##0.0000_);[Red]\(#,##0.0000\)"/>
    <numFmt numFmtId="176" formatCode="0.0%"/>
    <numFmt numFmtId="177" formatCode="0_);[Red]\(0\)"/>
    <numFmt numFmtId="178" formatCode="#,##0\ &quot;Lantai&quot;"/>
    <numFmt numFmtId="179" formatCode="#,##0_ ;[Red]\-#,##0\ "/>
    <numFmt numFmtId="180" formatCode="#,##0.0\ &quot;m² &quot;"/>
    <numFmt numFmtId="181" formatCode="#,##0.00_ ;[Red]\-#,##0.00\ "/>
    <numFmt numFmtId="182" formatCode="#,##0.0\ &quot;Tahun&quot;"/>
    <numFmt numFmtId="183" formatCode="0.0"/>
    <numFmt numFmtId="184" formatCode="#,##0\ &quot;m²&quot;"/>
    <numFmt numFmtId="185" formatCode="\±\ \ #,##0\ &quot;m²&quot;"/>
    <numFmt numFmtId="186" formatCode="#,##0\ &quot;cm&quot;"/>
    <numFmt numFmtId="187" formatCode="#,##0\ &quot;Volt Ampere (VA) &quot;"/>
    <numFmt numFmtId="188" formatCode="#,##0&quot; unit, &quot;"/>
    <numFmt numFmtId="189" formatCode="&quot;Telkom&quot;\ #,##0\ &quot; line &quot;"/>
    <numFmt numFmtId="190" formatCode="\ \ &quot;Rp&quot;\.* #,##0.\-\ \ _)"/>
    <numFmt numFmtId="191" formatCode="&quot;Rp&quot;\.* #,##0.\-\ _)"/>
    <numFmt numFmtId="192" formatCode="#\ &quot;m²&quot;"/>
    <numFmt numFmtId="193" formatCode="&quot;Rp&quot;\.\ * #,##0\ .\-\ \ _)"/>
    <numFmt numFmtId="194" formatCode="#,##0\ &quot;meter&quot;"/>
    <numFmt numFmtId="195" formatCode="\ &quot;Rp&quot;\.* #,##0.\-\ _)"/>
    <numFmt numFmtId="196" formatCode="_(* #,##0_);_(* \(#,##0\);_(* &quot;-&quot;??_);_(@_)"/>
    <numFmt numFmtId="197" formatCode="\ \ &quot;Rp&quot;\.* #,##0.\-\ _)"/>
    <numFmt numFmtId="198" formatCode="\ \ \ \ &quot;Rp&quot;\.* #,##0.\-\ \ _)"/>
    <numFmt numFmtId="199" formatCode="_(* #,##0.0_);_(* \(#,##0.0\);_(* &quot;-&quot;_);_(@_)"/>
    <numFmt numFmtId="200" formatCode="#,##0\ &quot; Saluran / Line&quot;"/>
    <numFmt numFmtId="201" formatCode="#,##0\ &quot; Unit&quot;"/>
    <numFmt numFmtId="202" formatCode="#,##0\ &quot; Titik&quot;"/>
    <numFmt numFmtId="203" formatCode="\±\ \ #\ &quot;m²&quot;"/>
    <numFmt numFmtId="204" formatCode="&quot;Panjang ±&quot;\ #\ &quot;m'&quot;"/>
    <numFmt numFmtId="205" formatCode="&quot;P ±&quot;\ #.0\ &quot;m'&quot;"/>
    <numFmt numFmtId="206" formatCode="&quot;T ±&quot;\ #.00\ &quot;m&quot;"/>
    <numFmt numFmtId="207" formatCode="#,##0.00\ &quot;m'&quot;"/>
    <numFmt numFmtId="208" formatCode="#,##0.00\ &quot;Set&quot;"/>
    <numFmt numFmtId="209" formatCode="\±\ \ #.0\ &quot;m³&quot;"/>
    <numFmt numFmtId="210" formatCode="&quot;±&quot;\ \ #\ &quot;m²&quot;"/>
    <numFmt numFmtId="211" formatCode="&quot;P ±&quot;\ #\ &quot;m'&quot;"/>
    <numFmt numFmtId="212" formatCode="dd\ mmmm\ yyyy"/>
    <numFmt numFmtId="213" formatCode="[$-421]dd\ mmmm\ yyyy;@"/>
    <numFmt numFmtId="214" formatCode="#,##0.0\ &quot;m²&quot;"/>
    <numFmt numFmtId="215" formatCode="[$-409]dd\-mmm\-yy;@"/>
    <numFmt numFmtId="216" formatCode="0\ %"/>
    <numFmt numFmtId="217" formatCode="#,##0\ &quot;m&quot;"/>
    <numFmt numFmtId="218" formatCode="#,###\ &quot;meter&quot;"/>
    <numFmt numFmtId="219" formatCode="#,##0.0\ &quot;cm&quot;"/>
    <numFmt numFmtId="220" formatCode="#,##0.0\ &quot;meter&quot;"/>
    <numFmt numFmtId="221" formatCode="&quot;Rp&quot;\.* #,##0.\-\ \ _)"/>
    <numFmt numFmtId="223" formatCode="[$-F800]dddd\,\ mmmm\ dd\,\ yyyy"/>
    <numFmt numFmtId="224" formatCode="yyyy\-mm\-dd;@"/>
  </numFmts>
  <fonts count="251">
    <font>
      <sz val="10"/>
      <color theme="1"/>
      <name val="Calibri"/>
      <family val="2"/>
      <charset val="1"/>
    </font>
    <font>
      <sz val="10"/>
      <color indexed="8"/>
      <name val="Calibri"/>
      <family val="2"/>
      <charset val="1"/>
    </font>
    <font>
      <sz val="8"/>
      <color indexed="8"/>
      <name val="Calibri"/>
      <family val="2"/>
      <charset val="1"/>
    </font>
    <font>
      <b/>
      <sz val="8"/>
      <color indexed="9"/>
      <name val="Calibri"/>
      <family val="2"/>
    </font>
    <font>
      <i/>
      <sz val="10"/>
      <color indexed="8"/>
      <name val="Calibri"/>
      <family val="2"/>
    </font>
    <font>
      <b/>
      <sz val="8"/>
      <color indexed="9"/>
      <name val="Calibri"/>
      <family val="2"/>
      <charset val="1"/>
    </font>
    <font>
      <sz val="8"/>
      <color indexed="8"/>
      <name val="Calibri"/>
      <family val="2"/>
      <charset val="1"/>
    </font>
    <font>
      <b/>
      <sz val="8"/>
      <color indexed="13"/>
      <name val="Calibri"/>
      <family val="2"/>
      <charset val="1"/>
    </font>
    <font>
      <b/>
      <sz val="8"/>
      <name val="Calibri"/>
      <family val="2"/>
      <charset val="1"/>
    </font>
    <font>
      <b/>
      <sz val="8"/>
      <color indexed="8"/>
      <name val="Calibri"/>
      <family val="2"/>
      <charset val="1"/>
    </font>
    <font>
      <sz val="8"/>
      <name val="Calibri"/>
      <family val="2"/>
      <charset val="1"/>
    </font>
    <font>
      <b/>
      <sz val="10"/>
      <color indexed="12"/>
      <name val="Calibri"/>
      <family val="2"/>
    </font>
    <font>
      <b/>
      <sz val="8"/>
      <color indexed="8"/>
      <name val="Calibri"/>
      <family val="2"/>
    </font>
    <font>
      <sz val="8"/>
      <name val="Calibri"/>
      <family val="2"/>
    </font>
    <font>
      <b/>
      <sz val="8"/>
      <name val="Calibri"/>
      <family val="2"/>
    </font>
    <font>
      <sz val="10"/>
      <color indexed="8"/>
      <name val="Calibri"/>
      <family val="2"/>
    </font>
    <font>
      <b/>
      <sz val="10"/>
      <color indexed="8"/>
      <name val="Calibri"/>
      <family val="2"/>
    </font>
    <font>
      <sz val="8"/>
      <color indexed="8"/>
      <name val="Calibri"/>
      <family val="2"/>
    </font>
    <font>
      <b/>
      <sz val="8"/>
      <color indexed="8"/>
      <name val="Calibri"/>
      <family val="2"/>
    </font>
    <font>
      <b/>
      <sz val="8"/>
      <color indexed="9"/>
      <name val="Calibri"/>
      <family val="2"/>
    </font>
    <font>
      <sz val="8"/>
      <color indexed="8"/>
      <name val="Calibri"/>
      <family val="2"/>
    </font>
    <font>
      <sz val="10"/>
      <name val="Calibri"/>
      <family val="2"/>
    </font>
    <font>
      <b/>
      <sz val="14"/>
      <color indexed="8"/>
      <name val="Calibri"/>
      <family val="2"/>
    </font>
    <font>
      <sz val="11"/>
      <color indexed="8"/>
      <name val="Calibri"/>
      <family val="2"/>
    </font>
    <font>
      <sz val="10"/>
      <color indexed="23"/>
      <name val="Wingdings"/>
      <charset val="2"/>
    </font>
    <font>
      <sz val="10"/>
      <name val="Calibri"/>
      <family val="2"/>
      <charset val="1"/>
    </font>
    <font>
      <b/>
      <i/>
      <sz val="20"/>
      <color indexed="10"/>
      <name val="Calibri"/>
      <family val="2"/>
    </font>
    <font>
      <b/>
      <sz val="10"/>
      <name val="Calibri"/>
      <family val="2"/>
    </font>
    <font>
      <sz val="10"/>
      <name val="Arial"/>
      <family val="2"/>
    </font>
    <font>
      <sz val="10"/>
      <color indexed="8"/>
      <name val="Calibri"/>
      <family val="2"/>
      <charset val="1"/>
    </font>
    <font>
      <b/>
      <sz val="10"/>
      <color indexed="9"/>
      <name val="Calibri"/>
      <family val="2"/>
    </font>
    <font>
      <b/>
      <sz val="8"/>
      <color indexed="9"/>
      <name val="Calibri"/>
      <family val="2"/>
    </font>
    <font>
      <b/>
      <sz val="8"/>
      <color indexed="9"/>
      <name val="Calibri"/>
      <family val="2"/>
    </font>
    <font>
      <b/>
      <i/>
      <sz val="8"/>
      <color indexed="13"/>
      <name val="Calibri"/>
      <family val="2"/>
    </font>
    <font>
      <b/>
      <sz val="14"/>
      <color indexed="17"/>
      <name val="Calibri"/>
      <family val="2"/>
    </font>
    <font>
      <sz val="8"/>
      <color indexed="13"/>
      <name val="Calibri"/>
      <family val="2"/>
      <charset val="1"/>
    </font>
    <font>
      <b/>
      <sz val="8"/>
      <color indexed="13"/>
      <name val="Calibri"/>
      <family val="2"/>
    </font>
    <font>
      <b/>
      <sz val="10"/>
      <color indexed="58"/>
      <name val="Calibri"/>
      <family val="2"/>
    </font>
    <font>
      <b/>
      <i/>
      <sz val="10"/>
      <color indexed="58"/>
      <name val="Calibri"/>
      <family val="2"/>
    </font>
    <font>
      <b/>
      <sz val="8"/>
      <color indexed="12"/>
      <name val="Calibri"/>
      <family val="2"/>
    </font>
    <font>
      <b/>
      <sz val="12"/>
      <color indexed="9"/>
      <name val="Calibri"/>
      <family val="2"/>
    </font>
    <font>
      <b/>
      <sz val="70"/>
      <color indexed="8"/>
      <name val="Times New Roman"/>
      <family val="1"/>
    </font>
    <font>
      <b/>
      <sz val="8"/>
      <color indexed="9"/>
      <name val="Calibri"/>
      <family val="2"/>
    </font>
    <font>
      <b/>
      <sz val="12"/>
      <color indexed="17"/>
      <name val="Calibri"/>
      <family val="2"/>
    </font>
    <font>
      <b/>
      <sz val="11"/>
      <color indexed="9"/>
      <name val="Calibri"/>
      <family val="2"/>
    </font>
    <font>
      <b/>
      <sz val="11"/>
      <color indexed="8"/>
      <name val="Calibri"/>
      <family val="2"/>
    </font>
    <font>
      <b/>
      <sz val="10"/>
      <color indexed="10"/>
      <name val="Calibri"/>
      <family val="2"/>
    </font>
    <font>
      <b/>
      <sz val="12"/>
      <color indexed="12"/>
      <name val="Calibri"/>
      <family val="2"/>
    </font>
    <font>
      <b/>
      <sz val="8"/>
      <color indexed="12"/>
      <name val="Calibri"/>
      <family val="2"/>
    </font>
    <font>
      <b/>
      <sz val="8"/>
      <color indexed="10"/>
      <name val="Calibri"/>
      <family val="2"/>
    </font>
    <font>
      <b/>
      <sz val="10"/>
      <color indexed="11"/>
      <name val="Calibri"/>
      <family val="2"/>
    </font>
    <font>
      <sz val="8"/>
      <color indexed="11"/>
      <name val="Calibri"/>
      <family val="2"/>
    </font>
    <font>
      <b/>
      <sz val="8"/>
      <color indexed="11"/>
      <name val="Calibri"/>
      <family val="2"/>
    </font>
    <font>
      <sz val="11"/>
      <color indexed="8"/>
      <name val="Calibri"/>
      <family val="2"/>
    </font>
    <font>
      <sz val="8"/>
      <color indexed="10"/>
      <name val="Calibri"/>
      <family val="2"/>
    </font>
    <font>
      <sz val="8"/>
      <color indexed="9"/>
      <name val="Calibri"/>
      <family val="2"/>
      <charset val="1"/>
    </font>
    <font>
      <sz val="11"/>
      <color indexed="8"/>
      <name val="Calibri"/>
      <family val="2"/>
      <charset val="1"/>
    </font>
    <font>
      <b/>
      <sz val="10"/>
      <name val="Calibri"/>
      <family val="2"/>
      <charset val="1"/>
    </font>
    <font>
      <sz val="12"/>
      <color indexed="8"/>
      <name val="Calibri"/>
      <family val="2"/>
      <charset val="1"/>
    </font>
    <font>
      <b/>
      <sz val="12"/>
      <name val="Calibri"/>
      <family val="2"/>
      <charset val="1"/>
    </font>
    <font>
      <b/>
      <sz val="10"/>
      <color indexed="9"/>
      <name val="Calibri"/>
      <family val="2"/>
      <charset val="1"/>
    </font>
    <font>
      <b/>
      <sz val="12"/>
      <color indexed="9"/>
      <name val="Calibri"/>
      <family val="2"/>
      <charset val="1"/>
    </font>
    <font>
      <b/>
      <sz val="10"/>
      <color indexed="9"/>
      <name val="Calibri"/>
      <family val="2"/>
      <charset val="1"/>
    </font>
    <font>
      <b/>
      <sz val="10"/>
      <color indexed="13"/>
      <name val="Calibri"/>
      <family val="2"/>
      <charset val="1"/>
    </font>
    <font>
      <sz val="8"/>
      <color indexed="12"/>
      <name val="Calibri"/>
      <family val="2"/>
      <charset val="1"/>
    </font>
    <font>
      <b/>
      <sz val="12"/>
      <color indexed="8"/>
      <name val="Calibri"/>
      <family val="2"/>
    </font>
    <font>
      <b/>
      <sz val="45"/>
      <color indexed="8"/>
      <name val="Times New Roman"/>
      <family val="1"/>
    </font>
    <font>
      <b/>
      <sz val="18"/>
      <color indexed="17"/>
      <name val="Calibri"/>
      <family val="2"/>
      <charset val="1"/>
    </font>
    <font>
      <b/>
      <u/>
      <sz val="18"/>
      <color indexed="17"/>
      <name val="Calibri"/>
      <family val="2"/>
    </font>
    <font>
      <sz val="8"/>
      <color indexed="9"/>
      <name val="Calibri"/>
      <family val="2"/>
      <charset val="1"/>
    </font>
    <font>
      <b/>
      <sz val="26"/>
      <color indexed="13"/>
      <name val="Calibri"/>
      <family val="2"/>
      <charset val="1"/>
    </font>
    <font>
      <sz val="11"/>
      <name val="Comic Sans MS"/>
      <family val="4"/>
    </font>
    <font>
      <b/>
      <sz val="14"/>
      <color indexed="9"/>
      <name val="Calibri"/>
      <family val="2"/>
      <charset val="1"/>
    </font>
    <font>
      <b/>
      <sz val="14"/>
      <name val="Times New Roman"/>
      <family val="1"/>
    </font>
    <font>
      <b/>
      <sz val="16"/>
      <name val="Times New Roman"/>
      <family val="1"/>
    </font>
    <font>
      <b/>
      <sz val="13"/>
      <color indexed="9"/>
      <name val="Calibri"/>
      <family val="2"/>
      <charset val="1"/>
    </font>
    <font>
      <b/>
      <sz val="11"/>
      <name val="Calibri"/>
      <family val="2"/>
      <charset val="1"/>
    </font>
    <font>
      <b/>
      <sz val="8"/>
      <color indexed="13"/>
      <name val="Calibri"/>
      <family val="2"/>
    </font>
    <font>
      <sz val="14"/>
      <color indexed="60"/>
      <name val="Calibri"/>
      <family val="2"/>
      <charset val="1"/>
    </font>
    <font>
      <b/>
      <i/>
      <sz val="10"/>
      <color indexed="60"/>
      <name val="Calibri"/>
      <family val="2"/>
    </font>
    <font>
      <b/>
      <sz val="12"/>
      <name val="Calibri"/>
      <family val="2"/>
    </font>
    <font>
      <b/>
      <i/>
      <sz val="8"/>
      <color indexed="9"/>
      <name val="Calibri"/>
      <family val="2"/>
    </font>
    <font>
      <b/>
      <sz val="10"/>
      <color indexed="13"/>
      <name val="Arial"/>
      <family val="2"/>
    </font>
    <font>
      <b/>
      <sz val="10"/>
      <color indexed="17"/>
      <name val="Calibri"/>
      <family val="2"/>
      <charset val="1"/>
    </font>
    <font>
      <sz val="10"/>
      <color indexed="27"/>
      <name val="Calibri"/>
      <family val="2"/>
      <charset val="1"/>
    </font>
    <font>
      <sz val="8"/>
      <color indexed="27"/>
      <name val="Calibri"/>
      <family val="2"/>
      <charset val="1"/>
    </font>
    <font>
      <sz val="12"/>
      <name val="Calibri"/>
      <family val="2"/>
      <charset val="1"/>
    </font>
    <font>
      <sz val="12"/>
      <color indexed="27"/>
      <name val="Calibri"/>
      <family val="2"/>
      <charset val="1"/>
    </font>
    <font>
      <u/>
      <sz val="12"/>
      <color indexed="27"/>
      <name val="Calibri"/>
      <family val="2"/>
      <charset val="1"/>
    </font>
    <font>
      <b/>
      <i/>
      <sz val="11"/>
      <color indexed="10"/>
      <name val="Calibri"/>
      <family val="2"/>
    </font>
    <font>
      <b/>
      <sz val="12"/>
      <color indexed="58"/>
      <name val="Calibri"/>
      <family val="2"/>
    </font>
    <font>
      <b/>
      <sz val="10"/>
      <name val="Calibri"/>
      <family val="2"/>
    </font>
    <font>
      <sz val="12"/>
      <name val="Arial Narrow"/>
      <family val="2"/>
    </font>
    <font>
      <sz val="10"/>
      <name val="Arial Narrow"/>
      <family val="2"/>
    </font>
    <font>
      <b/>
      <sz val="14"/>
      <color indexed="9"/>
      <name val="Arial Narrow"/>
      <family val="2"/>
    </font>
    <font>
      <b/>
      <sz val="10"/>
      <name val="Arial Narrow"/>
      <family val="2"/>
    </font>
    <font>
      <b/>
      <sz val="12"/>
      <color indexed="9"/>
      <name val="Arial Narrow"/>
      <family val="2"/>
    </font>
    <font>
      <sz val="10"/>
      <name val="Wingdings"/>
      <charset val="2"/>
    </font>
    <font>
      <b/>
      <sz val="10"/>
      <color indexed="10"/>
      <name val="Arial Narrow"/>
      <family val="2"/>
    </font>
    <font>
      <sz val="10"/>
      <color indexed="55"/>
      <name val="Wingdings"/>
      <charset val="2"/>
    </font>
    <font>
      <sz val="10"/>
      <color indexed="10"/>
      <name val="Arial Narrow"/>
      <family val="2"/>
    </font>
    <font>
      <sz val="16"/>
      <color indexed="10"/>
      <name val="Arial Narrow"/>
      <family val="2"/>
    </font>
    <font>
      <b/>
      <sz val="12"/>
      <color indexed="10"/>
      <name val="Arial Narrow"/>
      <family val="2"/>
    </font>
    <font>
      <b/>
      <sz val="8"/>
      <color indexed="13"/>
      <name val="Arial"/>
      <family val="2"/>
    </font>
    <font>
      <sz val="8"/>
      <name val="Arial Narrow"/>
      <family val="2"/>
    </font>
    <font>
      <sz val="9.5"/>
      <name val="Arial Narrow"/>
      <family val="2"/>
    </font>
    <font>
      <sz val="10"/>
      <color indexed="8"/>
      <name val="Arial Narrow"/>
      <family val="2"/>
    </font>
    <font>
      <i/>
      <sz val="10"/>
      <name val="Arial Narrow"/>
      <family val="2"/>
    </font>
    <font>
      <sz val="10"/>
      <color indexed="9"/>
      <name val="Arial Narrow"/>
      <family val="2"/>
    </font>
    <font>
      <b/>
      <sz val="8"/>
      <name val="Arial"/>
      <family val="2"/>
    </font>
    <font>
      <sz val="10"/>
      <color indexed="9"/>
      <name val="Arial Narrow"/>
      <family val="2"/>
    </font>
    <font>
      <b/>
      <sz val="11"/>
      <name val="Arial"/>
      <family val="2"/>
    </font>
    <font>
      <sz val="8"/>
      <name val="Wingdings"/>
      <charset val="2"/>
    </font>
    <font>
      <b/>
      <sz val="8"/>
      <color indexed="10"/>
      <name val="Arial Narrow"/>
      <family val="2"/>
    </font>
    <font>
      <b/>
      <sz val="8"/>
      <color indexed="9"/>
      <name val="Arial Narrow"/>
      <family val="2"/>
    </font>
    <font>
      <b/>
      <sz val="8"/>
      <name val="Arial Narrow"/>
      <family val="2"/>
    </font>
    <font>
      <b/>
      <sz val="11"/>
      <color indexed="55"/>
      <name val="Wingdings"/>
      <charset val="2"/>
    </font>
    <font>
      <b/>
      <sz val="10"/>
      <color indexed="55"/>
      <name val="Wingdings"/>
      <charset val="2"/>
    </font>
    <font>
      <b/>
      <sz val="11"/>
      <name val="Arial Narrow"/>
      <family val="2"/>
    </font>
    <font>
      <sz val="8"/>
      <color indexed="23"/>
      <name val="Arial Narrow"/>
      <family val="2"/>
    </font>
    <font>
      <i/>
      <sz val="8"/>
      <color indexed="23"/>
      <name val="Arial Narrow"/>
      <family val="2"/>
    </font>
    <font>
      <b/>
      <sz val="10"/>
      <color indexed="9"/>
      <name val="Arial Narrow"/>
      <family val="2"/>
    </font>
    <font>
      <i/>
      <sz val="10"/>
      <color indexed="13"/>
      <name val="Arial Narrow"/>
      <family val="2"/>
    </font>
    <font>
      <sz val="9"/>
      <name val="Arial Narrow"/>
      <family val="2"/>
    </font>
    <font>
      <b/>
      <sz val="16"/>
      <color indexed="9"/>
      <name val="Tahoma"/>
      <family val="2"/>
    </font>
    <font>
      <b/>
      <u/>
      <sz val="10"/>
      <name val="Arial Narrow"/>
      <family val="2"/>
    </font>
    <font>
      <sz val="9"/>
      <color indexed="12"/>
      <name val="Arial Narrow"/>
      <family val="2"/>
    </font>
    <font>
      <b/>
      <sz val="9"/>
      <color indexed="20"/>
      <name val="Arial"/>
      <family val="2"/>
    </font>
    <font>
      <b/>
      <u/>
      <sz val="9"/>
      <color indexed="12"/>
      <name val="Arial"/>
      <family val="2"/>
    </font>
    <font>
      <b/>
      <sz val="9"/>
      <color indexed="12"/>
      <name val="Arial"/>
      <family val="2"/>
    </font>
    <font>
      <b/>
      <u/>
      <sz val="9"/>
      <color indexed="12"/>
      <name val="Arial Narrow"/>
      <family val="2"/>
    </font>
    <font>
      <b/>
      <sz val="9"/>
      <name val="Arial"/>
      <family val="2"/>
    </font>
    <font>
      <sz val="11"/>
      <name val="Arial Narrow"/>
      <family val="2"/>
    </font>
    <font>
      <b/>
      <sz val="10"/>
      <color indexed="10"/>
      <name val="Arial"/>
      <family val="2"/>
    </font>
    <font>
      <sz val="10"/>
      <name val="Tahoma"/>
      <family val="2"/>
    </font>
    <font>
      <b/>
      <sz val="20"/>
      <name val="Arial"/>
      <family val="2"/>
    </font>
    <font>
      <b/>
      <sz val="10"/>
      <color indexed="9"/>
      <name val="Arial"/>
      <family val="2"/>
    </font>
    <font>
      <sz val="9"/>
      <name val="Arial"/>
      <family val="2"/>
    </font>
    <font>
      <sz val="9"/>
      <color indexed="10"/>
      <name val="Arial"/>
      <family val="2"/>
    </font>
    <font>
      <b/>
      <sz val="9"/>
      <color indexed="10"/>
      <name val="Arial"/>
      <family val="2"/>
    </font>
    <font>
      <sz val="10"/>
      <color indexed="10"/>
      <name val="Arial"/>
      <family val="2"/>
    </font>
    <font>
      <sz val="10"/>
      <color indexed="9"/>
      <name val="Arial"/>
      <family val="2"/>
    </font>
    <font>
      <sz val="9"/>
      <color indexed="9"/>
      <name val="Arial"/>
      <family val="2"/>
    </font>
    <font>
      <sz val="8"/>
      <name val="Arial"/>
      <family val="2"/>
    </font>
    <font>
      <sz val="8"/>
      <color indexed="8"/>
      <name val="Arial"/>
      <family val="2"/>
    </font>
    <font>
      <b/>
      <sz val="8"/>
      <color indexed="8"/>
      <name val="Arial"/>
      <family val="2"/>
    </font>
    <font>
      <b/>
      <u/>
      <sz val="11"/>
      <name val="Arial Narrow"/>
      <family val="2"/>
    </font>
    <font>
      <b/>
      <u/>
      <sz val="11"/>
      <color indexed="12"/>
      <name val="Arial Narrow"/>
      <family val="2"/>
    </font>
    <font>
      <b/>
      <sz val="14"/>
      <color indexed="20"/>
      <name val="Arial"/>
      <family val="2"/>
    </font>
    <font>
      <b/>
      <u/>
      <sz val="10"/>
      <color indexed="12"/>
      <name val="Arial Narrow"/>
      <family val="2"/>
    </font>
    <font>
      <sz val="10"/>
      <color indexed="12"/>
      <name val="Arial Narrow"/>
      <family val="2"/>
    </font>
    <font>
      <b/>
      <u/>
      <sz val="9"/>
      <name val="Arial Narrow"/>
      <family val="2"/>
    </font>
    <font>
      <sz val="9"/>
      <color indexed="10"/>
      <name val="Arial Narrow"/>
      <family val="2"/>
    </font>
    <font>
      <b/>
      <sz val="11"/>
      <color indexed="9"/>
      <name val="Arial Narrow"/>
      <family val="2"/>
    </font>
    <font>
      <b/>
      <sz val="26"/>
      <color indexed="12"/>
      <name val="Arial Narrow"/>
      <family val="2"/>
    </font>
    <font>
      <b/>
      <sz val="18"/>
      <color indexed="22"/>
      <name val="Arial Narrow"/>
      <family val="2"/>
    </font>
    <font>
      <b/>
      <sz val="14"/>
      <color indexed="47"/>
      <name val="Arial Narrow"/>
      <family val="2"/>
    </font>
    <font>
      <b/>
      <sz val="12"/>
      <color indexed="12"/>
      <name val="Arial"/>
      <family val="2"/>
    </font>
    <font>
      <b/>
      <i/>
      <sz val="10"/>
      <color indexed="10"/>
      <name val="Arial"/>
      <family val="2"/>
    </font>
    <font>
      <u/>
      <sz val="10"/>
      <color indexed="12"/>
      <name val="Arial"/>
      <family val="2"/>
    </font>
    <font>
      <sz val="8"/>
      <color indexed="12"/>
      <name val="Arial"/>
      <family val="2"/>
    </font>
    <font>
      <b/>
      <sz val="10"/>
      <name val="Arial"/>
      <family val="2"/>
    </font>
    <font>
      <sz val="8"/>
      <color indexed="12"/>
      <name val="Arial Narrow"/>
      <family val="2"/>
    </font>
    <font>
      <sz val="8"/>
      <color indexed="10"/>
      <name val="Arial Narrow"/>
      <family val="2"/>
    </font>
    <font>
      <sz val="7"/>
      <color indexed="12"/>
      <name val="Arial"/>
      <family val="2"/>
    </font>
    <font>
      <sz val="7"/>
      <color indexed="10"/>
      <name val="Arial"/>
      <family val="2"/>
    </font>
    <font>
      <b/>
      <sz val="7"/>
      <color indexed="12"/>
      <name val="Arial"/>
      <family val="2"/>
    </font>
    <font>
      <b/>
      <sz val="7"/>
      <color indexed="10"/>
      <name val="Arial"/>
      <family val="2"/>
    </font>
    <font>
      <sz val="12"/>
      <name val="Wingdings"/>
      <charset val="2"/>
    </font>
    <font>
      <b/>
      <sz val="22"/>
      <color indexed="10"/>
      <name val="Arial Narrow"/>
      <family val="2"/>
    </font>
    <font>
      <sz val="10"/>
      <color indexed="12"/>
      <name val="Arial"/>
      <family val="2"/>
    </font>
    <font>
      <b/>
      <sz val="10"/>
      <color indexed="12"/>
      <name val="Arial Narrow"/>
      <family val="2"/>
    </font>
    <font>
      <b/>
      <i/>
      <sz val="10"/>
      <color indexed="16"/>
      <name val="Arial"/>
      <family val="2"/>
    </font>
    <font>
      <sz val="7"/>
      <name val="Arial Narrow"/>
      <family val="2"/>
    </font>
    <font>
      <sz val="7"/>
      <color indexed="63"/>
      <name val="Arial"/>
      <family val="2"/>
    </font>
    <font>
      <sz val="36"/>
      <name val="Arial Narrow"/>
      <family val="2"/>
    </font>
    <font>
      <sz val="36"/>
      <color indexed="10"/>
      <name val="Broadway"/>
      <family val="5"/>
    </font>
    <font>
      <b/>
      <sz val="12"/>
      <name val="Arial Narrow"/>
      <family val="2"/>
    </font>
    <font>
      <b/>
      <sz val="14"/>
      <name val="Arial Narrow"/>
      <family val="2"/>
    </font>
    <font>
      <b/>
      <sz val="36"/>
      <name val="Arial Narrow"/>
      <family val="2"/>
    </font>
    <font>
      <sz val="10"/>
      <color indexed="8"/>
      <name val="Arial Narrow"/>
      <family val="2"/>
    </font>
    <font>
      <b/>
      <sz val="10"/>
      <color indexed="12"/>
      <name val="Arial"/>
      <family val="2"/>
    </font>
    <font>
      <b/>
      <sz val="22"/>
      <name val="Verdana"/>
      <family val="2"/>
    </font>
    <font>
      <b/>
      <sz val="12"/>
      <color indexed="12"/>
      <name val="Arial Narrow"/>
      <family val="2"/>
    </font>
    <font>
      <b/>
      <sz val="8"/>
      <color indexed="9"/>
      <name val="Arial"/>
      <family val="2"/>
    </font>
    <font>
      <b/>
      <sz val="11"/>
      <name val="Verdana"/>
      <family val="2"/>
    </font>
    <font>
      <sz val="8"/>
      <color indexed="81"/>
      <name val="Tahoma"/>
      <family val="2"/>
    </font>
    <font>
      <b/>
      <sz val="12"/>
      <color indexed="18"/>
      <name val="Arial Black"/>
      <family val="2"/>
    </font>
    <font>
      <i/>
      <sz val="9"/>
      <name val="Arial Narrow"/>
      <family val="2"/>
    </font>
    <font>
      <i/>
      <u/>
      <sz val="10"/>
      <name val="Arial Narrow"/>
      <family val="2"/>
    </font>
    <font>
      <b/>
      <i/>
      <sz val="10"/>
      <name val="Arial Narrow"/>
      <family val="2"/>
    </font>
    <font>
      <sz val="11"/>
      <name val="Wingdings"/>
      <charset val="2"/>
    </font>
    <font>
      <b/>
      <i/>
      <u/>
      <sz val="10"/>
      <name val="Arial Narrow"/>
      <family val="2"/>
    </font>
    <font>
      <i/>
      <sz val="10"/>
      <color indexed="9"/>
      <name val="Arial Narrow"/>
      <family val="2"/>
    </font>
    <font>
      <b/>
      <sz val="11.5"/>
      <color indexed="62"/>
      <name val="TIMMINS"/>
    </font>
    <font>
      <sz val="11"/>
      <color indexed="62"/>
      <name val="TIMMINS"/>
    </font>
    <font>
      <b/>
      <sz val="9"/>
      <color indexed="13"/>
      <name val="Arial"/>
      <family val="2"/>
    </font>
    <font>
      <u/>
      <sz val="10"/>
      <name val="Arial Narrow"/>
      <family val="2"/>
    </font>
    <font>
      <sz val="7.5"/>
      <name val="Arial Narrow"/>
      <family val="2"/>
    </font>
    <font>
      <sz val="9"/>
      <color indexed="23"/>
      <name val="Arial Narrow"/>
      <family val="2"/>
    </font>
    <font>
      <b/>
      <sz val="10"/>
      <name val="TIMMINS"/>
    </font>
    <font>
      <sz val="11"/>
      <name val="Arial"/>
      <family val="2"/>
    </font>
    <font>
      <b/>
      <sz val="16"/>
      <color indexed="10"/>
      <name val="Arial"/>
      <family val="2"/>
    </font>
    <font>
      <b/>
      <sz val="12"/>
      <color indexed="10"/>
      <name val="Arial"/>
      <family val="2"/>
    </font>
    <font>
      <b/>
      <sz val="16"/>
      <name val="Arial"/>
      <family val="2"/>
    </font>
    <font>
      <b/>
      <sz val="12"/>
      <name val="Arial"/>
      <family val="2"/>
    </font>
    <font>
      <sz val="12"/>
      <name val="Arial"/>
      <family val="2"/>
    </font>
    <font>
      <b/>
      <sz val="14"/>
      <color indexed="10"/>
      <name val="Arial Narrow"/>
      <family val="2"/>
    </font>
    <font>
      <b/>
      <sz val="16"/>
      <color indexed="10"/>
      <name val="Arial Narrow"/>
      <family val="2"/>
    </font>
    <font>
      <b/>
      <sz val="18"/>
      <color indexed="10"/>
      <name val="Arial"/>
      <family val="2"/>
    </font>
    <font>
      <b/>
      <sz val="18"/>
      <color indexed="10"/>
      <name val="Arial Narrow"/>
      <family val="2"/>
    </font>
    <font>
      <i/>
      <sz val="8"/>
      <name val="Arial Narrow"/>
      <family val="2"/>
    </font>
    <font>
      <b/>
      <sz val="16"/>
      <name val="Arial Narrow"/>
      <family val="2"/>
    </font>
    <font>
      <b/>
      <sz val="28"/>
      <color indexed="23"/>
      <name val="Broadway"/>
      <family val="5"/>
    </font>
    <font>
      <b/>
      <sz val="12"/>
      <color indexed="9"/>
      <name val="Arial Narrow"/>
      <family val="2"/>
    </font>
    <font>
      <b/>
      <sz val="10"/>
      <color indexed="9"/>
      <name val="Arial"/>
      <family val="2"/>
    </font>
    <font>
      <b/>
      <sz val="13"/>
      <name val="Arial Narrow"/>
      <family val="2"/>
    </font>
    <font>
      <b/>
      <sz val="4"/>
      <name val="Arial Narrow"/>
      <family val="2"/>
    </font>
    <font>
      <b/>
      <u/>
      <sz val="8"/>
      <name val="Arial"/>
      <family val="2"/>
    </font>
    <font>
      <b/>
      <u/>
      <sz val="7"/>
      <name val="Arial"/>
      <family val="2"/>
    </font>
    <font>
      <sz val="7"/>
      <name val="Arial"/>
      <family val="2"/>
    </font>
    <font>
      <b/>
      <sz val="7"/>
      <name val="Arial"/>
      <family val="2"/>
    </font>
    <font>
      <sz val="14"/>
      <name val="Arial Narrow"/>
      <family val="2"/>
    </font>
    <font>
      <b/>
      <sz val="12"/>
      <name val="Tahoma"/>
      <family val="2"/>
    </font>
    <font>
      <sz val="10"/>
      <color indexed="12"/>
      <name val="Tahoma"/>
      <family val="2"/>
    </font>
    <font>
      <b/>
      <sz val="10"/>
      <color indexed="9"/>
      <name val="Arial Narrow"/>
      <family val="2"/>
    </font>
    <font>
      <sz val="10"/>
      <color indexed="9"/>
      <name val="Arial"/>
      <family val="2"/>
    </font>
    <font>
      <sz val="10"/>
      <name val="Arial Narrow"/>
      <family val="2"/>
      <charset val="1"/>
    </font>
    <font>
      <sz val="10"/>
      <color indexed="55"/>
      <name val="Arial Narrow"/>
      <family val="2"/>
    </font>
    <font>
      <b/>
      <sz val="9"/>
      <color indexed="9"/>
      <name val="Arial"/>
      <family val="2"/>
    </font>
    <font>
      <sz val="9"/>
      <color indexed="9"/>
      <name val="Arial"/>
      <family val="2"/>
    </font>
    <font>
      <b/>
      <sz val="10.5"/>
      <name val="Arial Narrow"/>
      <family val="2"/>
    </font>
    <font>
      <sz val="9"/>
      <color indexed="8"/>
      <name val="Arial Narrow"/>
      <family val="2"/>
    </font>
    <font>
      <sz val="10"/>
      <color indexed="9"/>
      <name val="Wingdings"/>
      <charset val="2"/>
    </font>
    <font>
      <b/>
      <sz val="10.5"/>
      <color indexed="55"/>
      <name val="Wingdings"/>
      <charset val="2"/>
    </font>
    <font>
      <sz val="10.5"/>
      <name val="Arial Narrow"/>
      <family val="2"/>
    </font>
    <font>
      <sz val="10.5"/>
      <name val="Arial"/>
      <family val="2"/>
    </font>
    <font>
      <sz val="10"/>
      <name val="Calibri"/>
      <family val="2"/>
      <charset val="1"/>
    </font>
    <font>
      <b/>
      <sz val="13.5"/>
      <color indexed="12"/>
      <name val="Tahoma"/>
      <family val="2"/>
    </font>
    <font>
      <b/>
      <sz val="12.5"/>
      <name val="Tahoma"/>
      <family val="2"/>
    </font>
    <font>
      <b/>
      <sz val="8.5"/>
      <name val="Tahoma"/>
      <family val="2"/>
    </font>
    <font>
      <sz val="8.5"/>
      <name val="Tahoma"/>
      <family val="2"/>
    </font>
    <font>
      <b/>
      <sz val="18"/>
      <color indexed="18"/>
      <name val="Arial Black"/>
      <family val="2"/>
    </font>
    <font>
      <b/>
      <sz val="11"/>
      <color indexed="62"/>
      <name val="Calibri"/>
      <family val="2"/>
    </font>
    <font>
      <sz val="72"/>
      <color indexed="10"/>
      <name val="Arial Narrow"/>
      <family val="2"/>
    </font>
    <font>
      <b/>
      <sz val="20"/>
      <color indexed="10"/>
      <name val="Arial Narrow"/>
      <family val="2"/>
    </font>
    <font>
      <i/>
      <sz val="8"/>
      <color indexed="9"/>
      <name val="Arial Narrow"/>
      <family val="2"/>
    </font>
    <font>
      <sz val="10"/>
      <color theme="1"/>
      <name val="Calibri"/>
      <family val="2"/>
      <charset val="1"/>
    </font>
    <font>
      <sz val="11"/>
      <color theme="1"/>
      <name val="Calibri"/>
      <family val="2"/>
      <scheme val="minor"/>
    </font>
    <font>
      <b/>
      <sz val="10"/>
      <color theme="0"/>
      <name val="Calibri"/>
      <family val="2"/>
    </font>
    <font>
      <b/>
      <sz val="11"/>
      <color theme="1"/>
      <name val="Arial Narrow"/>
      <family val="2"/>
    </font>
  </fonts>
  <fills count="32">
    <fill>
      <patternFill patternType="none"/>
    </fill>
    <fill>
      <patternFill patternType="gray125"/>
    </fill>
    <fill>
      <patternFill patternType="solid">
        <fgColor indexed="17"/>
        <bgColor indexed="64"/>
      </patternFill>
    </fill>
    <fill>
      <patternFill patternType="solid">
        <fgColor indexed="27"/>
        <bgColor indexed="64"/>
      </patternFill>
    </fill>
    <fill>
      <patternFill patternType="solid">
        <fgColor indexed="13"/>
        <bgColor indexed="64"/>
      </patternFill>
    </fill>
    <fill>
      <patternFill patternType="solid">
        <fgColor indexed="47"/>
        <bgColor indexed="64"/>
      </patternFill>
    </fill>
    <fill>
      <patternFill patternType="solid">
        <fgColor indexed="58"/>
        <bgColor indexed="64"/>
      </patternFill>
    </fill>
    <fill>
      <patternFill patternType="solid">
        <fgColor indexed="42"/>
        <bgColor indexed="64"/>
      </patternFill>
    </fill>
    <fill>
      <patternFill patternType="solid">
        <fgColor indexed="57"/>
        <bgColor indexed="64"/>
      </patternFill>
    </fill>
    <fill>
      <patternFill patternType="solid">
        <fgColor indexed="11"/>
        <bgColor indexed="64"/>
      </patternFill>
    </fill>
    <fill>
      <patternFill patternType="solid">
        <fgColor indexed="43"/>
        <bgColor indexed="64"/>
      </patternFill>
    </fill>
    <fill>
      <patternFill patternType="solid">
        <fgColor indexed="51"/>
        <bgColor indexed="64"/>
      </patternFill>
    </fill>
    <fill>
      <patternFill patternType="solid">
        <fgColor indexed="26"/>
        <bgColor indexed="64"/>
      </patternFill>
    </fill>
    <fill>
      <patternFill patternType="solid">
        <fgColor indexed="36"/>
        <bgColor indexed="64"/>
      </patternFill>
    </fill>
    <fill>
      <patternFill patternType="solid">
        <fgColor indexed="46"/>
        <bgColor indexed="64"/>
      </patternFill>
    </fill>
    <fill>
      <patternFill patternType="solid">
        <fgColor indexed="9"/>
        <bgColor indexed="64"/>
      </patternFill>
    </fill>
    <fill>
      <patternFill patternType="solid">
        <fgColor indexed="10"/>
        <bgColor indexed="64"/>
      </patternFill>
    </fill>
    <fill>
      <patternFill patternType="solid">
        <fgColor indexed="23"/>
        <bgColor indexed="64"/>
      </patternFill>
    </fill>
    <fill>
      <patternFill patternType="solid">
        <fgColor indexed="22"/>
        <bgColor indexed="64"/>
      </patternFill>
    </fill>
    <fill>
      <patternFill patternType="solid">
        <fgColor indexed="12"/>
        <bgColor indexed="64"/>
      </patternFill>
    </fill>
    <fill>
      <patternFill patternType="solid">
        <fgColor indexed="50"/>
        <bgColor indexed="64"/>
      </patternFill>
    </fill>
    <fill>
      <patternFill patternType="solid">
        <fgColor indexed="55"/>
        <bgColor indexed="64"/>
      </patternFill>
    </fill>
    <fill>
      <patternFill patternType="solid">
        <fgColor indexed="18"/>
        <bgColor indexed="64"/>
      </patternFill>
    </fill>
    <fill>
      <patternFill patternType="solid">
        <fgColor indexed="62"/>
        <bgColor indexed="64"/>
      </patternFill>
    </fill>
    <fill>
      <patternFill patternType="solid">
        <fgColor indexed="41"/>
        <bgColor indexed="64"/>
      </patternFill>
    </fill>
    <fill>
      <patternFill patternType="solid">
        <fgColor indexed="49"/>
        <bgColor indexed="64"/>
      </patternFill>
    </fill>
    <fill>
      <patternFill patternType="solid">
        <fgColor indexed="53"/>
        <bgColor indexed="64"/>
      </patternFill>
    </fill>
    <fill>
      <patternFill patternType="solid">
        <fgColor indexed="44"/>
        <bgColor indexed="64"/>
      </patternFill>
    </fill>
    <fill>
      <patternFill patternType="solid">
        <fgColor rgb="FF0070C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3" tint="0.39997558519241921"/>
        <bgColor indexed="64"/>
      </patternFill>
    </fill>
  </fills>
  <borders count="204">
    <border>
      <left/>
      <right/>
      <top/>
      <bottom/>
      <diagonal/>
    </border>
    <border>
      <left style="hair">
        <color indexed="64"/>
      </left>
      <right style="hair">
        <color indexed="64"/>
      </right>
      <top style="hair">
        <color indexed="64"/>
      </top>
      <bottom style="hair">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dotted">
        <color indexed="64"/>
      </right>
      <top/>
      <bottom/>
      <diagonal/>
    </border>
    <border>
      <left style="dotted">
        <color indexed="64"/>
      </left>
      <right/>
      <top/>
      <bottom/>
      <diagonal/>
    </border>
    <border>
      <left style="thin">
        <color indexed="64"/>
      </left>
      <right/>
      <top/>
      <bottom style="dotted">
        <color indexed="64"/>
      </bottom>
      <diagonal/>
    </border>
    <border>
      <left/>
      <right/>
      <top/>
      <bottom style="dotted">
        <color indexed="64"/>
      </bottom>
      <diagonal/>
    </border>
    <border>
      <left/>
      <right style="dotted">
        <color indexed="64"/>
      </right>
      <top/>
      <bottom style="dotted">
        <color indexed="64"/>
      </bottom>
      <diagonal/>
    </border>
    <border>
      <left style="dotted">
        <color indexed="64"/>
      </left>
      <right/>
      <top/>
      <bottom style="dotted">
        <color indexed="64"/>
      </bottom>
      <diagonal/>
    </border>
    <border>
      <left/>
      <right style="thin">
        <color indexed="64"/>
      </right>
      <top/>
      <bottom style="dotted">
        <color indexed="64"/>
      </bottom>
      <diagonal/>
    </border>
    <border>
      <left style="thin">
        <color indexed="64"/>
      </left>
      <right/>
      <top style="dotted">
        <color indexed="64"/>
      </top>
      <bottom/>
      <diagonal/>
    </border>
    <border>
      <left/>
      <right/>
      <top style="dotted">
        <color indexed="64"/>
      </top>
      <bottom/>
      <diagonal/>
    </border>
    <border>
      <left/>
      <right style="dotted">
        <color indexed="64"/>
      </right>
      <top style="dotted">
        <color indexed="64"/>
      </top>
      <bottom/>
      <diagonal/>
    </border>
    <border>
      <left style="dotted">
        <color indexed="64"/>
      </left>
      <right/>
      <top style="dotted">
        <color indexed="64"/>
      </top>
      <bottom/>
      <diagonal/>
    </border>
    <border>
      <left/>
      <right style="thin">
        <color indexed="64"/>
      </right>
      <top style="dotted">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dotted">
        <color indexed="58"/>
      </top>
      <bottom/>
      <diagonal/>
    </border>
    <border>
      <left/>
      <right style="dotted">
        <color indexed="58"/>
      </right>
      <top/>
      <bottom/>
      <diagonal/>
    </border>
    <border>
      <left/>
      <right/>
      <top/>
      <bottom style="dotted">
        <color indexed="58"/>
      </bottom>
      <diagonal/>
    </border>
    <border>
      <left/>
      <right style="dotted">
        <color indexed="58"/>
      </right>
      <top/>
      <bottom style="dotted">
        <color indexed="58"/>
      </bottom>
      <diagonal/>
    </border>
    <border>
      <left style="hair">
        <color indexed="64"/>
      </left>
      <right style="hair">
        <color indexed="64"/>
      </right>
      <top/>
      <bottom/>
      <diagonal/>
    </border>
    <border>
      <left style="hair">
        <color indexed="64"/>
      </left>
      <right style="hair">
        <color indexed="64"/>
      </right>
      <top style="hair">
        <color indexed="64"/>
      </top>
      <bottom/>
      <diagonal/>
    </border>
    <border>
      <left style="hair">
        <color indexed="64"/>
      </left>
      <right/>
      <top style="hair">
        <color indexed="64"/>
      </top>
      <bottom style="hair">
        <color indexed="64"/>
      </bottom>
      <diagonal/>
    </border>
    <border>
      <left/>
      <right style="hair">
        <color indexed="64"/>
      </right>
      <top/>
      <bottom/>
      <diagonal/>
    </border>
    <border>
      <left style="hair">
        <color indexed="64"/>
      </left>
      <right/>
      <top/>
      <bottom style="hair">
        <color indexed="64"/>
      </bottom>
      <diagonal/>
    </border>
    <border>
      <left/>
      <right style="dotted">
        <color indexed="58"/>
      </right>
      <top style="dotted">
        <color indexed="58"/>
      </top>
      <bottom/>
      <diagonal/>
    </border>
    <border>
      <left style="thin">
        <color indexed="64"/>
      </left>
      <right style="thin">
        <color indexed="64"/>
      </right>
      <top style="thin">
        <color indexed="64"/>
      </top>
      <bottom style="thin">
        <color indexed="64"/>
      </bottom>
      <diagonal/>
    </border>
    <border>
      <left style="thin">
        <color indexed="9"/>
      </left>
      <right style="thin">
        <color indexed="9"/>
      </right>
      <top style="thin">
        <color indexed="64"/>
      </top>
      <bottom style="thin">
        <color indexed="64"/>
      </bottom>
      <diagonal/>
    </border>
    <border>
      <left style="thin">
        <color indexed="9"/>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thin">
        <color indexed="9"/>
      </left>
      <right style="thin">
        <color indexed="64"/>
      </right>
      <top style="thin">
        <color indexed="9"/>
      </top>
      <bottom style="thin">
        <color indexed="9"/>
      </bottom>
      <diagonal/>
    </border>
    <border>
      <left style="thin">
        <color indexed="9"/>
      </left>
      <right style="thin">
        <color indexed="9"/>
      </right>
      <top style="thin">
        <color indexed="9"/>
      </top>
      <bottom style="thin">
        <color indexed="64"/>
      </bottom>
      <diagonal/>
    </border>
    <border>
      <left style="thin">
        <color indexed="9"/>
      </left>
      <right style="thin">
        <color indexed="64"/>
      </right>
      <top style="thin">
        <color indexed="9"/>
      </top>
      <bottom style="thin">
        <color indexed="64"/>
      </bottom>
      <diagonal/>
    </border>
    <border>
      <left style="thin">
        <color indexed="9"/>
      </left>
      <right style="thin">
        <color indexed="9"/>
      </right>
      <top style="thin">
        <color indexed="64"/>
      </top>
      <bottom/>
      <diagonal/>
    </border>
    <border>
      <left style="thin">
        <color indexed="9"/>
      </left>
      <right style="thin">
        <color indexed="64"/>
      </right>
      <top style="thin">
        <color indexed="64"/>
      </top>
      <bottom/>
      <diagonal/>
    </border>
    <border>
      <left style="thin">
        <color indexed="9"/>
      </left>
      <right style="thin">
        <color indexed="9"/>
      </right>
      <top/>
      <bottom/>
      <diagonal/>
    </border>
    <border>
      <left style="thin">
        <color indexed="9"/>
      </left>
      <right style="thin">
        <color indexed="64"/>
      </right>
      <top/>
      <bottom/>
      <diagonal/>
    </border>
    <border>
      <left style="thin">
        <color indexed="9"/>
      </left>
      <right style="thin">
        <color indexed="9"/>
      </right>
      <top/>
      <bottom style="thin">
        <color indexed="9"/>
      </bottom>
      <diagonal/>
    </border>
    <border>
      <left style="thin">
        <color indexed="9"/>
      </left>
      <right style="thin">
        <color indexed="64"/>
      </right>
      <top/>
      <bottom style="thin">
        <color indexed="9"/>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style="thin">
        <color indexed="9"/>
      </right>
      <top style="thin">
        <color indexed="64"/>
      </top>
      <bottom style="thin">
        <color indexed="64"/>
      </bottom>
      <diagonal/>
    </border>
    <border>
      <left style="hair">
        <color indexed="64"/>
      </left>
      <right style="hair">
        <color indexed="64"/>
      </right>
      <top/>
      <bottom style="hair">
        <color indexed="64"/>
      </bottom>
      <diagonal/>
    </border>
    <border>
      <left style="dotted">
        <color indexed="58"/>
      </left>
      <right/>
      <top/>
      <bottom/>
      <diagonal/>
    </border>
    <border>
      <left style="dotted">
        <color indexed="58"/>
      </left>
      <right/>
      <top/>
      <bottom style="dotted">
        <color indexed="58"/>
      </bottom>
      <diagonal/>
    </border>
    <border>
      <left style="medium">
        <color indexed="9"/>
      </left>
      <right/>
      <top/>
      <bottom/>
      <diagonal/>
    </border>
    <border>
      <left/>
      <right style="medium">
        <color indexed="9"/>
      </right>
      <top/>
      <bottom/>
      <diagonal/>
    </border>
    <border>
      <left/>
      <right/>
      <top/>
      <bottom style="medium">
        <color indexed="9"/>
      </bottom>
      <diagonal/>
    </border>
    <border>
      <left style="thin">
        <color indexed="64"/>
      </left>
      <right/>
      <top/>
      <bottom style="thick">
        <color indexed="64"/>
      </bottom>
      <diagonal/>
    </border>
    <border>
      <left/>
      <right/>
      <top/>
      <bottom style="thick">
        <color indexed="64"/>
      </bottom>
      <diagonal/>
    </border>
    <border>
      <left/>
      <right style="thin">
        <color indexed="64"/>
      </right>
      <top/>
      <bottom style="thick">
        <color indexed="64"/>
      </bottom>
      <diagonal/>
    </border>
    <border>
      <left style="thin">
        <color indexed="64"/>
      </left>
      <right/>
      <top style="thick">
        <color indexed="64"/>
      </top>
      <bottom/>
      <diagonal/>
    </border>
    <border>
      <left/>
      <right/>
      <top style="thick">
        <color indexed="64"/>
      </top>
      <bottom/>
      <diagonal/>
    </border>
    <border>
      <left/>
      <right style="thin">
        <color indexed="64"/>
      </right>
      <top style="thick">
        <color indexed="64"/>
      </top>
      <bottom/>
      <diagonal/>
    </border>
    <border>
      <left style="thin">
        <color indexed="64"/>
      </left>
      <right/>
      <top style="dotted">
        <color indexed="64"/>
      </top>
      <bottom style="thick">
        <color indexed="64"/>
      </bottom>
      <diagonal/>
    </border>
    <border>
      <left/>
      <right/>
      <top style="dotted">
        <color indexed="64"/>
      </top>
      <bottom style="thick">
        <color indexed="64"/>
      </bottom>
      <diagonal/>
    </border>
    <border>
      <left/>
      <right style="thin">
        <color indexed="64"/>
      </right>
      <top style="dotted">
        <color indexed="64"/>
      </top>
      <bottom style="thick">
        <color indexed="64"/>
      </bottom>
      <diagonal/>
    </border>
    <border>
      <left style="hair">
        <color indexed="64"/>
      </left>
      <right/>
      <top/>
      <bottom/>
      <diagonal/>
    </border>
    <border>
      <left style="double">
        <color indexed="9"/>
      </left>
      <right/>
      <top/>
      <bottom style="hair">
        <color indexed="64"/>
      </bottom>
      <diagonal/>
    </border>
    <border>
      <left/>
      <right/>
      <top/>
      <bottom style="hair">
        <color indexed="64"/>
      </bottom>
      <diagonal/>
    </border>
    <border>
      <left/>
      <right style="hair">
        <color indexed="64"/>
      </right>
      <top/>
      <bottom style="hair">
        <color indexed="64"/>
      </bottom>
      <diagonal/>
    </border>
    <border>
      <left/>
      <right style="hair">
        <color indexed="64"/>
      </right>
      <top style="hair">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23"/>
      </top>
      <bottom/>
      <diagonal/>
    </border>
    <border>
      <left/>
      <right/>
      <top style="hair">
        <color indexed="64"/>
      </top>
      <bottom/>
      <diagonal/>
    </border>
    <border>
      <left style="hair">
        <color indexed="64"/>
      </left>
      <right/>
      <top style="hair">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right style="hair">
        <color indexed="9"/>
      </right>
      <top style="hair">
        <color indexed="64"/>
      </top>
      <bottom/>
      <diagonal/>
    </border>
    <border>
      <left style="hair">
        <color indexed="64"/>
      </left>
      <right/>
      <top style="hair">
        <color indexed="64"/>
      </top>
      <bottom style="thin">
        <color indexed="9"/>
      </bottom>
      <diagonal/>
    </border>
    <border>
      <left/>
      <right/>
      <top style="hair">
        <color indexed="64"/>
      </top>
      <bottom style="thin">
        <color indexed="9"/>
      </bottom>
      <diagonal/>
    </border>
    <border>
      <left/>
      <right style="hair">
        <color indexed="9"/>
      </right>
      <top style="hair">
        <color indexed="64"/>
      </top>
      <bottom style="thin">
        <color indexed="9"/>
      </bottom>
      <diagonal/>
    </border>
    <border>
      <left/>
      <right/>
      <top style="thin">
        <color indexed="9"/>
      </top>
      <bottom style="hair">
        <color indexed="64"/>
      </bottom>
      <diagonal/>
    </border>
    <border>
      <left style="thin">
        <color indexed="64"/>
      </left>
      <right style="thin">
        <color indexed="64"/>
      </right>
      <top style="thin">
        <color indexed="64"/>
      </top>
      <bottom/>
      <diagonal/>
    </border>
    <border>
      <left style="thin">
        <color indexed="9"/>
      </left>
      <right style="thin">
        <color indexed="64"/>
      </right>
      <top style="thin">
        <color indexed="64"/>
      </top>
      <bottom style="thin">
        <color indexed="9"/>
      </bottom>
      <diagonal/>
    </border>
    <border>
      <left style="thin">
        <color indexed="9"/>
      </left>
      <right style="thin">
        <color indexed="9"/>
      </right>
      <top style="thin">
        <color indexed="64"/>
      </top>
      <bottom style="thin">
        <color indexed="9"/>
      </bottom>
      <diagonal/>
    </border>
    <border>
      <left style="thin">
        <color indexed="64"/>
      </left>
      <right style="thin">
        <color indexed="9"/>
      </right>
      <top style="thin">
        <color indexed="64"/>
      </top>
      <bottom style="thin">
        <color indexed="9"/>
      </bottom>
      <diagonal/>
    </border>
    <border>
      <left style="thin">
        <color indexed="64"/>
      </left>
      <right style="thin">
        <color indexed="9"/>
      </right>
      <top style="thin">
        <color indexed="9"/>
      </top>
      <bottom style="thin">
        <color indexed="9"/>
      </bottom>
      <diagonal/>
    </border>
    <border>
      <left style="thin">
        <color indexed="64"/>
      </left>
      <right style="thin">
        <color indexed="9"/>
      </right>
      <top style="thin">
        <color indexed="9"/>
      </top>
      <bottom style="thin">
        <color indexed="64"/>
      </bottom>
      <diagonal/>
    </border>
    <border>
      <left/>
      <right/>
      <top style="thin">
        <color indexed="9"/>
      </top>
      <bottom style="thin">
        <color indexed="23"/>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hair">
        <color indexed="9"/>
      </left>
      <right style="hair">
        <color indexed="9"/>
      </right>
      <top style="hair">
        <color indexed="23"/>
      </top>
      <bottom style="hair">
        <color indexed="9"/>
      </bottom>
      <diagonal/>
    </border>
    <border>
      <left style="hair">
        <color indexed="9"/>
      </left>
      <right style="hair">
        <color indexed="9"/>
      </right>
      <top style="hair">
        <color indexed="9"/>
      </top>
      <bottom style="hair">
        <color indexed="23"/>
      </bottom>
      <diagonal/>
    </border>
    <border>
      <left style="hair">
        <color indexed="9"/>
      </left>
      <right style="hair">
        <color indexed="64"/>
      </right>
      <top style="hair">
        <color indexed="9"/>
      </top>
      <bottom style="hair">
        <color indexed="23"/>
      </bottom>
      <diagonal/>
    </border>
    <border>
      <left style="hair">
        <color indexed="64"/>
      </left>
      <right/>
      <top style="hair">
        <color indexed="64"/>
      </top>
      <bottom style="hair">
        <color indexed="23"/>
      </bottom>
      <diagonal/>
    </border>
    <border>
      <left/>
      <right/>
      <top style="hair">
        <color indexed="64"/>
      </top>
      <bottom style="hair">
        <color indexed="23"/>
      </bottom>
      <diagonal/>
    </border>
    <border>
      <left/>
      <right style="hair">
        <color indexed="64"/>
      </right>
      <top style="hair">
        <color indexed="64"/>
      </top>
      <bottom style="hair">
        <color indexed="23"/>
      </bottom>
      <diagonal/>
    </border>
    <border>
      <left style="hair">
        <color indexed="9"/>
      </left>
      <right style="hair">
        <color indexed="9"/>
      </right>
      <top style="hair">
        <color indexed="64"/>
      </top>
      <bottom style="hair">
        <color indexed="64"/>
      </bottom>
      <diagonal/>
    </border>
    <border>
      <left style="hair">
        <color indexed="9"/>
      </left>
      <right style="hair">
        <color indexed="64"/>
      </right>
      <top style="hair">
        <color indexed="64"/>
      </top>
      <bottom style="hair">
        <color indexed="64"/>
      </bottom>
      <diagonal/>
    </border>
    <border>
      <left/>
      <right style="hair">
        <color indexed="9"/>
      </right>
      <top style="hair">
        <color indexed="64"/>
      </top>
      <bottom style="hair">
        <color indexed="64"/>
      </bottom>
      <diagonal/>
    </border>
    <border>
      <left style="hair">
        <color indexed="64"/>
      </left>
      <right style="hair">
        <color indexed="9"/>
      </right>
      <top style="hair">
        <color indexed="64"/>
      </top>
      <bottom style="hair">
        <color indexed="64"/>
      </bottom>
      <diagonal/>
    </border>
    <border>
      <left style="hair">
        <color indexed="64"/>
      </left>
      <right style="hair">
        <color indexed="9"/>
      </right>
      <top style="hair">
        <color indexed="23"/>
      </top>
      <bottom style="hair">
        <color indexed="9"/>
      </bottom>
      <diagonal/>
    </border>
    <border>
      <left style="hair">
        <color indexed="9"/>
      </left>
      <right/>
      <top style="hair">
        <color indexed="64"/>
      </top>
      <bottom style="hair">
        <color indexed="9"/>
      </bottom>
      <diagonal/>
    </border>
    <border>
      <left/>
      <right style="hair">
        <color indexed="9"/>
      </right>
      <top style="hair">
        <color indexed="64"/>
      </top>
      <bottom style="hair">
        <color indexed="9"/>
      </bottom>
      <diagonal/>
    </border>
    <border>
      <left style="hair">
        <color indexed="9"/>
      </left>
      <right style="hair">
        <color indexed="64"/>
      </right>
      <top style="hair">
        <color indexed="23"/>
      </top>
      <bottom style="hair">
        <color indexed="9"/>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hair">
        <color indexed="9"/>
      </right>
      <top style="hair">
        <color indexed="9"/>
      </top>
      <bottom style="hair">
        <color indexed="23"/>
      </bottom>
      <diagonal/>
    </border>
    <border>
      <left/>
      <right/>
      <top style="hair">
        <color indexed="64"/>
      </top>
      <bottom style="thin">
        <color indexed="64"/>
      </bottom>
      <diagonal/>
    </border>
    <border>
      <left style="thin">
        <color indexed="64"/>
      </left>
      <right style="hair">
        <color indexed="64"/>
      </right>
      <top style="hair">
        <color indexed="64"/>
      </top>
      <bottom style="hair">
        <color indexed="64"/>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style="thick">
        <color indexed="64"/>
      </right>
      <top/>
      <bottom style="thick">
        <color indexed="64"/>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medium">
        <color indexed="9"/>
      </left>
      <right style="medium">
        <color indexed="9"/>
      </right>
      <top style="medium">
        <color indexed="9"/>
      </top>
      <bottom style="medium">
        <color indexed="9"/>
      </bottom>
      <diagonal/>
    </border>
    <border>
      <left style="medium">
        <color indexed="9"/>
      </left>
      <right/>
      <top style="medium">
        <color indexed="9"/>
      </top>
      <bottom style="medium">
        <color indexed="9"/>
      </bottom>
      <diagonal/>
    </border>
    <border>
      <left/>
      <right/>
      <top style="medium">
        <color indexed="9"/>
      </top>
      <bottom style="medium">
        <color indexed="9"/>
      </bottom>
      <diagonal/>
    </border>
    <border>
      <left/>
      <right style="medium">
        <color indexed="9"/>
      </right>
      <top style="medium">
        <color indexed="9"/>
      </top>
      <bottom style="medium">
        <color indexed="9"/>
      </bottom>
      <diagonal/>
    </border>
    <border>
      <left/>
      <right/>
      <top style="medium">
        <color indexed="9"/>
      </top>
      <bottom/>
      <diagonal/>
    </border>
    <border>
      <left style="medium">
        <color indexed="9"/>
      </left>
      <right style="medium">
        <color indexed="9"/>
      </right>
      <top/>
      <bottom style="medium">
        <color indexed="9"/>
      </bottom>
      <diagonal/>
    </border>
    <border>
      <left style="medium">
        <color indexed="23"/>
      </left>
      <right/>
      <top style="medium">
        <color indexed="23"/>
      </top>
      <bottom/>
      <diagonal/>
    </border>
    <border>
      <left/>
      <right/>
      <top style="medium">
        <color indexed="23"/>
      </top>
      <bottom/>
      <diagonal/>
    </border>
    <border>
      <left/>
      <right style="thick">
        <color indexed="23"/>
      </right>
      <top style="thin">
        <color indexed="64"/>
      </top>
      <bottom/>
      <diagonal/>
    </border>
    <border>
      <left style="thin">
        <color indexed="64"/>
      </left>
      <right/>
      <top/>
      <bottom style="thick">
        <color indexed="23"/>
      </bottom>
      <diagonal/>
    </border>
    <border>
      <left/>
      <right/>
      <top/>
      <bottom style="thick">
        <color indexed="23"/>
      </bottom>
      <diagonal/>
    </border>
    <border>
      <left/>
      <right style="thick">
        <color indexed="23"/>
      </right>
      <top/>
      <bottom style="thick">
        <color indexed="23"/>
      </bottom>
      <diagonal/>
    </border>
    <border>
      <left style="medium">
        <color indexed="23"/>
      </left>
      <right/>
      <top/>
      <bottom/>
      <diagonal/>
    </border>
    <border>
      <left/>
      <right/>
      <top/>
      <bottom style="medium">
        <color indexed="23"/>
      </bottom>
      <diagonal/>
    </border>
    <border>
      <left style="dotted">
        <color indexed="58"/>
      </left>
      <right/>
      <top style="dotted">
        <color indexed="58"/>
      </top>
      <bottom/>
      <diagonal/>
    </border>
    <border>
      <left style="medium">
        <color indexed="9"/>
      </left>
      <right/>
      <top/>
      <bottom style="medium">
        <color indexed="9"/>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13"/>
      </left>
      <right/>
      <top style="medium">
        <color indexed="13"/>
      </top>
      <bottom style="medium">
        <color indexed="13"/>
      </bottom>
      <diagonal/>
    </border>
    <border>
      <left/>
      <right style="medium">
        <color indexed="13"/>
      </right>
      <top style="medium">
        <color indexed="13"/>
      </top>
      <bottom style="medium">
        <color indexed="13"/>
      </bottom>
      <diagonal/>
    </border>
    <border>
      <left/>
      <right style="hair">
        <color indexed="9"/>
      </right>
      <top style="hair">
        <color indexed="9"/>
      </top>
      <bottom style="hair">
        <color indexed="64"/>
      </bottom>
      <diagonal/>
    </border>
    <border>
      <left style="hair">
        <color indexed="9"/>
      </left>
      <right style="hair">
        <color indexed="9"/>
      </right>
      <top style="hair">
        <color indexed="9"/>
      </top>
      <bottom style="hair">
        <color indexed="64"/>
      </bottom>
      <diagonal/>
    </border>
    <border>
      <left style="hair">
        <color indexed="9"/>
      </left>
      <right/>
      <top style="hair">
        <color indexed="9"/>
      </top>
      <bottom style="hair">
        <color indexed="64"/>
      </bottom>
      <diagonal/>
    </border>
    <border>
      <left style="thin">
        <color indexed="12"/>
      </left>
      <right/>
      <top/>
      <bottom/>
      <diagonal/>
    </border>
    <border>
      <left style="thin">
        <color indexed="12"/>
      </left>
      <right style="thin">
        <color indexed="9"/>
      </right>
      <top style="thin">
        <color indexed="12"/>
      </top>
      <bottom style="thin">
        <color indexed="12"/>
      </bottom>
      <diagonal/>
    </border>
    <border>
      <left style="thin">
        <color indexed="9"/>
      </left>
      <right style="thin">
        <color indexed="12"/>
      </right>
      <top style="thin">
        <color indexed="12"/>
      </top>
      <bottom style="thin">
        <color indexed="12"/>
      </bottom>
      <diagonal/>
    </border>
    <border>
      <left style="hair">
        <color indexed="9"/>
      </left>
      <right style="hair">
        <color indexed="9"/>
      </right>
      <top style="hair">
        <color indexed="64"/>
      </top>
      <bottom style="hair">
        <color indexed="9"/>
      </bottom>
      <diagonal/>
    </border>
    <border>
      <left style="hair">
        <color indexed="9"/>
      </left>
      <right/>
      <top style="hair">
        <color indexed="64"/>
      </top>
      <bottom style="hair">
        <color indexed="64"/>
      </bottom>
      <diagonal/>
    </border>
    <border>
      <left style="hair">
        <color indexed="9"/>
      </left>
      <right/>
      <top style="thin">
        <color indexed="9"/>
      </top>
      <bottom style="thin">
        <color indexed="9"/>
      </bottom>
      <diagonal/>
    </border>
    <border>
      <left/>
      <right/>
      <top style="thin">
        <color indexed="9"/>
      </top>
      <bottom style="thin">
        <color indexed="9"/>
      </bottom>
      <diagonal/>
    </border>
    <border>
      <left/>
      <right style="hair">
        <color indexed="64"/>
      </right>
      <top style="thin">
        <color indexed="9"/>
      </top>
      <bottom style="thin">
        <color indexed="9"/>
      </bottom>
      <diagonal/>
    </border>
    <border>
      <left style="thin">
        <color indexed="9"/>
      </left>
      <right/>
      <top style="thin">
        <color indexed="9"/>
      </top>
      <bottom style="thin">
        <color indexed="9"/>
      </bottom>
      <diagonal/>
    </border>
    <border>
      <left style="hair">
        <color indexed="9"/>
      </left>
      <right/>
      <top style="hair">
        <color indexed="64"/>
      </top>
      <bottom style="thin">
        <color indexed="9"/>
      </bottom>
      <diagonal/>
    </border>
    <border>
      <left/>
      <right style="hair">
        <color indexed="64"/>
      </right>
      <top style="hair">
        <color indexed="64"/>
      </top>
      <bottom style="thin">
        <color indexed="9"/>
      </bottom>
      <diagonal/>
    </border>
    <border>
      <left style="hair">
        <color indexed="9"/>
      </left>
      <right/>
      <top/>
      <bottom style="hair">
        <color indexed="64"/>
      </bottom>
      <diagonal/>
    </border>
    <border>
      <left/>
      <right style="hair">
        <color indexed="9"/>
      </right>
      <top/>
      <bottom style="hair">
        <color indexed="64"/>
      </bottom>
      <diagonal/>
    </border>
    <border>
      <left style="hair">
        <color indexed="9"/>
      </left>
      <right/>
      <top/>
      <bottom/>
      <diagonal/>
    </border>
    <border>
      <left style="hair">
        <color indexed="64"/>
      </left>
      <right/>
      <top style="thin">
        <color indexed="9"/>
      </top>
      <bottom style="thin">
        <color indexed="9"/>
      </bottom>
      <diagonal/>
    </border>
    <border>
      <left/>
      <right style="hair">
        <color indexed="9"/>
      </right>
      <top style="thin">
        <color indexed="9"/>
      </top>
      <bottom style="thin">
        <color indexed="9"/>
      </bottom>
      <diagonal/>
    </border>
    <border>
      <left/>
      <right style="thin">
        <color indexed="9"/>
      </right>
      <top style="thin">
        <color indexed="9"/>
      </top>
      <bottom style="thin">
        <color indexed="9"/>
      </bottom>
      <diagonal/>
    </border>
    <border>
      <left style="hair">
        <color indexed="9"/>
      </left>
      <right/>
      <top style="hair">
        <color indexed="64"/>
      </top>
      <bottom/>
      <diagonal/>
    </border>
    <border>
      <left style="hair">
        <color indexed="64"/>
      </left>
      <right style="thin">
        <color indexed="9"/>
      </right>
      <top style="hair">
        <color indexed="64"/>
      </top>
      <bottom style="hair">
        <color indexed="64"/>
      </bottom>
      <diagonal/>
    </border>
    <border>
      <left style="thin">
        <color indexed="9"/>
      </left>
      <right style="thin">
        <color indexed="9"/>
      </right>
      <top style="hair">
        <color indexed="64"/>
      </top>
      <bottom style="hair">
        <color indexed="64"/>
      </bottom>
      <diagonal/>
    </border>
    <border>
      <left style="thin">
        <color indexed="9"/>
      </left>
      <right style="hair">
        <color indexed="64"/>
      </right>
      <top style="hair">
        <color indexed="64"/>
      </top>
      <bottom style="hair">
        <color indexed="64"/>
      </bottom>
      <diagonal/>
    </border>
    <border>
      <left style="hair">
        <color indexed="64"/>
      </left>
      <right/>
      <top/>
      <bottom style="hair">
        <color indexed="9"/>
      </bottom>
      <diagonal/>
    </border>
    <border>
      <left/>
      <right/>
      <top/>
      <bottom style="hair">
        <color indexed="9"/>
      </bottom>
      <diagonal/>
    </border>
    <border>
      <left/>
      <right style="hair">
        <color indexed="64"/>
      </right>
      <top/>
      <bottom style="hair">
        <color indexed="9"/>
      </bottom>
      <diagonal/>
    </border>
    <border>
      <left style="hair">
        <color indexed="9"/>
      </left>
      <right style="hair">
        <color indexed="9"/>
      </right>
      <top/>
      <bottom/>
      <diagonal/>
    </border>
    <border>
      <left style="hair">
        <color indexed="9"/>
      </left>
      <right style="hair">
        <color indexed="64"/>
      </right>
      <top/>
      <bottom/>
      <diagonal/>
    </border>
    <border>
      <left style="hair">
        <color indexed="9"/>
      </left>
      <right style="hair">
        <color indexed="9"/>
      </right>
      <top/>
      <bottom style="hair">
        <color indexed="63"/>
      </bottom>
      <diagonal/>
    </border>
    <border>
      <left style="hair">
        <color indexed="9"/>
      </left>
      <right style="hair">
        <color indexed="64"/>
      </right>
      <top/>
      <bottom style="hair">
        <color indexed="63"/>
      </bottom>
      <diagonal/>
    </border>
    <border>
      <left style="hair">
        <color indexed="23"/>
      </left>
      <right style="hair">
        <color indexed="23"/>
      </right>
      <top style="hair">
        <color indexed="23"/>
      </top>
      <bottom/>
      <diagonal/>
    </border>
    <border>
      <left style="hair">
        <color indexed="23"/>
      </left>
      <right style="hair">
        <color indexed="23"/>
      </right>
      <top/>
      <bottom style="hair">
        <color indexed="23"/>
      </bottom>
      <diagonal/>
    </border>
    <border>
      <left style="hair">
        <color indexed="64"/>
      </left>
      <right style="hair">
        <color indexed="9"/>
      </right>
      <top style="hair">
        <color indexed="64"/>
      </top>
      <bottom style="hair">
        <color indexed="9"/>
      </bottom>
      <diagonal/>
    </border>
    <border>
      <left style="hair">
        <color indexed="9"/>
      </left>
      <right style="hair">
        <color indexed="64"/>
      </right>
      <top style="hair">
        <color indexed="64"/>
      </top>
      <bottom style="hair">
        <color indexed="9"/>
      </bottom>
      <diagonal/>
    </border>
    <border>
      <left style="hair">
        <color indexed="64"/>
      </left>
      <right/>
      <top style="hair">
        <color indexed="9"/>
      </top>
      <bottom style="hair">
        <color indexed="64"/>
      </bottom>
      <diagonal/>
    </border>
    <border>
      <left/>
      <right/>
      <top style="hair">
        <color indexed="9"/>
      </top>
      <bottom style="hair">
        <color indexed="64"/>
      </bottom>
      <diagonal/>
    </border>
    <border>
      <left/>
      <right style="hair">
        <color indexed="64"/>
      </right>
      <top style="hair">
        <color indexed="9"/>
      </top>
      <bottom style="hair">
        <color indexed="64"/>
      </bottom>
      <diagonal/>
    </border>
    <border>
      <left style="hair">
        <color indexed="9"/>
      </left>
      <right style="hair">
        <color indexed="9"/>
      </right>
      <top style="hair">
        <color indexed="9"/>
      </top>
      <bottom style="hair">
        <color indexed="9"/>
      </bottom>
      <diagonal/>
    </border>
    <border>
      <left style="hair">
        <color indexed="9"/>
      </left>
      <right style="hair">
        <color indexed="64"/>
      </right>
      <top style="hair">
        <color indexed="9"/>
      </top>
      <bottom style="hair">
        <color indexed="9"/>
      </bottom>
      <diagonal/>
    </border>
    <border>
      <left style="hair">
        <color indexed="9"/>
      </left>
      <right style="hair">
        <color indexed="64"/>
      </right>
      <top style="hair">
        <color indexed="9"/>
      </top>
      <bottom style="hair">
        <color indexed="64"/>
      </bottom>
      <diagonal/>
    </border>
    <border>
      <left style="hair">
        <color indexed="64"/>
      </left>
      <right style="hair">
        <color indexed="9"/>
      </right>
      <top/>
      <bottom/>
      <diagonal/>
    </border>
    <border>
      <left style="hair">
        <color indexed="64"/>
      </left>
      <right style="hair">
        <color indexed="9"/>
      </right>
      <top/>
      <bottom style="hair">
        <color indexed="63"/>
      </bottom>
      <diagonal/>
    </border>
    <border>
      <left style="hair">
        <color indexed="64"/>
      </left>
      <right style="hair">
        <color indexed="9"/>
      </right>
      <top style="hair">
        <color indexed="9"/>
      </top>
      <bottom style="hair">
        <color indexed="9"/>
      </bottom>
      <diagonal/>
    </border>
    <border>
      <left style="hair">
        <color indexed="64"/>
      </left>
      <right style="hair">
        <color indexed="9"/>
      </right>
      <top style="hair">
        <color indexed="9"/>
      </top>
      <bottom style="hair">
        <color indexed="64"/>
      </bottom>
      <diagonal/>
    </border>
    <border>
      <left style="hair">
        <color indexed="64"/>
      </left>
      <right style="thin">
        <color indexed="9"/>
      </right>
      <top style="thin">
        <color indexed="9"/>
      </top>
      <bottom style="hair">
        <color indexed="64"/>
      </bottom>
      <diagonal/>
    </border>
    <border>
      <left style="thin">
        <color indexed="9"/>
      </left>
      <right style="thin">
        <color indexed="9"/>
      </right>
      <top style="thin">
        <color indexed="9"/>
      </top>
      <bottom style="hair">
        <color indexed="64"/>
      </bottom>
      <diagonal/>
    </border>
    <border>
      <left style="thin">
        <color indexed="9"/>
      </left>
      <right/>
      <top style="thin">
        <color indexed="9"/>
      </top>
      <bottom style="hair">
        <color indexed="64"/>
      </bottom>
      <diagonal/>
    </border>
    <border>
      <left/>
      <right style="thin">
        <color indexed="9"/>
      </right>
      <top style="thin">
        <color indexed="9"/>
      </top>
      <bottom style="hair">
        <color indexed="64"/>
      </bottom>
      <diagonal/>
    </border>
    <border>
      <left/>
      <right style="hair">
        <color indexed="64"/>
      </right>
      <top style="thin">
        <color indexed="9"/>
      </top>
      <bottom style="hair">
        <color indexed="64"/>
      </bottom>
      <diagonal/>
    </border>
    <border>
      <left style="medium">
        <color indexed="9"/>
      </left>
      <right/>
      <top style="medium">
        <color indexed="9"/>
      </top>
      <bottom/>
      <diagonal/>
    </border>
    <border>
      <left/>
      <right style="medium">
        <color indexed="9"/>
      </right>
      <top style="medium">
        <color indexed="9"/>
      </top>
      <bottom/>
      <diagonal/>
    </border>
    <border>
      <left/>
      <right style="medium">
        <color indexed="9"/>
      </right>
      <top/>
      <bottom style="medium">
        <color indexed="9"/>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right style="hair">
        <color indexed="9"/>
      </right>
      <top style="thin">
        <color indexed="64"/>
      </top>
      <bottom style="thin">
        <color indexed="64"/>
      </bottom>
      <diagonal/>
    </border>
    <border>
      <left style="hair">
        <color indexed="9"/>
      </left>
      <right/>
      <top style="thin">
        <color indexed="64"/>
      </top>
      <bottom style="thin">
        <color indexed="64"/>
      </bottom>
      <diagonal/>
    </border>
    <border>
      <left style="hair">
        <color indexed="64"/>
      </left>
      <right style="double">
        <color indexed="22"/>
      </right>
      <top style="hair">
        <color indexed="64"/>
      </top>
      <bottom style="hair">
        <color indexed="64"/>
      </bottom>
      <diagonal/>
    </border>
    <border>
      <left style="double">
        <color indexed="22"/>
      </left>
      <right/>
      <top style="hair">
        <color indexed="64"/>
      </top>
      <bottom style="hair">
        <color indexed="64"/>
      </bottom>
      <diagonal/>
    </border>
  </borders>
  <cellStyleXfs count="20">
    <xf numFmtId="0" fontId="0" fillId="0" borderId="0"/>
    <xf numFmtId="43" fontId="29" fillId="0" borderId="0" applyFont="0" applyFill="0" applyBorder="0" applyAlignment="0" applyProtection="0"/>
    <xf numFmtId="41" fontId="29" fillId="0" borderId="0" applyFont="0" applyFill="0" applyBorder="0" applyAlignment="0" applyProtection="0"/>
    <xf numFmtId="172" fontId="23" fillId="0" borderId="0" applyFont="0" applyFill="0" applyBorder="0" applyAlignment="0" applyProtection="0"/>
    <xf numFmtId="41" fontId="28" fillId="0" borderId="0" applyFont="0" applyFill="0" applyBorder="0" applyAlignment="0" applyProtection="0"/>
    <xf numFmtId="43" fontId="53" fillId="0" borderId="0" applyFont="0" applyFill="0" applyBorder="0" applyAlignment="0" applyProtection="0"/>
    <xf numFmtId="43" fontId="28" fillId="0" borderId="0" applyFont="0" applyFill="0" applyBorder="0" applyAlignment="0" applyProtection="0"/>
    <xf numFmtId="43" fontId="23" fillId="0" borderId="0" applyFont="0" applyFill="0" applyBorder="0" applyAlignment="0" applyProtection="0"/>
    <xf numFmtId="0" fontId="159" fillId="0" borderId="0" applyNumberFormat="0" applyFill="0" applyBorder="0" applyAlignment="0" applyProtection="0">
      <alignment vertical="top"/>
      <protection locked="0"/>
    </xf>
    <xf numFmtId="0" fontId="28" fillId="0" borderId="0"/>
    <xf numFmtId="0" fontId="248" fillId="0" borderId="0"/>
    <xf numFmtId="0" fontId="247" fillId="0" borderId="0"/>
    <xf numFmtId="0" fontId="28" fillId="0" borderId="0"/>
    <xf numFmtId="0" fontId="134" fillId="0" borderId="0"/>
    <xf numFmtId="0" fontId="71" fillId="0" borderId="0"/>
    <xf numFmtId="0" fontId="28" fillId="0" borderId="0"/>
    <xf numFmtId="9" fontId="29"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9" fillId="0" borderId="0" applyFont="0" applyFill="0" applyBorder="0" applyAlignment="0" applyProtection="0"/>
  </cellStyleXfs>
  <cellXfs count="2569">
    <xf numFmtId="0" fontId="0" fillId="0" borderId="0" xfId="0"/>
    <xf numFmtId="0" fontId="3" fillId="2" borderId="1" xfId="0" applyFont="1" applyFill="1" applyBorder="1" applyAlignment="1">
      <alignment horizontal="left" vertical="center"/>
    </xf>
    <xf numFmtId="0" fontId="2" fillId="0" borderId="0" xfId="0" applyFont="1" applyAlignment="1">
      <alignment horizontal="left" vertical="center"/>
    </xf>
    <xf numFmtId="0" fontId="2" fillId="3" borderId="1" xfId="0" applyFont="1" applyFill="1" applyBorder="1" applyAlignment="1">
      <alignment horizontal="left" vertical="center"/>
    </xf>
    <xf numFmtId="0" fontId="2" fillId="4" borderId="1" xfId="0" applyFont="1" applyFill="1" applyBorder="1" applyAlignment="1">
      <alignment horizontal="left" vertical="center"/>
    </xf>
    <xf numFmtId="0" fontId="5" fillId="2" borderId="1"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2" borderId="1" xfId="0" applyNumberFormat="1" applyFont="1" applyFill="1" applyBorder="1" applyAlignment="1">
      <alignment horizontal="center" vertical="center" wrapText="1"/>
    </xf>
    <xf numFmtId="49" fontId="10" fillId="0" borderId="1" xfId="0" applyNumberFormat="1" applyFont="1" applyFill="1" applyBorder="1" applyAlignment="1">
      <alignment horizontal="left" vertical="center" wrapText="1"/>
    </xf>
    <xf numFmtId="0" fontId="10" fillId="0" borderId="1" xfId="0" applyFont="1" applyFill="1" applyBorder="1" applyAlignment="1">
      <alignment vertical="center" wrapText="1"/>
    </xf>
    <xf numFmtId="49" fontId="10" fillId="0" borderId="1" xfId="0" applyNumberFormat="1" applyFont="1" applyFill="1" applyBorder="1" applyAlignment="1">
      <alignment vertical="center" wrapText="1"/>
    </xf>
    <xf numFmtId="0" fontId="6" fillId="0" borderId="1" xfId="0" applyFont="1" applyBorder="1" applyAlignment="1">
      <alignment vertical="center" wrapText="1"/>
    </xf>
    <xf numFmtId="0" fontId="6" fillId="0" borderId="0" xfId="0" applyFont="1" applyFill="1" applyAlignment="1">
      <alignment horizontal="center" vertical="center" wrapText="1"/>
    </xf>
    <xf numFmtId="0" fontId="9" fillId="0" borderId="0" xfId="0" applyFont="1" applyFill="1" applyAlignment="1">
      <alignment vertical="center"/>
    </xf>
    <xf numFmtId="0" fontId="6" fillId="0" borderId="0" xfId="0" applyFont="1" applyFill="1" applyAlignment="1">
      <alignment vertical="center" wrapText="1"/>
    </xf>
    <xf numFmtId="0" fontId="2" fillId="0" borderId="0" xfId="0" applyFont="1" applyFill="1" applyAlignment="1">
      <alignment horizontal="left" vertical="center"/>
    </xf>
    <xf numFmtId="0" fontId="8" fillId="3" borderId="1" xfId="0" applyFont="1" applyFill="1" applyBorder="1" applyAlignment="1">
      <alignment horizontal="left" vertical="center" wrapText="1"/>
    </xf>
    <xf numFmtId="0" fontId="8" fillId="3" borderId="1" xfId="0" applyNumberFormat="1" applyFont="1" applyFill="1" applyBorder="1" applyAlignment="1">
      <alignment horizontal="left" vertical="center" wrapText="1"/>
    </xf>
    <xf numFmtId="49" fontId="6" fillId="4" borderId="0" xfId="0" applyNumberFormat="1" applyFont="1" applyFill="1" applyAlignment="1">
      <alignment vertical="center" wrapText="1"/>
    </xf>
    <xf numFmtId="0" fontId="8" fillId="5" borderId="1" xfId="0" applyFont="1" applyFill="1" applyBorder="1" applyAlignment="1">
      <alignment horizontal="left" vertical="center" wrapText="1"/>
    </xf>
    <xf numFmtId="0" fontId="8" fillId="5" borderId="1" xfId="0" applyNumberFormat="1" applyFont="1" applyFill="1" applyBorder="1" applyAlignment="1">
      <alignment horizontal="left" vertical="center" wrapText="1"/>
    </xf>
    <xf numFmtId="0" fontId="13" fillId="3" borderId="1" xfId="0" applyFont="1" applyFill="1" applyBorder="1" applyAlignment="1">
      <alignment horizontal="left" vertical="center" wrapText="1"/>
    </xf>
    <xf numFmtId="0" fontId="14" fillId="3" borderId="1" xfId="0" applyFont="1" applyFill="1" applyBorder="1" applyAlignment="1">
      <alignment horizontal="left" vertical="center" wrapText="1"/>
    </xf>
    <xf numFmtId="0" fontId="12" fillId="0" borderId="0" xfId="0" applyFont="1" applyAlignment="1">
      <alignment horizontal="center" vertical="center"/>
    </xf>
    <xf numFmtId="0" fontId="1" fillId="3" borderId="0" xfId="0" applyFont="1" applyFill="1" applyAlignment="1" applyProtection="1">
      <alignment vertical="center"/>
      <protection locked="0"/>
    </xf>
    <xf numFmtId="0" fontId="1" fillId="3" borderId="2" xfId="0" applyFont="1" applyFill="1" applyBorder="1" applyAlignment="1" applyProtection="1">
      <alignment vertical="center"/>
      <protection locked="0"/>
    </xf>
    <xf numFmtId="0" fontId="1" fillId="3" borderId="0" xfId="0" applyFont="1" applyFill="1" applyBorder="1" applyAlignment="1" applyProtection="1">
      <alignment vertical="center"/>
      <protection locked="0"/>
    </xf>
    <xf numFmtId="0" fontId="1" fillId="3" borderId="3" xfId="0" applyFont="1" applyFill="1" applyBorder="1" applyAlignment="1" applyProtection="1">
      <alignment vertical="center"/>
      <protection locked="0"/>
    </xf>
    <xf numFmtId="0" fontId="1" fillId="3" borderId="4" xfId="0" applyFont="1" applyFill="1" applyBorder="1" applyAlignment="1" applyProtection="1">
      <alignment vertical="center"/>
      <protection locked="0"/>
    </xf>
    <xf numFmtId="0" fontId="1" fillId="3" borderId="5" xfId="0" applyFont="1" applyFill="1" applyBorder="1" applyAlignment="1" applyProtection="1">
      <alignment vertical="center"/>
      <protection locked="0"/>
    </xf>
    <xf numFmtId="0" fontId="1" fillId="3" borderId="6" xfId="0" applyFont="1" applyFill="1" applyBorder="1" applyAlignment="1" applyProtection="1">
      <alignment vertical="center"/>
      <protection locked="0"/>
    </xf>
    <xf numFmtId="0" fontId="1" fillId="3" borderId="7" xfId="0" applyFont="1" applyFill="1" applyBorder="1" applyAlignment="1" applyProtection="1">
      <alignment vertical="center"/>
      <protection locked="0"/>
    </xf>
    <xf numFmtId="0" fontId="1" fillId="3" borderId="8" xfId="0" applyFont="1" applyFill="1" applyBorder="1" applyAlignment="1" applyProtection="1">
      <alignment vertical="center"/>
      <protection locked="0"/>
    </xf>
    <xf numFmtId="0" fontId="1" fillId="3" borderId="9" xfId="0" applyFont="1" applyFill="1" applyBorder="1" applyAlignment="1" applyProtection="1">
      <alignment vertical="center"/>
      <protection locked="0"/>
    </xf>
    <xf numFmtId="0" fontId="1" fillId="3" borderId="10" xfId="0" applyFont="1" applyFill="1" applyBorder="1" applyAlignment="1" applyProtection="1">
      <alignment vertical="center"/>
      <protection locked="0"/>
    </xf>
    <xf numFmtId="0" fontId="1" fillId="3" borderId="11" xfId="0" applyFont="1" applyFill="1" applyBorder="1" applyAlignment="1" applyProtection="1">
      <alignment vertical="center"/>
      <protection locked="0"/>
    </xf>
    <xf numFmtId="0" fontId="1" fillId="3" borderId="12" xfId="0" applyFont="1" applyFill="1" applyBorder="1" applyAlignment="1" applyProtection="1">
      <alignment vertical="center"/>
      <protection locked="0"/>
    </xf>
    <xf numFmtId="0" fontId="1" fillId="3" borderId="13" xfId="0" applyFont="1" applyFill="1" applyBorder="1" applyAlignment="1" applyProtection="1">
      <alignment vertical="center"/>
      <protection locked="0"/>
    </xf>
    <xf numFmtId="0" fontId="1" fillId="3" borderId="13" xfId="0" applyFont="1" applyFill="1" applyBorder="1" applyAlignment="1" applyProtection="1">
      <alignment horizontal="center" vertical="center"/>
      <protection locked="0"/>
    </xf>
    <xf numFmtId="0" fontId="1" fillId="3" borderId="14" xfId="0" applyFont="1" applyFill="1" applyBorder="1" applyAlignment="1" applyProtection="1">
      <alignment vertical="center"/>
      <protection locked="0"/>
    </xf>
    <xf numFmtId="0" fontId="1" fillId="3" borderId="15" xfId="0" applyFont="1" applyFill="1" applyBorder="1" applyAlignment="1" applyProtection="1">
      <alignment vertical="center"/>
      <protection locked="0"/>
    </xf>
    <xf numFmtId="0" fontId="1" fillId="3" borderId="16" xfId="0" applyFont="1" applyFill="1" applyBorder="1" applyAlignment="1" applyProtection="1">
      <alignment vertical="center"/>
      <protection locked="0"/>
    </xf>
    <xf numFmtId="0" fontId="25" fillId="3" borderId="0" xfId="0" applyFont="1" applyFill="1" applyAlignment="1" applyProtection="1">
      <alignment vertical="center"/>
      <protection locked="0"/>
    </xf>
    <xf numFmtId="0" fontId="25" fillId="3" borderId="17" xfId="0" applyFont="1" applyFill="1" applyBorder="1" applyAlignment="1" applyProtection="1">
      <alignment vertical="center"/>
      <protection locked="0"/>
    </xf>
    <xf numFmtId="0" fontId="25" fillId="3" borderId="4" xfId="0" applyFont="1" applyFill="1" applyBorder="1" applyAlignment="1" applyProtection="1">
      <alignment vertical="center"/>
      <protection locked="0"/>
    </xf>
    <xf numFmtId="0" fontId="25" fillId="3" borderId="4" xfId="0" applyFont="1" applyFill="1" applyBorder="1" applyAlignment="1" applyProtection="1">
      <alignment horizontal="center" vertical="center"/>
      <protection locked="0"/>
    </xf>
    <xf numFmtId="0" fontId="25" fillId="3" borderId="18" xfId="0" applyFont="1" applyFill="1" applyBorder="1" applyAlignment="1" applyProtection="1">
      <alignment vertical="center"/>
      <protection locked="0"/>
    </xf>
    <xf numFmtId="0" fontId="24" fillId="3" borderId="0" xfId="0" applyFont="1" applyFill="1" applyAlignment="1" applyProtection="1">
      <alignment horizontal="left" vertical="center"/>
      <protection locked="0"/>
    </xf>
    <xf numFmtId="0" fontId="11" fillId="3" borderId="0" xfId="0" applyFont="1" applyFill="1" applyBorder="1" applyAlignment="1" applyProtection="1">
      <alignment vertical="center"/>
      <protection locked="0"/>
    </xf>
    <xf numFmtId="0" fontId="2" fillId="0" borderId="1" xfId="0" applyFont="1" applyBorder="1" applyAlignment="1">
      <alignment horizontal="left" vertical="center"/>
    </xf>
    <xf numFmtId="0" fontId="21" fillId="3" borderId="0" xfId="0" applyFont="1" applyFill="1" applyBorder="1" applyAlignment="1" applyProtection="1">
      <alignment vertical="center"/>
    </xf>
    <xf numFmtId="0" fontId="21" fillId="3" borderId="0" xfId="0" applyFont="1" applyFill="1" applyBorder="1" applyAlignment="1" applyProtection="1">
      <alignment horizontal="left" vertical="center"/>
    </xf>
    <xf numFmtId="0" fontId="21" fillId="3" borderId="0" xfId="0" applyFont="1" applyFill="1" applyBorder="1" applyAlignment="1" applyProtection="1">
      <alignment horizontal="center" vertical="center"/>
    </xf>
    <xf numFmtId="0" fontId="18" fillId="0" borderId="0" xfId="9" applyFont="1" applyBorder="1" applyAlignment="1">
      <alignment horizontal="left" vertical="center" indent="1"/>
    </xf>
    <xf numFmtId="0" fontId="2" fillId="0" borderId="0" xfId="0" applyFont="1" applyAlignment="1">
      <alignment horizontal="center" vertical="center"/>
    </xf>
    <xf numFmtId="0" fontId="2" fillId="0" borderId="1" xfId="0" applyFont="1" applyBorder="1" applyAlignment="1">
      <alignment horizontal="center" vertical="center"/>
    </xf>
    <xf numFmtId="0" fontId="36" fillId="2" borderId="1" xfId="0" applyFont="1" applyFill="1" applyBorder="1" applyAlignment="1">
      <alignment horizontal="left" vertical="center"/>
    </xf>
    <xf numFmtId="0" fontId="21" fillId="3" borderId="19" xfId="0" applyFont="1" applyFill="1" applyBorder="1" applyAlignment="1" applyProtection="1">
      <alignment horizontal="left" vertical="center"/>
    </xf>
    <xf numFmtId="0" fontId="1" fillId="3" borderId="19" xfId="0" applyFont="1" applyFill="1" applyBorder="1" applyAlignment="1" applyProtection="1">
      <alignment vertical="center"/>
      <protection locked="0"/>
    </xf>
    <xf numFmtId="0" fontId="1" fillId="3" borderId="20" xfId="0" applyFont="1" applyFill="1" applyBorder="1" applyAlignment="1" applyProtection="1">
      <alignment vertical="center"/>
      <protection locked="0"/>
    </xf>
    <xf numFmtId="0" fontId="1" fillId="3" borderId="21" xfId="0" applyFont="1" applyFill="1" applyBorder="1" applyAlignment="1" applyProtection="1">
      <alignment vertical="center"/>
      <protection locked="0"/>
    </xf>
    <xf numFmtId="0" fontId="1" fillId="3" borderId="22" xfId="0" applyFont="1" applyFill="1" applyBorder="1" applyAlignment="1" applyProtection="1">
      <alignment vertical="center"/>
      <protection locked="0"/>
    </xf>
    <xf numFmtId="0" fontId="2" fillId="0" borderId="0" xfId="0" applyFont="1" applyBorder="1" applyAlignment="1">
      <alignment horizontal="left" vertical="center"/>
    </xf>
    <xf numFmtId="0" fontId="35" fillId="6" borderId="1" xfId="0" applyFont="1" applyFill="1" applyBorder="1" applyAlignment="1">
      <alignment horizontal="left" vertical="center"/>
    </xf>
    <xf numFmtId="0" fontId="18" fillId="7" borderId="1" xfId="9" applyFont="1" applyFill="1" applyBorder="1" applyAlignment="1">
      <alignment horizontal="left" vertical="center"/>
    </xf>
    <xf numFmtId="0" fontId="17" fillId="0" borderId="1" xfId="9" applyFont="1" applyBorder="1" applyAlignment="1">
      <alignment horizontal="left" vertical="center"/>
    </xf>
    <xf numFmtId="0" fontId="2" fillId="0" borderId="23" xfId="0" applyFont="1" applyBorder="1" applyAlignment="1">
      <alignment horizontal="left" vertical="center"/>
    </xf>
    <xf numFmtId="0" fontId="34" fillId="0" borderId="0" xfId="9" applyFont="1" applyAlignment="1">
      <alignment horizontal="left" vertical="center"/>
    </xf>
    <xf numFmtId="0" fontId="18" fillId="0" borderId="0" xfId="9" applyFont="1" applyAlignment="1">
      <alignment horizontal="left" vertical="center"/>
    </xf>
    <xf numFmtId="0" fontId="17" fillId="0" borderId="0" xfId="9" applyFont="1" applyAlignment="1">
      <alignment horizontal="left" vertical="center"/>
    </xf>
    <xf numFmtId="0" fontId="31" fillId="2" borderId="24" xfId="0" applyFont="1" applyFill="1" applyBorder="1" applyAlignment="1">
      <alignment horizontal="left" vertical="center"/>
    </xf>
    <xf numFmtId="0" fontId="31" fillId="2" borderId="23" xfId="0" applyFont="1" applyFill="1" applyBorder="1" applyAlignment="1">
      <alignment horizontal="left" vertical="center"/>
    </xf>
    <xf numFmtId="0" fontId="17" fillId="0" borderId="0" xfId="9" applyFont="1" applyBorder="1" applyAlignment="1">
      <alignment horizontal="left" vertical="center"/>
    </xf>
    <xf numFmtId="0" fontId="31" fillId="2" borderId="25" xfId="0" applyFont="1" applyFill="1" applyBorder="1" applyAlignment="1">
      <alignment vertical="center"/>
    </xf>
    <xf numFmtId="0" fontId="18" fillId="7" borderId="1" xfId="9" applyFont="1" applyFill="1" applyBorder="1" applyAlignment="1">
      <alignment vertical="center"/>
    </xf>
    <xf numFmtId="0" fontId="18" fillId="0" borderId="1" xfId="9" applyFont="1" applyBorder="1" applyAlignment="1">
      <alignment vertical="center"/>
    </xf>
    <xf numFmtId="0" fontId="2" fillId="0" borderId="26" xfId="0" applyFont="1" applyBorder="1" applyAlignment="1">
      <alignment horizontal="left" vertical="center"/>
    </xf>
    <xf numFmtId="0" fontId="32" fillId="2" borderId="27" xfId="0" applyFont="1" applyFill="1" applyBorder="1" applyAlignment="1">
      <alignment vertical="center"/>
    </xf>
    <xf numFmtId="0" fontId="21" fillId="3" borderId="28" xfId="0" applyFont="1" applyFill="1" applyBorder="1" applyAlignment="1" applyProtection="1">
      <alignment horizontal="left" vertical="center"/>
    </xf>
    <xf numFmtId="0" fontId="38" fillId="3" borderId="0" xfId="0" applyFont="1" applyFill="1" applyBorder="1" applyAlignment="1" applyProtection="1">
      <alignment vertical="center"/>
      <protection locked="0"/>
    </xf>
    <xf numFmtId="0" fontId="18" fillId="0" borderId="0" xfId="0" applyFont="1" applyAlignment="1">
      <alignment horizontal="left" vertical="center"/>
    </xf>
    <xf numFmtId="0" fontId="18" fillId="0" borderId="0" xfId="0" applyFont="1" applyAlignment="1">
      <alignment vertical="center"/>
    </xf>
    <xf numFmtId="0" fontId="17" fillId="0" borderId="0" xfId="0" applyNumberFormat="1" applyFont="1" applyAlignment="1">
      <alignment vertical="center"/>
    </xf>
    <xf numFmtId="0" fontId="17" fillId="0" borderId="0" xfId="0" applyNumberFormat="1" applyFont="1" applyAlignment="1">
      <alignment horizontal="left" vertical="center"/>
    </xf>
    <xf numFmtId="0" fontId="17" fillId="0" borderId="0" xfId="0" applyNumberFormat="1" applyFont="1" applyBorder="1" applyAlignment="1">
      <alignment vertical="center"/>
    </xf>
    <xf numFmtId="38" fontId="17" fillId="7" borderId="29" xfId="2" applyNumberFormat="1" applyFont="1" applyFill="1" applyBorder="1" applyAlignment="1" applyProtection="1">
      <alignment horizontal="right" vertical="center"/>
    </xf>
    <xf numFmtId="38" fontId="14" fillId="8" borderId="29" xfId="2" applyNumberFormat="1" applyFont="1" applyFill="1" applyBorder="1" applyAlignment="1" applyProtection="1">
      <alignment horizontal="right" vertical="center"/>
    </xf>
    <xf numFmtId="38" fontId="19" fillId="2" borderId="30" xfId="2" applyNumberFormat="1" applyFont="1" applyFill="1" applyBorder="1" applyAlignment="1" applyProtection="1">
      <alignment horizontal="right" vertical="center"/>
    </xf>
    <xf numFmtId="38" fontId="19" fillId="2" borderId="31" xfId="2" applyNumberFormat="1" applyFont="1" applyFill="1" applyBorder="1" applyAlignment="1" applyProtection="1">
      <alignment horizontal="right" vertical="center"/>
    </xf>
    <xf numFmtId="38" fontId="14" fillId="7" borderId="29" xfId="2" applyNumberFormat="1" applyFont="1" applyFill="1" applyBorder="1" applyAlignment="1" applyProtection="1">
      <alignment horizontal="right" vertical="center"/>
    </xf>
    <xf numFmtId="38" fontId="18" fillId="7" borderId="29" xfId="2" applyNumberFormat="1" applyFont="1" applyFill="1" applyBorder="1" applyAlignment="1" applyProtection="1">
      <alignment horizontal="right" vertical="center"/>
    </xf>
    <xf numFmtId="38" fontId="19" fillId="2" borderId="30" xfId="0" applyNumberFormat="1" applyFont="1" applyFill="1" applyBorder="1" applyAlignment="1" applyProtection="1">
      <alignment horizontal="right" vertical="center"/>
    </xf>
    <xf numFmtId="38" fontId="19" fillId="2" borderId="31" xfId="0" applyNumberFormat="1" applyFont="1" applyFill="1" applyBorder="1" applyAlignment="1" applyProtection="1">
      <alignment horizontal="right" vertical="center"/>
    </xf>
    <xf numFmtId="0" fontId="15" fillId="0" borderId="0" xfId="0" applyFont="1" applyAlignment="1">
      <alignment horizontal="left" vertical="center"/>
    </xf>
    <xf numFmtId="49" fontId="16" fillId="0" borderId="0" xfId="0" applyNumberFormat="1" applyFont="1" applyAlignment="1">
      <alignment horizontal="left" vertical="center"/>
    </xf>
    <xf numFmtId="0" fontId="16" fillId="0" borderId="0" xfId="0" applyFont="1" applyAlignment="1">
      <alignment vertical="center"/>
    </xf>
    <xf numFmtId="0" fontId="43" fillId="0" borderId="0" xfId="0" applyFont="1" applyAlignment="1">
      <alignment vertical="center"/>
    </xf>
    <xf numFmtId="0" fontId="14" fillId="7" borderId="32" xfId="0" applyFont="1" applyFill="1" applyBorder="1" applyAlignment="1">
      <alignment horizontal="left" vertical="center"/>
    </xf>
    <xf numFmtId="0" fontId="14" fillId="7" borderId="33" xfId="0" applyFont="1" applyFill="1" applyBorder="1" applyAlignment="1">
      <alignment horizontal="left" vertical="center"/>
    </xf>
    <xf numFmtId="0" fontId="14" fillId="7" borderId="34" xfId="0" applyFont="1" applyFill="1" applyBorder="1" applyAlignment="1">
      <alignment horizontal="left" vertical="center"/>
    </xf>
    <xf numFmtId="0" fontId="14" fillId="7" borderId="29" xfId="0" applyFont="1" applyFill="1" applyBorder="1" applyAlignment="1">
      <alignment vertical="center"/>
    </xf>
    <xf numFmtId="0" fontId="13" fillId="7" borderId="32" xfId="0" applyFont="1" applyFill="1" applyBorder="1" applyAlignment="1">
      <alignment horizontal="left" vertical="center"/>
    </xf>
    <xf numFmtId="0" fontId="13" fillId="7" borderId="33" xfId="0" applyFont="1" applyFill="1" applyBorder="1" applyAlignment="1">
      <alignment horizontal="left" vertical="center"/>
    </xf>
    <xf numFmtId="0" fontId="13" fillId="7" borderId="34" xfId="0" applyFont="1" applyFill="1" applyBorder="1" applyAlignment="1">
      <alignment horizontal="left" vertical="center"/>
    </xf>
    <xf numFmtId="38" fontId="13" fillId="7" borderId="29" xfId="0" applyNumberFormat="1" applyFont="1" applyFill="1" applyBorder="1" applyAlignment="1">
      <alignment horizontal="right" vertical="center"/>
    </xf>
    <xf numFmtId="38" fontId="14" fillId="8" borderId="29" xfId="0" applyNumberFormat="1" applyFont="1" applyFill="1" applyBorder="1" applyAlignment="1">
      <alignment horizontal="right" vertical="center"/>
    </xf>
    <xf numFmtId="38" fontId="13" fillId="7" borderId="29" xfId="0" applyNumberFormat="1" applyFont="1" applyFill="1" applyBorder="1" applyAlignment="1">
      <alignment vertical="center"/>
    </xf>
    <xf numFmtId="0" fontId="42" fillId="2" borderId="35" xfId="0" applyFont="1" applyFill="1" applyBorder="1" applyAlignment="1">
      <alignment horizontal="center" vertical="center"/>
    </xf>
    <xf numFmtId="0" fontId="42" fillId="2" borderId="36" xfId="0" applyFont="1" applyFill="1" applyBorder="1" applyAlignment="1">
      <alignment horizontal="center" vertical="center"/>
    </xf>
    <xf numFmtId="0" fontId="42" fillId="2" borderId="37" xfId="0" applyFont="1" applyFill="1" applyBorder="1" applyAlignment="1">
      <alignment horizontal="center" vertical="center"/>
    </xf>
    <xf numFmtId="0" fontId="42" fillId="2" borderId="38" xfId="0" applyFont="1" applyFill="1" applyBorder="1" applyAlignment="1">
      <alignment horizontal="center" vertical="center"/>
    </xf>
    <xf numFmtId="0" fontId="23" fillId="0" borderId="0" xfId="0" applyFont="1" applyAlignment="1">
      <alignment horizontal="left" vertical="center"/>
    </xf>
    <xf numFmtId="0" fontId="48" fillId="0" borderId="0" xfId="0" applyFont="1" applyFill="1" applyBorder="1" applyAlignment="1">
      <alignment horizontal="center" vertical="center"/>
    </xf>
    <xf numFmtId="49" fontId="48" fillId="0" borderId="0" xfId="0" applyNumberFormat="1" applyFont="1" applyFill="1" applyBorder="1" applyAlignment="1">
      <alignment horizontal="left" vertical="center"/>
    </xf>
    <xf numFmtId="0" fontId="19" fillId="2" borderId="1" xfId="0" applyFont="1" applyFill="1" applyBorder="1" applyAlignment="1">
      <alignment horizontal="center" vertical="center" wrapText="1"/>
    </xf>
    <xf numFmtId="49" fontId="19" fillId="2" borderId="1" xfId="0" applyNumberFormat="1" applyFont="1" applyFill="1" applyBorder="1" applyAlignment="1">
      <alignment horizontal="center" vertical="center" wrapText="1"/>
    </xf>
    <xf numFmtId="1" fontId="49" fillId="9" borderId="1" xfId="0" applyNumberFormat="1" applyFont="1" applyFill="1" applyBorder="1" applyAlignment="1">
      <alignment horizontal="center" vertical="center"/>
    </xf>
    <xf numFmtId="1" fontId="19" fillId="2" borderId="1" xfId="0" applyNumberFormat="1" applyFont="1" applyFill="1" applyBorder="1" applyAlignment="1">
      <alignment horizontal="center" vertical="center"/>
    </xf>
    <xf numFmtId="0" fontId="19" fillId="2" borderId="1" xfId="0" applyNumberFormat="1" applyFont="1" applyFill="1" applyBorder="1" applyAlignment="1">
      <alignment horizontal="left" vertical="center"/>
    </xf>
    <xf numFmtId="1" fontId="13" fillId="0" borderId="1" xfId="0" applyNumberFormat="1" applyFont="1" applyFill="1" applyBorder="1" applyAlignment="1">
      <alignment horizontal="center" vertical="center"/>
    </xf>
    <xf numFmtId="49" fontId="13" fillId="0" borderId="1" xfId="0" applyNumberFormat="1" applyFont="1" applyFill="1" applyBorder="1" applyAlignment="1">
      <alignment horizontal="left" vertical="center"/>
    </xf>
    <xf numFmtId="0" fontId="47" fillId="0" borderId="0" xfId="0" applyFont="1" applyFill="1" applyBorder="1" applyAlignment="1">
      <alignment vertical="center"/>
    </xf>
    <xf numFmtId="0" fontId="16" fillId="0" borderId="0" xfId="0" applyFont="1" applyAlignment="1">
      <alignment horizontal="right" vertical="center" indent="1"/>
    </xf>
    <xf numFmtId="0" fontId="18" fillId="0" borderId="0" xfId="0" applyFont="1" applyAlignment="1">
      <alignment horizontal="right" vertical="center" indent="1"/>
    </xf>
    <xf numFmtId="0" fontId="51" fillId="0" borderId="0" xfId="0" applyFont="1" applyAlignment="1">
      <alignment horizontal="left" vertical="center"/>
    </xf>
    <xf numFmtId="0" fontId="52" fillId="0" borderId="0" xfId="0" applyFont="1" applyAlignment="1">
      <alignment horizontal="right" vertical="center"/>
    </xf>
    <xf numFmtId="0" fontId="52" fillId="0" borderId="0" xfId="0" applyFont="1" applyAlignment="1">
      <alignment horizontal="center" vertical="center"/>
    </xf>
    <xf numFmtId="0" fontId="14" fillId="10" borderId="32" xfId="0" applyFont="1" applyFill="1" applyBorder="1" applyAlignment="1">
      <alignment horizontal="left" vertical="center"/>
    </xf>
    <xf numFmtId="0" fontId="14" fillId="10" borderId="33" xfId="0" applyFont="1" applyFill="1" applyBorder="1" applyAlignment="1">
      <alignment horizontal="left" vertical="center"/>
    </xf>
    <xf numFmtId="0" fontId="14" fillId="10" borderId="34" xfId="0" applyFont="1" applyFill="1" applyBorder="1" applyAlignment="1">
      <alignment horizontal="left" vertical="center"/>
    </xf>
    <xf numFmtId="0" fontId="14" fillId="10" borderId="29" xfId="0" applyFont="1" applyFill="1" applyBorder="1" applyAlignment="1">
      <alignment vertical="center"/>
    </xf>
    <xf numFmtId="0" fontId="13" fillId="10" borderId="32" xfId="0" applyFont="1" applyFill="1" applyBorder="1" applyAlignment="1">
      <alignment horizontal="left" vertical="center"/>
    </xf>
    <xf numFmtId="0" fontId="13" fillId="10" borderId="33" xfId="0" applyFont="1" applyFill="1" applyBorder="1" applyAlignment="1">
      <alignment horizontal="left" vertical="center"/>
    </xf>
    <xf numFmtId="0" fontId="13" fillId="10" borderId="34" xfId="0" applyFont="1" applyFill="1" applyBorder="1" applyAlignment="1">
      <alignment horizontal="left" vertical="center"/>
    </xf>
    <xf numFmtId="38" fontId="13" fillId="10" borderId="29" xfId="0" applyNumberFormat="1" applyFont="1" applyFill="1" applyBorder="1" applyAlignment="1">
      <alignment horizontal="right" vertical="center"/>
    </xf>
    <xf numFmtId="38" fontId="13" fillId="10" borderId="29" xfId="0" applyNumberFormat="1" applyFont="1" applyFill="1" applyBorder="1" applyAlignment="1">
      <alignment vertical="center"/>
    </xf>
    <xf numFmtId="38" fontId="17" fillId="10" borderId="29" xfId="2" applyNumberFormat="1" applyFont="1" applyFill="1" applyBorder="1" applyAlignment="1" applyProtection="1">
      <alignment horizontal="right" vertical="center"/>
    </xf>
    <xf numFmtId="38" fontId="14" fillId="10" borderId="29" xfId="2" applyNumberFormat="1" applyFont="1" applyFill="1" applyBorder="1" applyAlignment="1" applyProtection="1">
      <alignment horizontal="right" vertical="center"/>
    </xf>
    <xf numFmtId="38" fontId="18" fillId="10" borderId="29" xfId="2" applyNumberFormat="1" applyFont="1" applyFill="1" applyBorder="1" applyAlignment="1" applyProtection="1">
      <alignment horizontal="right" vertical="center"/>
    </xf>
    <xf numFmtId="0" fontId="21" fillId="3" borderId="0" xfId="0" quotePrefix="1" applyFont="1" applyFill="1" applyBorder="1" applyAlignment="1" applyProtection="1">
      <alignment horizontal="left" vertical="center"/>
    </xf>
    <xf numFmtId="0" fontId="42" fillId="2" borderId="39" xfId="0" applyFont="1" applyFill="1" applyBorder="1" applyAlignment="1">
      <alignment vertical="center" wrapText="1"/>
    </xf>
    <xf numFmtId="0" fontId="42" fillId="2" borderId="40" xfId="0" applyFont="1" applyFill="1" applyBorder="1" applyAlignment="1">
      <alignment vertical="center" wrapText="1"/>
    </xf>
    <xf numFmtId="0" fontId="42" fillId="2" borderId="41" xfId="0" applyFont="1" applyFill="1" applyBorder="1" applyAlignment="1">
      <alignment vertical="center" wrapText="1"/>
    </xf>
    <xf numFmtId="0" fontId="42" fillId="2" borderId="42" xfId="0" applyFont="1" applyFill="1" applyBorder="1" applyAlignment="1">
      <alignment vertical="center" wrapText="1"/>
    </xf>
    <xf numFmtId="0" fontId="42" fillId="2" borderId="43" xfId="0" applyFont="1" applyFill="1" applyBorder="1" applyAlignment="1">
      <alignment vertical="center" wrapText="1"/>
    </xf>
    <xf numFmtId="0" fontId="42" fillId="2" borderId="44" xfId="0" applyFont="1" applyFill="1" applyBorder="1" applyAlignment="1">
      <alignment vertical="center" wrapText="1"/>
    </xf>
    <xf numFmtId="0" fontId="45" fillId="7" borderId="45" xfId="0" applyNumberFormat="1" applyFont="1" applyFill="1" applyBorder="1" applyAlignment="1">
      <alignment vertical="center"/>
    </xf>
    <xf numFmtId="0" fontId="45" fillId="7" borderId="46" xfId="0" applyNumberFormat="1" applyFont="1" applyFill="1" applyBorder="1" applyAlignment="1">
      <alignment vertical="center"/>
    </xf>
    <xf numFmtId="0" fontId="44" fillId="2" borderId="45" xfId="0" applyNumberFormat="1" applyFont="1" applyFill="1" applyBorder="1" applyAlignment="1">
      <alignment vertical="center"/>
    </xf>
    <xf numFmtId="0" fontId="44" fillId="2" borderId="46" xfId="0" applyNumberFormat="1" applyFont="1" applyFill="1" applyBorder="1" applyAlignment="1">
      <alignment vertical="center"/>
    </xf>
    <xf numFmtId="38" fontId="14" fillId="9" borderId="29" xfId="0" applyNumberFormat="1" applyFont="1" applyFill="1" applyBorder="1" applyAlignment="1">
      <alignment horizontal="right" vertical="center"/>
    </xf>
    <xf numFmtId="38" fontId="14" fillId="9" borderId="29" xfId="2" applyNumberFormat="1" applyFont="1" applyFill="1" applyBorder="1" applyAlignment="1" applyProtection="1">
      <alignment horizontal="right" vertical="center"/>
    </xf>
    <xf numFmtId="0" fontId="6" fillId="3" borderId="0" xfId="0" applyFont="1" applyFill="1" applyAlignment="1" applyProtection="1">
      <alignment vertical="center"/>
      <protection locked="0"/>
    </xf>
    <xf numFmtId="0" fontId="31" fillId="6" borderId="1" xfId="0" applyFont="1" applyFill="1" applyBorder="1" applyAlignment="1">
      <alignment horizontal="left" vertical="center"/>
    </xf>
    <xf numFmtId="1" fontId="19" fillId="2" borderId="47" xfId="9" applyNumberFormat="1" applyFont="1" applyFill="1" applyBorder="1" applyAlignment="1">
      <alignment horizontal="center" vertical="center"/>
    </xf>
    <xf numFmtId="1" fontId="19" fillId="2" borderId="30" xfId="9" applyNumberFormat="1" applyFont="1" applyFill="1" applyBorder="1" applyAlignment="1">
      <alignment horizontal="center" vertical="center"/>
    </xf>
    <xf numFmtId="0" fontId="19" fillId="2" borderId="30" xfId="9" applyNumberFormat="1" applyFont="1" applyFill="1" applyBorder="1" applyAlignment="1">
      <alignment horizontal="center" vertical="center"/>
    </xf>
    <xf numFmtId="0" fontId="6" fillId="0" borderId="0" xfId="0" applyFont="1" applyAlignment="1">
      <alignment horizontal="center" vertical="center"/>
    </xf>
    <xf numFmtId="1" fontId="14" fillId="7" borderId="29" xfId="9" applyNumberFormat="1" applyFont="1" applyFill="1" applyBorder="1" applyAlignment="1">
      <alignment horizontal="center" vertical="center"/>
    </xf>
    <xf numFmtId="0" fontId="14" fillId="7" borderId="29" xfId="9" applyNumberFormat="1" applyFont="1" applyFill="1" applyBorder="1" applyAlignment="1">
      <alignment horizontal="left" vertical="center"/>
    </xf>
    <xf numFmtId="0" fontId="6" fillId="0" borderId="0" xfId="0" applyFont="1" applyAlignment="1">
      <alignment vertical="center"/>
    </xf>
    <xf numFmtId="1" fontId="13" fillId="0" borderId="29" xfId="9" applyNumberFormat="1" applyFont="1" applyFill="1" applyBorder="1" applyAlignment="1">
      <alignment horizontal="center" vertical="center"/>
    </xf>
    <xf numFmtId="49" fontId="13" fillId="0" borderId="29" xfId="9" applyNumberFormat="1" applyFont="1" applyFill="1" applyBorder="1" applyAlignment="1">
      <alignment horizontal="left" vertical="center"/>
    </xf>
    <xf numFmtId="1" fontId="14" fillId="0" borderId="0" xfId="9" applyNumberFormat="1" applyFont="1" applyFill="1" applyBorder="1" applyAlignment="1">
      <alignment horizontal="center" vertical="center"/>
    </xf>
    <xf numFmtId="49" fontId="14" fillId="0" borderId="0" xfId="9" applyNumberFormat="1" applyFont="1" applyFill="1" applyBorder="1" applyAlignment="1">
      <alignment horizontal="left" vertical="center"/>
    </xf>
    <xf numFmtId="175" fontId="2" fillId="0" borderId="0" xfId="0" applyNumberFormat="1" applyFont="1" applyAlignment="1">
      <alignment horizontal="center" vertical="center"/>
    </xf>
    <xf numFmtId="175" fontId="19" fillId="2" borderId="31" xfId="5" applyNumberFormat="1" applyFont="1" applyFill="1" applyBorder="1" applyAlignment="1">
      <alignment horizontal="center" vertical="center"/>
    </xf>
    <xf numFmtId="175" fontId="14" fillId="7" borderId="29" xfId="5" applyNumberFormat="1" applyFont="1" applyFill="1" applyBorder="1" applyAlignment="1">
      <alignment horizontal="center" vertical="center"/>
    </xf>
    <xf numFmtId="175" fontId="13" fillId="0" borderId="29" xfId="5" applyNumberFormat="1" applyFont="1" applyFill="1" applyBorder="1" applyAlignment="1">
      <alignment horizontal="center" vertical="center"/>
    </xf>
    <xf numFmtId="175" fontId="6" fillId="0" borderId="0" xfId="0" applyNumberFormat="1" applyFont="1" applyAlignment="1">
      <alignment horizontal="center" vertical="center"/>
    </xf>
    <xf numFmtId="175" fontId="14" fillId="0" borderId="0" xfId="5" applyNumberFormat="1" applyFont="1" applyFill="1" applyBorder="1" applyAlignment="1">
      <alignment horizontal="center" vertical="center"/>
    </xf>
    <xf numFmtId="49" fontId="49" fillId="9" borderId="24" xfId="0" applyNumberFormat="1" applyFont="1" applyFill="1" applyBorder="1" applyAlignment="1">
      <alignment horizontal="left" vertical="center"/>
    </xf>
    <xf numFmtId="0" fontId="19" fillId="2" borderId="48" xfId="0" applyNumberFormat="1" applyFont="1" applyFill="1" applyBorder="1" applyAlignment="1">
      <alignment horizontal="left" vertical="center"/>
    </xf>
    <xf numFmtId="49" fontId="13" fillId="0" borderId="1" xfId="9" applyNumberFormat="1" applyFont="1" applyFill="1" applyBorder="1" applyAlignment="1">
      <alignment horizontal="left" vertical="center"/>
    </xf>
    <xf numFmtId="1" fontId="54" fillId="0" borderId="25" xfId="0" applyNumberFormat="1" applyFont="1" applyFill="1" applyBorder="1" applyAlignment="1">
      <alignment horizontal="center" vertical="center"/>
    </xf>
    <xf numFmtId="175" fontId="19" fillId="2" borderId="1" xfId="0" applyNumberFormat="1" applyFont="1" applyFill="1" applyBorder="1" applyAlignment="1">
      <alignment horizontal="center" vertical="center" wrapText="1"/>
    </xf>
    <xf numFmtId="175" fontId="47" fillId="0" borderId="0" xfId="0" applyNumberFormat="1" applyFont="1" applyFill="1" applyBorder="1" applyAlignment="1">
      <alignment horizontal="center" vertical="center"/>
    </xf>
    <xf numFmtId="175" fontId="48" fillId="0" borderId="0" xfId="0" applyNumberFormat="1" applyFont="1" applyFill="1" applyBorder="1" applyAlignment="1">
      <alignment horizontal="center" vertical="center"/>
    </xf>
    <xf numFmtId="175" fontId="49" fillId="9" borderId="1" xfId="1" applyNumberFormat="1" applyFont="1" applyFill="1" applyBorder="1" applyAlignment="1">
      <alignment horizontal="center" vertical="center"/>
    </xf>
    <xf numFmtId="175" fontId="19" fillId="2" borderId="1" xfId="1" applyNumberFormat="1" applyFont="1" applyFill="1" applyBorder="1" applyAlignment="1">
      <alignment horizontal="center" vertical="center"/>
    </xf>
    <xf numFmtId="175" fontId="13" fillId="0" borderId="1" xfId="1" applyNumberFormat="1" applyFont="1" applyFill="1" applyBorder="1" applyAlignment="1">
      <alignment horizontal="center" vertical="center"/>
    </xf>
    <xf numFmtId="175" fontId="54" fillId="0" borderId="46" xfId="1" applyNumberFormat="1" applyFont="1" applyFill="1" applyBorder="1" applyAlignment="1">
      <alignment horizontal="center" vertical="center"/>
    </xf>
    <xf numFmtId="2" fontId="46" fillId="9" borderId="1" xfId="0" applyNumberFormat="1" applyFont="1" applyFill="1" applyBorder="1" applyAlignment="1">
      <alignment horizontal="center" vertical="center"/>
    </xf>
    <xf numFmtId="2" fontId="50" fillId="0" borderId="0" xfId="0" applyNumberFormat="1" applyFont="1" applyAlignment="1">
      <alignment horizontal="right" vertical="center"/>
    </xf>
    <xf numFmtId="49" fontId="30" fillId="2" borderId="25" xfId="0" applyNumberFormat="1" applyFont="1" applyFill="1" applyBorder="1" applyAlignment="1">
      <alignment vertical="center"/>
    </xf>
    <xf numFmtId="49" fontId="16" fillId="7" borderId="25" xfId="0" applyNumberFormat="1" applyFont="1" applyFill="1" applyBorder="1" applyAlignment="1">
      <alignment vertical="center"/>
    </xf>
    <xf numFmtId="40" fontId="34" fillId="0" borderId="0" xfId="9" applyNumberFormat="1" applyFont="1" applyAlignment="1">
      <alignment horizontal="center" vertical="center"/>
    </xf>
    <xf numFmtId="40" fontId="17" fillId="0" borderId="0" xfId="9" applyNumberFormat="1" applyFont="1" applyAlignment="1">
      <alignment horizontal="center" vertical="center"/>
    </xf>
    <xf numFmtId="40" fontId="19" fillId="2" borderId="1" xfId="9" applyNumberFormat="1" applyFont="1" applyFill="1" applyBorder="1" applyAlignment="1">
      <alignment horizontal="center" vertical="center"/>
    </xf>
    <xf numFmtId="40" fontId="2" fillId="6" borderId="0" xfId="0" applyNumberFormat="1" applyFont="1" applyFill="1" applyAlignment="1">
      <alignment horizontal="center" vertical="center"/>
    </xf>
    <xf numFmtId="40" fontId="18" fillId="7" borderId="1" xfId="9" applyNumberFormat="1" applyFont="1" applyFill="1" applyBorder="1" applyAlignment="1">
      <alignment horizontal="center" vertical="center"/>
    </xf>
    <xf numFmtId="40" fontId="17" fillId="0" borderId="1" xfId="9" applyNumberFormat="1" applyFont="1" applyBorder="1" applyAlignment="1">
      <alignment horizontal="center" vertical="center"/>
    </xf>
    <xf numFmtId="40" fontId="17" fillId="0" borderId="0" xfId="9" applyNumberFormat="1" applyFont="1" applyBorder="1" applyAlignment="1">
      <alignment horizontal="center" vertical="center"/>
    </xf>
    <xf numFmtId="40" fontId="2" fillId="0" borderId="0" xfId="0" applyNumberFormat="1" applyFont="1" applyAlignment="1">
      <alignment horizontal="center" vertical="center"/>
    </xf>
    <xf numFmtId="0" fontId="39" fillId="9" borderId="25" xfId="0" applyFont="1" applyFill="1" applyBorder="1" applyAlignment="1">
      <alignment horizontal="left" vertical="center"/>
    </xf>
    <xf numFmtId="0" fontId="2" fillId="11" borderId="1" xfId="0" applyFont="1" applyFill="1" applyBorder="1" applyAlignment="1">
      <alignment horizontal="left" vertical="center"/>
    </xf>
    <xf numFmtId="0" fontId="2" fillId="10" borderId="1" xfId="0" applyFont="1" applyFill="1" applyBorder="1" applyAlignment="1">
      <alignment horizontal="left" vertical="center"/>
    </xf>
    <xf numFmtId="0" fontId="55" fillId="4" borderId="1" xfId="0" applyFont="1" applyFill="1" applyBorder="1" applyAlignment="1">
      <alignment horizontal="left" vertical="center"/>
    </xf>
    <xf numFmtId="0" fontId="56" fillId="0" borderId="0" xfId="0" quotePrefix="1" applyFont="1" applyAlignment="1">
      <alignment horizontal="left" vertical="center"/>
    </xf>
    <xf numFmtId="0" fontId="2" fillId="3" borderId="1" xfId="0" applyFont="1" applyFill="1" applyBorder="1" applyAlignment="1">
      <alignment horizontal="center" vertical="center"/>
    </xf>
    <xf numFmtId="0" fontId="2" fillId="5" borderId="1" xfId="0" applyFont="1" applyFill="1" applyBorder="1" applyAlignment="1">
      <alignment horizontal="center" vertical="center"/>
    </xf>
    <xf numFmtId="0" fontId="55" fillId="2" borderId="1" xfId="0" applyFont="1" applyFill="1" applyBorder="1" applyAlignment="1">
      <alignment horizontal="center" vertical="center"/>
    </xf>
    <xf numFmtId="0" fontId="6" fillId="3" borderId="2" xfId="0" applyFont="1" applyFill="1" applyBorder="1" applyAlignment="1" applyProtection="1">
      <alignment vertical="center"/>
      <protection locked="0"/>
    </xf>
    <xf numFmtId="0" fontId="6" fillId="3" borderId="3" xfId="0" applyFont="1" applyFill="1" applyBorder="1" applyAlignment="1" applyProtection="1">
      <alignment vertical="center"/>
      <protection locked="0"/>
    </xf>
    <xf numFmtId="0" fontId="41" fillId="10" borderId="0" xfId="0" applyFont="1" applyFill="1" applyBorder="1" applyAlignment="1" applyProtection="1">
      <alignment horizontal="center" vertical="top"/>
      <protection locked="0"/>
    </xf>
    <xf numFmtId="0" fontId="41" fillId="12" borderId="0" xfId="0" applyFont="1" applyFill="1" applyBorder="1" applyAlignment="1" applyProtection="1">
      <alignment horizontal="center" vertical="top"/>
      <protection locked="0"/>
    </xf>
    <xf numFmtId="0" fontId="17" fillId="0" borderId="1" xfId="9" quotePrefix="1" applyFont="1" applyBorder="1" applyAlignment="1">
      <alignment horizontal="left" vertical="center"/>
    </xf>
    <xf numFmtId="0" fontId="15" fillId="3" borderId="0" xfId="0" applyFont="1" applyFill="1" applyBorder="1" applyAlignment="1" applyProtection="1">
      <alignment vertical="center"/>
      <protection locked="0"/>
    </xf>
    <xf numFmtId="0" fontId="58" fillId="3" borderId="2" xfId="0" applyFont="1" applyFill="1" applyBorder="1" applyAlignment="1" applyProtection="1">
      <alignment vertical="center"/>
      <protection locked="0"/>
    </xf>
    <xf numFmtId="0" fontId="58" fillId="3" borderId="3" xfId="0" applyFont="1" applyFill="1" applyBorder="1" applyAlignment="1" applyProtection="1">
      <alignment vertical="center"/>
      <protection locked="0"/>
    </xf>
    <xf numFmtId="0" fontId="58" fillId="3" borderId="0" xfId="0" applyFont="1" applyFill="1" applyAlignment="1" applyProtection="1">
      <alignment vertical="center"/>
      <protection locked="0"/>
    </xf>
    <xf numFmtId="40" fontId="39" fillId="9" borderId="46" xfId="0" applyNumberFormat="1" applyFont="1" applyFill="1" applyBorder="1" applyAlignment="1">
      <alignment horizontal="center" vertical="center"/>
    </xf>
    <xf numFmtId="0" fontId="18" fillId="13" borderId="1" xfId="0" applyFont="1" applyFill="1" applyBorder="1" applyAlignment="1">
      <alignment vertical="center"/>
    </xf>
    <xf numFmtId="0" fontId="14" fillId="0" borderId="1" xfId="0" applyFont="1" applyFill="1" applyBorder="1" applyAlignment="1">
      <alignment horizontal="center" vertical="center"/>
    </xf>
    <xf numFmtId="2" fontId="17" fillId="14" borderId="1" xfId="0" applyNumberFormat="1" applyFont="1" applyFill="1" applyBorder="1" applyAlignment="1">
      <alignment horizontal="center" vertical="center"/>
    </xf>
    <xf numFmtId="0" fontId="17" fillId="14" borderId="1" xfId="0" applyFont="1" applyFill="1" applyBorder="1" applyAlignment="1">
      <alignment vertical="center"/>
    </xf>
    <xf numFmtId="0" fontId="17" fillId="14" borderId="1" xfId="0" applyFont="1" applyFill="1" applyBorder="1" applyAlignment="1">
      <alignment horizontal="center" vertical="center"/>
    </xf>
    <xf numFmtId="0" fontId="18" fillId="0" borderId="1" xfId="0" applyFont="1" applyBorder="1" applyAlignment="1">
      <alignment horizontal="center" vertical="center"/>
    </xf>
    <xf numFmtId="38" fontId="17" fillId="0" borderId="1" xfId="0" applyNumberFormat="1" applyFont="1" applyFill="1" applyBorder="1" applyAlignment="1">
      <alignment horizontal="center" vertical="center"/>
    </xf>
    <xf numFmtId="177" fontId="17" fillId="10" borderId="1" xfId="7" applyNumberFormat="1" applyFont="1" applyFill="1" applyBorder="1" applyAlignment="1">
      <alignment horizontal="center" vertical="center"/>
    </xf>
    <xf numFmtId="38" fontId="17" fillId="0" borderId="1" xfId="0" quotePrefix="1" applyNumberFormat="1" applyFont="1" applyFill="1" applyBorder="1" applyAlignment="1">
      <alignment horizontal="center" vertical="center"/>
    </xf>
    <xf numFmtId="177" fontId="17" fillId="10" borderId="1" xfId="0" applyNumberFormat="1" applyFont="1" applyFill="1" applyBorder="1" applyAlignment="1">
      <alignment horizontal="center" vertical="center"/>
    </xf>
    <xf numFmtId="0" fontId="0" fillId="0" borderId="0" xfId="0" quotePrefix="1" applyFont="1" applyAlignment="1">
      <alignment horizontal="left" vertical="center"/>
    </xf>
    <xf numFmtId="0" fontId="1" fillId="3" borderId="0" xfId="0" quotePrefix="1" applyFont="1" applyFill="1" applyAlignment="1" applyProtection="1">
      <alignment vertical="center"/>
      <protection locked="0"/>
    </xf>
    <xf numFmtId="0" fontId="2" fillId="0" borderId="0" xfId="0" quotePrefix="1" applyFont="1" applyAlignment="1">
      <alignment horizontal="left" vertical="center"/>
    </xf>
    <xf numFmtId="0" fontId="2" fillId="4" borderId="1" xfId="0" applyFont="1" applyFill="1" applyBorder="1" applyAlignment="1">
      <alignment horizontal="center" vertical="center"/>
    </xf>
    <xf numFmtId="0" fontId="22" fillId="3" borderId="0" xfId="0" applyFont="1" applyFill="1" applyBorder="1" applyAlignment="1" applyProtection="1">
      <alignment vertical="center"/>
      <protection locked="0"/>
    </xf>
    <xf numFmtId="0" fontId="41" fillId="10" borderId="0" xfId="0" applyFont="1" applyFill="1" applyBorder="1" applyAlignment="1" applyProtection="1">
      <alignment vertical="top"/>
      <protection locked="0"/>
    </xf>
    <xf numFmtId="0" fontId="65" fillId="3" borderId="0" xfId="0" applyFont="1" applyFill="1" applyBorder="1" applyAlignment="1" applyProtection="1">
      <alignment vertical="center"/>
      <protection locked="0"/>
    </xf>
    <xf numFmtId="0" fontId="41" fillId="3" borderId="0" xfId="0" applyFont="1" applyFill="1" applyBorder="1" applyAlignment="1" applyProtection="1">
      <protection locked="0"/>
    </xf>
    <xf numFmtId="0" fontId="66" fillId="4" borderId="0" xfId="0" applyFont="1" applyFill="1" applyBorder="1" applyAlignment="1" applyProtection="1">
      <alignment vertical="top"/>
      <protection locked="0"/>
    </xf>
    <xf numFmtId="0" fontId="1" fillId="3" borderId="49" xfId="0" applyFont="1" applyFill="1" applyBorder="1" applyAlignment="1" applyProtection="1">
      <alignment vertical="center"/>
      <protection locked="0"/>
    </xf>
    <xf numFmtId="0" fontId="1" fillId="3" borderId="50" xfId="0" applyFont="1" applyFill="1" applyBorder="1" applyAlignment="1" applyProtection="1">
      <alignment vertical="center"/>
      <protection locked="0"/>
    </xf>
    <xf numFmtId="0" fontId="37" fillId="3" borderId="0" xfId="0" applyFont="1" applyFill="1" applyBorder="1" applyAlignment="1" applyProtection="1">
      <alignment horizontal="left" vertical="center"/>
      <protection locked="0"/>
    </xf>
    <xf numFmtId="0" fontId="37" fillId="3" borderId="0" xfId="0" applyFont="1" applyFill="1" applyBorder="1" applyAlignment="1" applyProtection="1">
      <alignment horizontal="center" vertical="center"/>
    </xf>
    <xf numFmtId="0" fontId="24" fillId="3" borderId="0" xfId="0" applyFont="1" applyFill="1" applyBorder="1" applyAlignment="1" applyProtection="1">
      <alignment horizontal="right" vertical="center"/>
      <protection locked="0"/>
    </xf>
    <xf numFmtId="0" fontId="4" fillId="3" borderId="0" xfId="0" applyFont="1" applyFill="1" applyBorder="1" applyAlignment="1" applyProtection="1">
      <alignment vertical="center"/>
      <protection locked="0"/>
    </xf>
    <xf numFmtId="0" fontId="11" fillId="3" borderId="0" xfId="0" applyFont="1" applyFill="1" applyBorder="1" applyAlignment="1" applyProtection="1">
      <alignment horizontal="right" vertical="center" indent="1"/>
      <protection locked="0"/>
    </xf>
    <xf numFmtId="181" fontId="2" fillId="3" borderId="1" xfId="0" applyNumberFormat="1" applyFont="1" applyFill="1" applyBorder="1" applyAlignment="1">
      <alignment horizontal="center" vertical="center"/>
    </xf>
    <xf numFmtId="181" fontId="2" fillId="4" borderId="1" xfId="0" applyNumberFormat="1" applyFont="1" applyFill="1" applyBorder="1" applyAlignment="1">
      <alignment horizontal="center" vertical="center"/>
    </xf>
    <xf numFmtId="0" fontId="42" fillId="2" borderId="39" xfId="0" applyFont="1" applyFill="1" applyBorder="1" applyAlignment="1">
      <alignment vertical="center"/>
    </xf>
    <xf numFmtId="0" fontId="42" fillId="2" borderId="40" xfId="0" applyFont="1" applyFill="1" applyBorder="1" applyAlignment="1">
      <alignment vertical="center"/>
    </xf>
    <xf numFmtId="181" fontId="2" fillId="11" borderId="1" xfId="0" applyNumberFormat="1" applyFont="1" applyFill="1" applyBorder="1" applyAlignment="1">
      <alignment horizontal="center" vertical="center"/>
    </xf>
    <xf numFmtId="0" fontId="12" fillId="0" borderId="0" xfId="0" applyFont="1" applyAlignment="1">
      <alignment horizontal="left" vertical="center"/>
    </xf>
    <xf numFmtId="0" fontId="6" fillId="3" borderId="0" xfId="0" applyFont="1" applyFill="1" applyBorder="1" applyAlignment="1" applyProtection="1">
      <alignment vertical="center"/>
      <protection locked="0"/>
    </xf>
    <xf numFmtId="1" fontId="49" fillId="4" borderId="29" xfId="9" applyNumberFormat="1" applyFont="1" applyFill="1" applyBorder="1" applyAlignment="1">
      <alignment horizontal="center" vertical="center"/>
    </xf>
    <xf numFmtId="0" fontId="49" fillId="4" borderId="29" xfId="9" applyNumberFormat="1" applyFont="1" applyFill="1" applyBorder="1" applyAlignment="1">
      <alignment horizontal="left" vertical="center"/>
    </xf>
    <xf numFmtId="175" fontId="49" fillId="4" borderId="29" xfId="9" applyNumberFormat="1" applyFont="1" applyFill="1" applyBorder="1" applyAlignment="1">
      <alignment horizontal="center" vertical="center"/>
    </xf>
    <xf numFmtId="0" fontId="1" fillId="3" borderId="51" xfId="0" applyFont="1" applyFill="1" applyBorder="1" applyAlignment="1" applyProtection="1">
      <alignment vertical="center"/>
      <protection locked="0"/>
    </xf>
    <xf numFmtId="0" fontId="1" fillId="3" borderId="52" xfId="0" applyFont="1" applyFill="1" applyBorder="1" applyAlignment="1" applyProtection="1">
      <alignment vertical="center"/>
      <protection locked="0"/>
    </xf>
    <xf numFmtId="0" fontId="1" fillId="3" borderId="53" xfId="0" applyFont="1" applyFill="1" applyBorder="1" applyAlignment="1" applyProtection="1">
      <alignment vertical="center"/>
      <protection locked="0"/>
    </xf>
    <xf numFmtId="0" fontId="13" fillId="7" borderId="29" xfId="0" applyFont="1" applyFill="1" applyBorder="1" applyAlignment="1">
      <alignment horizontal="left" vertical="center"/>
    </xf>
    <xf numFmtId="0" fontId="39" fillId="0" borderId="29" xfId="0" applyFont="1" applyBorder="1" applyAlignment="1">
      <alignment horizontal="center" vertical="center"/>
    </xf>
    <xf numFmtId="0" fontId="12" fillId="0" borderId="1" xfId="0" applyFont="1" applyBorder="1" applyAlignment="1">
      <alignment horizontal="center" vertical="center"/>
    </xf>
    <xf numFmtId="38" fontId="13" fillId="7" borderId="1" xfId="0" applyNumberFormat="1" applyFont="1" applyFill="1" applyBorder="1" applyAlignment="1">
      <alignment horizontal="right" vertical="center"/>
    </xf>
    <xf numFmtId="0" fontId="20" fillId="0" borderId="0" xfId="0" applyFont="1" applyAlignment="1">
      <alignment horizontal="left" vertical="center"/>
    </xf>
    <xf numFmtId="38" fontId="77" fillId="2" borderId="29" xfId="2" applyNumberFormat="1" applyFont="1" applyFill="1" applyBorder="1" applyAlignment="1" applyProtection="1">
      <alignment horizontal="right" vertical="center"/>
    </xf>
    <xf numFmtId="0" fontId="13" fillId="7" borderId="25" xfId="0" applyFont="1" applyFill="1" applyBorder="1" applyAlignment="1">
      <alignment horizontal="left" vertical="center"/>
    </xf>
    <xf numFmtId="0" fontId="13" fillId="7" borderId="25" xfId="0" applyFont="1" applyFill="1" applyBorder="1" applyAlignment="1">
      <alignment horizontal="right" vertical="center"/>
    </xf>
    <xf numFmtId="0" fontId="18" fillId="13" borderId="25" xfId="0" applyFont="1" applyFill="1" applyBorder="1" applyAlignment="1">
      <alignment horizontal="right" vertical="center"/>
    </xf>
    <xf numFmtId="0" fontId="20" fillId="4" borderId="25" xfId="0" applyFont="1" applyFill="1" applyBorder="1" applyAlignment="1">
      <alignment horizontal="right" vertical="center"/>
    </xf>
    <xf numFmtId="0" fontId="18" fillId="13" borderId="1" xfId="0" applyFont="1" applyFill="1" applyBorder="1" applyAlignment="1">
      <alignment horizontal="right" vertical="center"/>
    </xf>
    <xf numFmtId="0" fontId="20" fillId="4" borderId="1" xfId="0" applyFont="1" applyFill="1" applyBorder="1" applyAlignment="1">
      <alignment horizontal="right" vertical="center"/>
    </xf>
    <xf numFmtId="0" fontId="13" fillId="7" borderId="1" xfId="0" applyFont="1" applyFill="1" applyBorder="1" applyAlignment="1">
      <alignment horizontal="right" vertical="center"/>
    </xf>
    <xf numFmtId="0" fontId="13" fillId="7" borderId="1" xfId="0" applyFont="1" applyFill="1" applyBorder="1" applyAlignment="1">
      <alignment horizontal="left" vertical="center"/>
    </xf>
    <xf numFmtId="0" fontId="1" fillId="3" borderId="54" xfId="0" applyFont="1" applyFill="1" applyBorder="1" applyAlignment="1" applyProtection="1">
      <alignment vertical="center"/>
      <protection locked="0"/>
    </xf>
    <xf numFmtId="0" fontId="21" fillId="3" borderId="55" xfId="0" applyFont="1" applyFill="1" applyBorder="1" applyAlignment="1" applyProtection="1">
      <alignment horizontal="left" vertical="center"/>
    </xf>
    <xf numFmtId="0" fontId="1" fillId="3" borderId="55" xfId="0" applyFont="1" applyFill="1" applyBorder="1" applyAlignment="1" applyProtection="1">
      <alignment vertical="center"/>
      <protection locked="0"/>
    </xf>
    <xf numFmtId="0" fontId="1" fillId="3" borderId="56" xfId="0" applyFont="1" applyFill="1" applyBorder="1" applyAlignment="1" applyProtection="1">
      <alignment vertical="center"/>
      <protection locked="0"/>
    </xf>
    <xf numFmtId="0" fontId="1" fillId="3" borderId="57" xfId="0" applyFont="1" applyFill="1" applyBorder="1" applyAlignment="1" applyProtection="1">
      <alignment vertical="center"/>
      <protection locked="0"/>
    </xf>
    <xf numFmtId="0" fontId="1" fillId="3" borderId="58" xfId="0" applyFont="1" applyFill="1" applyBorder="1" applyAlignment="1" applyProtection="1">
      <alignment vertical="center"/>
      <protection locked="0"/>
    </xf>
    <xf numFmtId="0" fontId="1" fillId="3" borderId="59" xfId="0" applyFont="1" applyFill="1" applyBorder="1" applyAlignment="1" applyProtection="1">
      <alignment vertical="center"/>
      <protection locked="0"/>
    </xf>
    <xf numFmtId="0" fontId="21" fillId="3" borderId="58" xfId="0" applyFont="1" applyFill="1" applyBorder="1" applyAlignment="1" applyProtection="1">
      <alignment horizontal="center" vertical="center"/>
    </xf>
    <xf numFmtId="0" fontId="21" fillId="3" borderId="58" xfId="0" applyFont="1" applyFill="1" applyBorder="1" applyAlignment="1" applyProtection="1">
      <alignment horizontal="left" vertical="center"/>
    </xf>
    <xf numFmtId="0" fontId="1" fillId="3" borderId="60" xfId="0" applyFont="1" applyFill="1" applyBorder="1" applyAlignment="1" applyProtection="1">
      <alignment vertical="center"/>
      <protection locked="0"/>
    </xf>
    <xf numFmtId="0" fontId="21" fillId="3" borderId="61" xfId="0" applyFont="1" applyFill="1" applyBorder="1" applyAlignment="1" applyProtection="1">
      <alignment horizontal="center" vertical="center"/>
    </xf>
    <xf numFmtId="0" fontId="21" fillId="3" borderId="61" xfId="0" applyFont="1" applyFill="1" applyBorder="1" applyAlignment="1" applyProtection="1">
      <alignment horizontal="left" vertical="center"/>
    </xf>
    <xf numFmtId="0" fontId="1" fillId="3" borderId="61" xfId="0" applyFont="1" applyFill="1" applyBorder="1" applyAlignment="1" applyProtection="1">
      <alignment vertical="center"/>
      <protection locked="0"/>
    </xf>
    <xf numFmtId="0" fontId="1" fillId="3" borderId="62" xfId="0" applyFont="1" applyFill="1" applyBorder="1" applyAlignment="1" applyProtection="1">
      <alignment vertical="center"/>
      <protection locked="0"/>
    </xf>
    <xf numFmtId="0" fontId="86" fillId="3" borderId="0" xfId="0" applyFont="1" applyFill="1" applyAlignment="1" applyProtection="1">
      <alignment vertical="center"/>
      <protection locked="0"/>
    </xf>
    <xf numFmtId="0" fontId="86" fillId="3" borderId="2" xfId="0" applyFont="1" applyFill="1" applyBorder="1" applyAlignment="1" applyProtection="1">
      <alignment vertical="center"/>
      <protection locked="0"/>
    </xf>
    <xf numFmtId="0" fontId="86" fillId="3" borderId="0" xfId="0" applyFont="1" applyFill="1" applyBorder="1" applyAlignment="1" applyProtection="1">
      <alignment vertical="center"/>
      <protection locked="0"/>
    </xf>
    <xf numFmtId="0" fontId="86" fillId="3" borderId="0" xfId="0" applyFont="1" applyFill="1" applyBorder="1" applyAlignment="1" applyProtection="1">
      <alignment horizontal="center" vertical="center"/>
      <protection locked="0"/>
    </xf>
    <xf numFmtId="0" fontId="86" fillId="3" borderId="3" xfId="0" applyFont="1" applyFill="1" applyBorder="1" applyAlignment="1" applyProtection="1">
      <alignment vertical="center"/>
      <protection locked="0"/>
    </xf>
    <xf numFmtId="0" fontId="85" fillId="3" borderId="0" xfId="0" applyFont="1" applyFill="1" applyAlignment="1" applyProtection="1">
      <alignment horizontal="left" vertical="center"/>
      <protection locked="0"/>
    </xf>
    <xf numFmtId="0" fontId="84" fillId="3" borderId="0" xfId="0" applyFont="1" applyFill="1" applyAlignment="1" applyProtection="1">
      <alignment horizontal="left" vertical="center"/>
      <protection locked="0"/>
    </xf>
    <xf numFmtId="0" fontId="84" fillId="3" borderId="0" xfId="0" applyFont="1" applyFill="1" applyAlignment="1" applyProtection="1">
      <alignment vertical="center"/>
      <protection locked="0"/>
    </xf>
    <xf numFmtId="0" fontId="87" fillId="3" borderId="0" xfId="0" applyFont="1" applyFill="1" applyAlignment="1" applyProtection="1">
      <alignment horizontal="left" vertical="center"/>
      <protection locked="0"/>
    </xf>
    <xf numFmtId="0" fontId="88" fillId="3" borderId="0" xfId="0" applyFont="1" applyFill="1" applyAlignment="1" applyProtection="1">
      <alignment vertical="center"/>
      <protection locked="0"/>
    </xf>
    <xf numFmtId="0" fontId="88" fillId="3" borderId="0" xfId="0" applyFont="1" applyFill="1" applyAlignment="1" applyProtection="1">
      <alignment vertical="top"/>
      <protection locked="0"/>
    </xf>
    <xf numFmtId="0" fontId="87" fillId="3" borderId="0" xfId="0" applyFont="1" applyFill="1" applyAlignment="1" applyProtection="1">
      <alignment vertical="center"/>
      <protection locked="0"/>
    </xf>
    <xf numFmtId="0" fontId="85" fillId="3" borderId="0" xfId="0" applyFont="1" applyFill="1" applyAlignment="1" applyProtection="1">
      <alignment vertical="center"/>
      <protection locked="0"/>
    </xf>
    <xf numFmtId="0" fontId="85" fillId="3" borderId="0" xfId="0" applyFont="1" applyFill="1" applyAlignment="1" applyProtection="1">
      <alignment horizontal="left" vertical="top"/>
      <protection locked="0"/>
    </xf>
    <xf numFmtId="2" fontId="85" fillId="3" borderId="0" xfId="0" applyNumberFormat="1" applyFont="1" applyFill="1" applyAlignment="1" applyProtection="1">
      <alignment horizontal="left" vertical="center"/>
      <protection locked="0"/>
    </xf>
    <xf numFmtId="183" fontId="85" fillId="3" borderId="0" xfId="0" applyNumberFormat="1" applyFont="1" applyFill="1" applyAlignment="1" applyProtection="1">
      <alignment horizontal="left" vertical="center"/>
      <protection locked="0"/>
    </xf>
    <xf numFmtId="0" fontId="0" fillId="3" borderId="0" xfId="0" applyFill="1"/>
    <xf numFmtId="0" fontId="89" fillId="3" borderId="0" xfId="0" applyFont="1" applyFill="1" applyAlignment="1" applyProtection="1">
      <alignment vertical="center"/>
      <protection locked="0"/>
    </xf>
    <xf numFmtId="0" fontId="92" fillId="0" borderId="0" xfId="9" applyFont="1" applyAlignment="1" applyProtection="1">
      <alignment vertical="center"/>
    </xf>
    <xf numFmtId="0" fontId="93" fillId="0" borderId="0" xfId="9" applyFont="1" applyAlignment="1" applyProtection="1">
      <alignment vertical="center"/>
    </xf>
    <xf numFmtId="0" fontId="93" fillId="0" borderId="0" xfId="9" applyFont="1" applyBorder="1" applyAlignment="1" applyProtection="1">
      <alignment vertical="center"/>
    </xf>
    <xf numFmtId="0" fontId="95" fillId="0" borderId="0" xfId="9" applyFont="1" applyFill="1" applyBorder="1" applyAlignment="1" applyProtection="1">
      <alignment vertical="center"/>
    </xf>
    <xf numFmtId="0" fontId="28" fillId="0" borderId="0" xfId="9" applyBorder="1" applyProtection="1"/>
    <xf numFmtId="0" fontId="93" fillId="0" borderId="0" xfId="9" applyFont="1" applyFill="1" applyBorder="1" applyAlignment="1" applyProtection="1"/>
    <xf numFmtId="0" fontId="93" fillId="0" borderId="0" xfId="9" applyFont="1" applyFill="1" applyBorder="1" applyAlignment="1" applyProtection="1">
      <alignment vertical="center"/>
    </xf>
    <xf numFmtId="0" fontId="93" fillId="0" borderId="0" xfId="9" applyFont="1" applyFill="1" applyBorder="1" applyAlignment="1" applyProtection="1">
      <alignment horizontal="left" vertical="center"/>
    </xf>
    <xf numFmtId="0" fontId="28" fillId="0" borderId="0" xfId="9" applyFont="1" applyBorder="1" applyAlignment="1" applyProtection="1">
      <alignment vertical="center"/>
    </xf>
    <xf numFmtId="0" fontId="95" fillId="0" borderId="0" xfId="9" applyFont="1" applyBorder="1" applyAlignment="1" applyProtection="1">
      <alignment vertical="center"/>
    </xf>
    <xf numFmtId="0" fontId="28" fillId="0" borderId="0" xfId="9"/>
    <xf numFmtId="0" fontId="95" fillId="0" borderId="0" xfId="9" applyFont="1" applyAlignment="1" applyProtection="1">
      <alignment vertical="center"/>
    </xf>
    <xf numFmtId="0" fontId="97" fillId="0" borderId="63" xfId="9" applyFont="1" applyFill="1" applyBorder="1" applyAlignment="1" applyProtection="1">
      <alignment horizontal="center" vertical="center"/>
    </xf>
    <xf numFmtId="0" fontId="93" fillId="0" borderId="0" xfId="9" applyFont="1" applyBorder="1" applyAlignment="1" applyProtection="1">
      <alignment horizontal="left" vertical="center"/>
    </xf>
    <xf numFmtId="0" fontId="98" fillId="0" borderId="0" xfId="9" applyFont="1" applyFill="1" applyBorder="1" applyAlignment="1" applyProtection="1">
      <alignment horizontal="center" vertical="center"/>
    </xf>
    <xf numFmtId="0" fontId="93" fillId="0" borderId="0" xfId="9" applyFont="1" applyBorder="1" applyAlignment="1" applyProtection="1">
      <alignment horizontal="center" vertical="center"/>
    </xf>
    <xf numFmtId="0" fontId="97" fillId="0" borderId="0" xfId="9" applyFont="1" applyFill="1" applyBorder="1" applyAlignment="1" applyProtection="1">
      <alignment horizontal="center" vertical="center"/>
    </xf>
    <xf numFmtId="0" fontId="93" fillId="0" borderId="26" xfId="9" applyFont="1" applyBorder="1" applyAlignment="1" applyProtection="1">
      <alignment vertical="center"/>
    </xf>
    <xf numFmtId="0" fontId="99" fillId="0" borderId="63" xfId="9" applyFont="1" applyFill="1" applyBorder="1" applyAlignment="1" applyProtection="1">
      <alignment horizontal="right" vertical="top"/>
    </xf>
    <xf numFmtId="0" fontId="93" fillId="0" borderId="0" xfId="9" applyFont="1" applyBorder="1" applyAlignment="1" applyProtection="1">
      <alignment horizontal="left" vertical="top"/>
    </xf>
    <xf numFmtId="0" fontId="93" fillId="0" borderId="0" xfId="9" applyFont="1" applyBorder="1" applyAlignment="1" applyProtection="1">
      <alignment vertical="top"/>
    </xf>
    <xf numFmtId="0" fontId="93" fillId="0" borderId="0" xfId="9" applyFont="1" applyAlignment="1" applyProtection="1">
      <alignment horizontal="left" vertical="top"/>
    </xf>
    <xf numFmtId="0" fontId="93" fillId="0" borderId="0" xfId="9" applyFont="1" applyBorder="1" applyAlignment="1" applyProtection="1">
      <alignment horizontal="center" vertical="top"/>
    </xf>
    <xf numFmtId="0" fontId="95" fillId="0" borderId="0" xfId="9" applyFont="1" applyFill="1" applyBorder="1" applyAlignment="1" applyProtection="1">
      <alignment horizontal="left" vertical="top"/>
    </xf>
    <xf numFmtId="0" fontId="97" fillId="0" borderId="0" xfId="9" applyFont="1" applyFill="1" applyBorder="1" applyAlignment="1" applyProtection="1">
      <alignment horizontal="center" vertical="top"/>
    </xf>
    <xf numFmtId="0" fontId="99" fillId="0" borderId="0" xfId="9" applyFont="1" applyFill="1" applyBorder="1" applyAlignment="1" applyProtection="1">
      <alignment horizontal="right" vertical="top"/>
    </xf>
    <xf numFmtId="0" fontId="28" fillId="0" borderId="0" xfId="9" applyFont="1" applyBorder="1" applyAlignment="1" applyProtection="1">
      <alignment vertical="top"/>
    </xf>
    <xf numFmtId="0" fontId="93" fillId="0" borderId="0" xfId="9" applyFont="1" applyFill="1" applyBorder="1" applyAlignment="1" applyProtection="1">
      <alignment horizontal="center" vertical="top"/>
    </xf>
    <xf numFmtId="49" fontId="93" fillId="0" borderId="0" xfId="9" applyNumberFormat="1" applyFont="1" applyFill="1" applyBorder="1" applyAlignment="1" applyProtection="1">
      <alignment vertical="top"/>
    </xf>
    <xf numFmtId="0" fontId="93" fillId="0" borderId="0" xfId="9" applyFont="1" applyFill="1" applyBorder="1" applyAlignment="1" applyProtection="1">
      <alignment horizontal="right" vertical="top"/>
    </xf>
    <xf numFmtId="0" fontId="93" fillId="0" borderId="26" xfId="9" applyFont="1" applyBorder="1" applyAlignment="1" applyProtection="1">
      <alignment horizontal="left" vertical="top"/>
    </xf>
    <xf numFmtId="0" fontId="93" fillId="0" borderId="26" xfId="9" applyFont="1" applyFill="1" applyBorder="1" applyAlignment="1" applyProtection="1">
      <alignment vertical="top" wrapText="1"/>
    </xf>
    <xf numFmtId="0" fontId="95" fillId="0" borderId="0" xfId="9" applyFont="1" applyBorder="1" applyAlignment="1" applyProtection="1">
      <alignment vertical="top"/>
    </xf>
    <xf numFmtId="0" fontId="95" fillId="0" borderId="0" xfId="9" applyFont="1" applyFill="1" applyBorder="1" applyAlignment="1" applyProtection="1">
      <alignment vertical="top"/>
      <protection locked="0"/>
    </xf>
    <xf numFmtId="0" fontId="28" fillId="0" borderId="27" xfId="9" applyBorder="1" applyProtection="1"/>
    <xf numFmtId="0" fontId="93" fillId="0" borderId="64" xfId="9" applyFont="1" applyBorder="1" applyAlignment="1" applyProtection="1">
      <alignment vertical="center"/>
    </xf>
    <xf numFmtId="0" fontId="93" fillId="0" borderId="65" xfId="9" applyFont="1" applyFill="1" applyBorder="1" applyAlignment="1" applyProtection="1">
      <alignment vertical="center"/>
    </xf>
    <xf numFmtId="0" fontId="93" fillId="0" borderId="65" xfId="9" applyFont="1" applyFill="1" applyBorder="1" applyAlignment="1" applyProtection="1">
      <alignment horizontal="left" vertical="center"/>
    </xf>
    <xf numFmtId="0" fontId="93" fillId="0" borderId="65" xfId="9" applyFont="1" applyBorder="1" applyAlignment="1" applyProtection="1">
      <alignment vertical="center"/>
    </xf>
    <xf numFmtId="0" fontId="93" fillId="0" borderId="66" xfId="9" applyFont="1" applyBorder="1" applyAlignment="1" applyProtection="1">
      <alignment vertical="center"/>
    </xf>
    <xf numFmtId="0" fontId="96" fillId="0" borderId="0" xfId="9" applyFont="1" applyFill="1" applyBorder="1" applyAlignment="1" applyProtection="1">
      <alignment horizontal="center" vertical="center" textRotation="90"/>
    </xf>
    <xf numFmtId="0" fontId="93" fillId="0" borderId="0" xfId="9" applyFont="1" applyFill="1" applyBorder="1" applyAlignment="1" applyProtection="1">
      <alignment horizontal="center" vertical="center"/>
    </xf>
    <xf numFmtId="0" fontId="28" fillId="0" borderId="0" xfId="9" applyFill="1" applyBorder="1" applyProtection="1"/>
    <xf numFmtId="0" fontId="95" fillId="0" borderId="0" xfId="9" applyFont="1" applyAlignment="1" applyProtection="1">
      <alignment horizontal="center" vertical="center" wrapText="1"/>
    </xf>
    <xf numFmtId="0" fontId="93" fillId="0" borderId="0" xfId="9" applyFont="1" applyAlignment="1" applyProtection="1">
      <alignment horizontal="left" vertical="center"/>
    </xf>
    <xf numFmtId="0" fontId="101" fillId="0" borderId="0" xfId="9" applyFont="1" applyAlignment="1" applyProtection="1">
      <alignment vertical="center" wrapText="1"/>
    </xf>
    <xf numFmtId="0" fontId="95" fillId="0" borderId="0" xfId="9" applyFont="1" applyAlignment="1" applyProtection="1">
      <alignment horizontal="left" vertical="center"/>
    </xf>
    <xf numFmtId="0" fontId="103" fillId="0" borderId="0" xfId="9" applyFont="1" applyBorder="1" applyAlignment="1" applyProtection="1">
      <alignment vertical="center"/>
    </xf>
    <xf numFmtId="0" fontId="100" fillId="0" borderId="0" xfId="9" applyFont="1" applyBorder="1" applyAlignment="1" applyProtection="1">
      <alignment horizontal="left" vertical="center"/>
    </xf>
    <xf numFmtId="0" fontId="93" fillId="0" borderId="26" xfId="9" applyFont="1" applyBorder="1" applyAlignment="1" applyProtection="1">
      <alignment horizontal="left" vertical="center"/>
    </xf>
    <xf numFmtId="0" fontId="104" fillId="0" borderId="0" xfId="9" applyFont="1" applyBorder="1" applyAlignment="1" applyProtection="1">
      <alignment horizontal="left" vertical="center"/>
    </xf>
    <xf numFmtId="0" fontId="93" fillId="0" borderId="0" xfId="9" applyFont="1" applyFill="1" applyBorder="1" applyAlignment="1" applyProtection="1">
      <alignment horizontal="left" vertical="top"/>
    </xf>
    <xf numFmtId="0" fontId="105" fillId="0" borderId="0" xfId="9" applyNumberFormat="1" applyFont="1" applyFill="1" applyBorder="1" applyAlignment="1" applyProtection="1">
      <alignment horizontal="left" vertical="center"/>
      <protection locked="0"/>
    </xf>
    <xf numFmtId="0" fontId="93" fillId="0" borderId="0" xfId="9" applyNumberFormat="1" applyFont="1" applyFill="1" applyBorder="1" applyAlignment="1" applyProtection="1">
      <alignment horizontal="left" vertical="center"/>
      <protection locked="0"/>
    </xf>
    <xf numFmtId="0" fontId="93" fillId="0" borderId="26" xfId="9" applyNumberFormat="1" applyFont="1" applyFill="1" applyBorder="1" applyAlignment="1" applyProtection="1">
      <alignment horizontal="left" vertical="center"/>
      <protection locked="0"/>
    </xf>
    <xf numFmtId="0" fontId="93" fillId="0" borderId="0" xfId="9" applyFont="1" applyAlignment="1" applyProtection="1">
      <alignment horizontal="center" vertical="center"/>
    </xf>
    <xf numFmtId="0" fontId="99" fillId="0" borderId="63" xfId="9" applyFont="1" applyFill="1" applyBorder="1" applyAlignment="1" applyProtection="1">
      <alignment horizontal="right" vertical="center"/>
    </xf>
    <xf numFmtId="49" fontId="93" fillId="15" borderId="0" xfId="9" applyNumberFormat="1" applyFont="1" applyFill="1" applyBorder="1" applyAlignment="1" applyProtection="1">
      <alignment vertical="center"/>
      <protection locked="0"/>
    </xf>
    <xf numFmtId="0" fontId="93" fillId="15" borderId="0" xfId="9" applyFont="1" applyFill="1" applyBorder="1" applyAlignment="1" applyProtection="1">
      <alignment horizontal="left" vertical="center"/>
    </xf>
    <xf numFmtId="0" fontId="99" fillId="0" borderId="0" xfId="9" applyFont="1" applyFill="1" applyBorder="1" applyAlignment="1" applyProtection="1">
      <alignment horizontal="right" vertical="center"/>
    </xf>
    <xf numFmtId="0" fontId="93" fillId="15" borderId="0" xfId="9" applyFont="1" applyFill="1" applyBorder="1" applyAlignment="1" applyProtection="1">
      <alignment horizontal="left" vertical="center"/>
      <protection locked="0"/>
    </xf>
    <xf numFmtId="0" fontId="93" fillId="0" borderId="0" xfId="9" applyFont="1" applyFill="1" applyBorder="1" applyAlignment="1" applyProtection="1">
      <alignment horizontal="right" vertical="center"/>
    </xf>
    <xf numFmtId="0" fontId="93" fillId="0" borderId="0" xfId="9" applyFont="1" applyFill="1" applyAlignment="1" applyProtection="1">
      <alignment horizontal="left" vertical="center"/>
    </xf>
    <xf numFmtId="0" fontId="93" fillId="0" borderId="26" xfId="9" applyFont="1" applyFill="1" applyBorder="1" applyAlignment="1" applyProtection="1">
      <alignment horizontal="left" vertical="center"/>
    </xf>
    <xf numFmtId="0" fontId="93" fillId="0" borderId="27" xfId="9" applyFont="1" applyBorder="1" applyAlignment="1" applyProtection="1">
      <alignment horizontal="left" vertical="center"/>
    </xf>
    <xf numFmtId="0" fontId="93" fillId="0" borderId="65" xfId="9" applyFont="1" applyBorder="1" applyAlignment="1" applyProtection="1">
      <alignment horizontal="left" vertical="center"/>
    </xf>
    <xf numFmtId="0" fontId="93" fillId="0" borderId="66" xfId="9" applyFont="1" applyBorder="1" applyAlignment="1" applyProtection="1">
      <alignment horizontal="left" vertical="center"/>
    </xf>
    <xf numFmtId="0" fontId="93" fillId="0" borderId="0" xfId="9" applyFont="1" applyBorder="1" applyProtection="1"/>
    <xf numFmtId="187" fontId="93" fillId="0" borderId="0" xfId="9" quotePrefix="1" applyNumberFormat="1" applyFont="1" applyFill="1" applyBorder="1" applyAlignment="1">
      <alignment vertical="center"/>
    </xf>
    <xf numFmtId="0" fontId="104" fillId="0" borderId="0" xfId="9" applyFont="1" applyAlignment="1" applyProtection="1">
      <alignment horizontal="left" vertical="center"/>
    </xf>
    <xf numFmtId="0" fontId="109" fillId="0" borderId="0" xfId="9" applyFont="1" applyBorder="1" applyAlignment="1" applyProtection="1">
      <alignment vertical="center"/>
    </xf>
    <xf numFmtId="0" fontId="110" fillId="0" borderId="0" xfId="9" applyFont="1" applyBorder="1" applyAlignment="1" applyProtection="1">
      <alignment horizontal="left" vertical="center"/>
    </xf>
    <xf numFmtId="0" fontId="111" fillId="0" borderId="0" xfId="9" applyFont="1" applyBorder="1" applyAlignment="1" applyProtection="1">
      <alignment vertical="center"/>
    </xf>
    <xf numFmtId="0" fontId="112" fillId="0" borderId="0" xfId="9" applyFont="1" applyFill="1" applyBorder="1" applyAlignment="1" applyProtection="1">
      <alignment vertical="center"/>
    </xf>
    <xf numFmtId="0" fontId="104" fillId="0" borderId="0" xfId="9" applyFont="1" applyBorder="1" applyAlignment="1" applyProtection="1">
      <alignment vertical="center"/>
    </xf>
    <xf numFmtId="0" fontId="113" fillId="0" borderId="0" xfId="9" applyFont="1" applyBorder="1" applyAlignment="1" applyProtection="1">
      <alignment vertical="center"/>
      <protection locked="0"/>
    </xf>
    <xf numFmtId="0" fontId="114" fillId="0" borderId="0" xfId="9" applyFont="1" applyBorder="1" applyAlignment="1" applyProtection="1">
      <alignment vertical="center"/>
    </xf>
    <xf numFmtId="0" fontId="115" fillId="0" borderId="0" xfId="9" applyFont="1" applyBorder="1" applyAlignment="1" applyProtection="1">
      <alignment vertical="center"/>
    </xf>
    <xf numFmtId="0" fontId="116" fillId="0" borderId="0" xfId="9" applyFont="1" applyFill="1" applyBorder="1" applyAlignment="1" applyProtection="1">
      <alignment horizontal="right" vertical="center"/>
    </xf>
    <xf numFmtId="0" fontId="95" fillId="0" borderId="0" xfId="9" applyFont="1" applyFill="1" applyBorder="1" applyAlignment="1" applyProtection="1">
      <alignment horizontal="center" vertical="center"/>
    </xf>
    <xf numFmtId="190" fontId="118" fillId="0" borderId="26" xfId="6" quotePrefix="1" applyNumberFormat="1" applyFont="1" applyFill="1" applyBorder="1" applyAlignment="1" applyProtection="1">
      <alignment vertical="center"/>
    </xf>
    <xf numFmtId="0" fontId="93" fillId="0" borderId="67" xfId="9" applyFont="1" applyFill="1" applyBorder="1" applyAlignment="1" applyProtection="1">
      <alignment vertical="center"/>
    </xf>
    <xf numFmtId="0" fontId="107" fillId="0" borderId="0" xfId="9" applyFont="1" applyBorder="1" applyAlignment="1" applyProtection="1">
      <alignment horizontal="justify" vertical="top"/>
      <protection locked="0"/>
    </xf>
    <xf numFmtId="0" fontId="28" fillId="0" borderId="65" xfId="9" applyBorder="1" applyProtection="1"/>
    <xf numFmtId="191" fontId="100" fillId="0" borderId="0" xfId="6" quotePrefix="1" applyNumberFormat="1" applyFont="1" applyFill="1" applyBorder="1" applyAlignment="1" applyProtection="1">
      <alignment vertical="top"/>
      <protection locked="0"/>
    </xf>
    <xf numFmtId="0" fontId="119" fillId="0" borderId="0" xfId="9" applyFont="1" applyBorder="1" applyAlignment="1" applyProtection="1">
      <alignment horizontal="right"/>
      <protection locked="0"/>
    </xf>
    <xf numFmtId="0" fontId="120" fillId="0" borderId="0" xfId="9" applyFont="1" applyBorder="1" applyAlignment="1" applyProtection="1">
      <alignment horizontal="right"/>
      <protection locked="0"/>
    </xf>
    <xf numFmtId="0" fontId="119" fillId="0" borderId="0" xfId="9" applyFont="1" applyBorder="1" applyAlignment="1" applyProtection="1">
      <alignment horizontal="left"/>
      <protection locked="0"/>
    </xf>
    <xf numFmtId="0" fontId="104" fillId="0" borderId="0" xfId="9" applyFont="1" applyBorder="1" applyAlignment="1" applyProtection="1">
      <alignment horizontal="left"/>
      <protection locked="0"/>
    </xf>
    <xf numFmtId="0" fontId="122" fillId="0" borderId="0" xfId="9" applyFont="1" applyBorder="1" applyAlignment="1" applyProtection="1">
      <alignment horizontal="center" vertical="center"/>
      <protection locked="0"/>
    </xf>
    <xf numFmtId="0" fontId="123" fillId="0" borderId="0" xfId="9" applyFont="1" applyBorder="1" applyAlignment="1" applyProtection="1">
      <alignment horizontal="left"/>
      <protection locked="0"/>
    </xf>
    <xf numFmtId="0" fontId="28" fillId="0" borderId="0" xfId="9" applyFont="1" applyAlignment="1" applyProtection="1">
      <alignment vertical="center"/>
    </xf>
    <xf numFmtId="0" fontId="124" fillId="16" borderId="0" xfId="9" applyFont="1" applyFill="1" applyAlignment="1" applyProtection="1">
      <alignment vertical="center"/>
    </xf>
    <xf numFmtId="0" fontId="93" fillId="16" borderId="0" xfId="9" applyFont="1" applyFill="1" applyAlignment="1" applyProtection="1">
      <alignment vertical="center"/>
    </xf>
    <xf numFmtId="0" fontId="125" fillId="0" borderId="0" xfId="9" applyFont="1" applyAlignment="1" applyProtection="1">
      <alignment vertical="center"/>
    </xf>
    <xf numFmtId="0" fontId="123" fillId="0" borderId="0" xfId="9" applyFont="1" applyAlignment="1" applyProtection="1">
      <alignment vertical="center"/>
    </xf>
    <xf numFmtId="0" fontId="126" fillId="16" borderId="0" xfId="9" applyFont="1" applyFill="1" applyAlignment="1" applyProtection="1">
      <alignment vertical="center"/>
    </xf>
    <xf numFmtId="0" fontId="127" fillId="0" borderId="0" xfId="9" applyFont="1" applyAlignment="1" applyProtection="1">
      <alignment horizontal="center"/>
    </xf>
    <xf numFmtId="0" fontId="128" fillId="0" borderId="0" xfId="9" applyFont="1" applyAlignment="1" applyProtection="1">
      <alignment vertical="center"/>
    </xf>
    <xf numFmtId="0" fontId="130" fillId="0" borderId="0" xfId="9" applyFont="1" applyAlignment="1" applyProtection="1">
      <alignment vertical="center"/>
    </xf>
    <xf numFmtId="0" fontId="123" fillId="0" borderId="0" xfId="9" applyFont="1" applyBorder="1" applyAlignment="1" applyProtection="1">
      <alignment vertical="center"/>
    </xf>
    <xf numFmtId="0" fontId="123" fillId="16" borderId="0" xfId="9" applyFont="1" applyFill="1" applyAlignment="1" applyProtection="1">
      <alignment vertical="center"/>
    </xf>
    <xf numFmtId="0" fontId="123" fillId="0" borderId="0" xfId="9" quotePrefix="1" applyFont="1" applyAlignment="1" applyProtection="1">
      <alignment horizontal="left" vertical="center"/>
    </xf>
    <xf numFmtId="0" fontId="123" fillId="0" borderId="0" xfId="9" quotePrefix="1" applyFont="1" applyAlignment="1" applyProtection="1">
      <alignment vertical="center"/>
    </xf>
    <xf numFmtId="0" fontId="123" fillId="0" borderId="0" xfId="9" applyFont="1" applyAlignment="1" applyProtection="1">
      <alignment horizontal="center" vertical="center"/>
    </xf>
    <xf numFmtId="0" fontId="123" fillId="0" borderId="0" xfId="9" applyFont="1" applyAlignment="1" applyProtection="1">
      <alignment horizontal="left" vertical="center"/>
    </xf>
    <xf numFmtId="0" fontId="131" fillId="0" borderId="0" xfId="9" applyFont="1" applyAlignment="1" applyProtection="1">
      <alignment vertical="center"/>
    </xf>
    <xf numFmtId="0" fontId="131" fillId="0" borderId="0" xfId="9" applyFont="1" applyBorder="1" applyAlignment="1" applyProtection="1">
      <alignment vertical="center"/>
    </xf>
    <xf numFmtId="0" fontId="123" fillId="4" borderId="0" xfId="9" applyFont="1" applyFill="1" applyAlignment="1" applyProtection="1">
      <alignment vertical="center"/>
    </xf>
    <xf numFmtId="0" fontId="132" fillId="16" borderId="0" xfId="9" applyFont="1" applyFill="1" applyAlignment="1" applyProtection="1">
      <alignment vertical="center"/>
    </xf>
    <xf numFmtId="0" fontId="123" fillId="0" borderId="0" xfId="9" applyFont="1" applyFill="1" applyAlignment="1" applyProtection="1">
      <alignment horizontal="left" vertical="center"/>
    </xf>
    <xf numFmtId="0" fontId="114" fillId="0" borderId="68" xfId="9" applyFont="1" applyBorder="1" applyAlignment="1" applyProtection="1">
      <alignment horizontal="center" vertical="center"/>
    </xf>
    <xf numFmtId="0" fontId="104" fillId="0" borderId="69" xfId="9" applyFont="1" applyBorder="1" applyAlignment="1" applyProtection="1">
      <alignment vertical="center"/>
    </xf>
    <xf numFmtId="0" fontId="104" fillId="0" borderId="70" xfId="9" applyFont="1" applyBorder="1" applyAlignment="1" applyProtection="1">
      <alignment vertical="center"/>
    </xf>
    <xf numFmtId="0" fontId="114" fillId="0" borderId="4" xfId="9" applyFont="1" applyBorder="1" applyAlignment="1" applyProtection="1">
      <alignment horizontal="center" vertical="center"/>
    </xf>
    <xf numFmtId="0" fontId="104" fillId="0" borderId="4" xfId="9" applyFont="1" applyBorder="1" applyAlignment="1" applyProtection="1">
      <alignment vertical="center"/>
    </xf>
    <xf numFmtId="0" fontId="104" fillId="0" borderId="18" xfId="9" applyFont="1" applyBorder="1" applyAlignment="1" applyProtection="1">
      <alignment vertical="center"/>
    </xf>
    <xf numFmtId="0" fontId="114" fillId="0" borderId="69" xfId="9" applyFont="1" applyBorder="1" applyAlignment="1" applyProtection="1">
      <alignment horizontal="center" vertical="center"/>
    </xf>
    <xf numFmtId="0" fontId="28" fillId="0" borderId="71" xfId="9" applyFont="1" applyBorder="1" applyAlignment="1" applyProtection="1">
      <alignment vertical="center"/>
    </xf>
    <xf numFmtId="0" fontId="137" fillId="0" borderId="0" xfId="9" applyFont="1" applyAlignment="1" applyProtection="1">
      <alignment vertical="center"/>
    </xf>
    <xf numFmtId="0" fontId="137" fillId="0" borderId="0" xfId="9" applyFont="1" applyAlignment="1" applyProtection="1">
      <alignment horizontal="center" vertical="center"/>
    </xf>
    <xf numFmtId="0" fontId="123" fillId="0" borderId="0" xfId="9" applyFont="1" applyBorder="1" applyAlignment="1">
      <alignment vertical="top"/>
    </xf>
    <xf numFmtId="0" fontId="137" fillId="0" borderId="0" xfId="9" applyFont="1" applyFill="1" applyAlignment="1" applyProtection="1">
      <alignment vertical="center"/>
    </xf>
    <xf numFmtId="0" fontId="137" fillId="0" borderId="0" xfId="9" applyFont="1" applyFill="1" applyAlignment="1" applyProtection="1">
      <alignment horizontal="center" vertical="center"/>
    </xf>
    <xf numFmtId="0" fontId="28" fillId="0" borderId="0" xfId="9" applyProtection="1"/>
    <xf numFmtId="0" fontId="140" fillId="0" borderId="0" xfId="9" applyFont="1" applyProtection="1"/>
    <xf numFmtId="0" fontId="141" fillId="0" borderId="0" xfId="9" applyFont="1" applyProtection="1"/>
    <xf numFmtId="0" fontId="137" fillId="0" borderId="0" xfId="9" applyFont="1" applyFill="1" applyAlignment="1" applyProtection="1">
      <alignment vertical="top"/>
    </xf>
    <xf numFmtId="0" fontId="137" fillId="0" borderId="0" xfId="9" applyFont="1" applyFill="1" applyAlignment="1" applyProtection="1">
      <alignment horizontal="center" vertical="top"/>
    </xf>
    <xf numFmtId="0" fontId="142" fillId="0" borderId="0" xfId="9" applyFont="1" applyFill="1" applyBorder="1" applyAlignment="1" applyProtection="1">
      <alignment vertical="center"/>
    </xf>
    <xf numFmtId="0" fontId="142" fillId="0" borderId="0" xfId="9" applyFont="1" applyFill="1" applyAlignment="1" applyProtection="1">
      <alignment vertical="center"/>
    </xf>
    <xf numFmtId="193" fontId="109" fillId="0" borderId="0" xfId="9" applyNumberFormat="1" applyFont="1" applyAlignment="1" applyProtection="1">
      <alignment vertical="center"/>
    </xf>
    <xf numFmtId="0" fontId="109" fillId="0" borderId="0" xfId="9" applyFont="1" applyAlignment="1" applyProtection="1">
      <alignment horizontal="center" vertical="center"/>
    </xf>
    <xf numFmtId="0" fontId="143" fillId="0" borderId="0" xfId="9" applyFont="1" applyAlignment="1" applyProtection="1">
      <alignment vertical="center"/>
    </xf>
    <xf numFmtId="0" fontId="131" fillId="0" borderId="0" xfId="9" quotePrefix="1" applyFont="1" applyAlignment="1" applyProtection="1">
      <alignment vertical="center"/>
    </xf>
    <xf numFmtId="0" fontId="138" fillId="0" borderId="0" xfId="9" applyFont="1" applyAlignment="1" applyProtection="1">
      <alignment vertical="center"/>
    </xf>
    <xf numFmtId="0" fontId="137" fillId="0" borderId="0" xfId="9" quotePrefix="1" applyFont="1" applyAlignment="1" applyProtection="1">
      <alignment vertical="center"/>
    </xf>
    <xf numFmtId="0" fontId="132" fillId="0" borderId="0" xfId="9" applyFont="1" applyFill="1" applyAlignment="1" applyProtection="1">
      <alignment vertical="center"/>
    </xf>
    <xf numFmtId="0" fontId="146" fillId="16" borderId="0" xfId="9" applyFont="1" applyFill="1" applyAlignment="1" applyProtection="1">
      <alignment vertical="center"/>
    </xf>
    <xf numFmtId="0" fontId="146" fillId="0" borderId="0" xfId="9" applyFont="1" applyAlignment="1" applyProtection="1">
      <alignment vertical="center"/>
    </xf>
    <xf numFmtId="0" fontId="93" fillId="0" borderId="0" xfId="9" applyFont="1" applyFill="1" applyAlignment="1" applyProtection="1">
      <alignment vertical="center"/>
    </xf>
    <xf numFmtId="0" fontId="147" fillId="16" borderId="0" xfId="9" applyFont="1" applyFill="1" applyAlignment="1" applyProtection="1">
      <alignment vertical="center"/>
    </xf>
    <xf numFmtId="0" fontId="148" fillId="0" borderId="0" xfId="9" applyFont="1" applyAlignment="1" applyProtection="1">
      <alignment horizontal="center"/>
    </xf>
    <xf numFmtId="0" fontId="149" fillId="0" borderId="0" xfId="9" applyFont="1" applyAlignment="1" applyProtection="1">
      <alignment vertical="center"/>
    </xf>
    <xf numFmtId="0" fontId="150" fillId="16" borderId="0" xfId="9" applyFont="1" applyFill="1" applyAlignment="1" applyProtection="1">
      <alignment vertical="center"/>
    </xf>
    <xf numFmtId="0" fontId="148" fillId="0" borderId="0" xfId="9" applyFont="1" applyFill="1" applyAlignment="1" applyProtection="1">
      <alignment horizontal="center"/>
    </xf>
    <xf numFmtId="0" fontId="128" fillId="0" borderId="0" xfId="9" applyFont="1" applyFill="1" applyAlignment="1" applyProtection="1">
      <alignment vertical="center"/>
    </xf>
    <xf numFmtId="0" fontId="149" fillId="0" borderId="0" xfId="9" applyFont="1" applyFill="1" applyAlignment="1" applyProtection="1">
      <alignment vertical="center"/>
    </xf>
    <xf numFmtId="0" fontId="150" fillId="0" borderId="0" xfId="9" applyFont="1" applyFill="1" applyAlignment="1" applyProtection="1">
      <alignment vertical="center"/>
    </xf>
    <xf numFmtId="0" fontId="147" fillId="0" borderId="0" xfId="9" applyFont="1" applyAlignment="1" applyProtection="1">
      <alignment vertical="center"/>
    </xf>
    <xf numFmtId="0" fontId="151" fillId="16" borderId="0" xfId="9" applyFont="1" applyFill="1" applyAlignment="1" applyProtection="1">
      <alignment vertical="center"/>
    </xf>
    <xf numFmtId="0" fontId="123" fillId="0" borderId="0" xfId="9" applyFont="1" applyFill="1" applyAlignment="1" applyProtection="1">
      <alignment vertical="center"/>
    </xf>
    <xf numFmtId="0" fontId="123" fillId="0" borderId="0" xfId="9" quotePrefix="1" applyFont="1" applyFill="1" applyAlignment="1" applyProtection="1">
      <alignment vertical="center"/>
    </xf>
    <xf numFmtId="0" fontId="152" fillId="0" borderId="0" xfId="9" applyFont="1" applyAlignment="1" applyProtection="1">
      <alignment vertical="center"/>
    </xf>
    <xf numFmtId="0" fontId="152" fillId="0" borderId="0" xfId="9" applyFont="1" applyAlignment="1" applyProtection="1">
      <alignment horizontal="center" vertical="center"/>
    </xf>
    <xf numFmtId="0" fontId="151" fillId="0" borderId="0" xfId="9" applyFont="1" applyFill="1" applyAlignment="1" applyProtection="1">
      <alignment vertical="center"/>
    </xf>
    <xf numFmtId="0" fontId="132" fillId="0" borderId="0" xfId="9" applyFont="1" applyAlignment="1" applyProtection="1">
      <alignment vertical="center"/>
    </xf>
    <xf numFmtId="0" fontId="93" fillId="0" borderId="0" xfId="9" applyFont="1" applyFill="1" applyBorder="1" applyAlignment="1" applyProtection="1">
      <alignment horizontal="justify" vertical="top" wrapText="1"/>
    </xf>
    <xf numFmtId="0" fontId="93" fillId="0" borderId="0" xfId="9" applyFont="1" applyFill="1" applyAlignment="1" applyProtection="1">
      <alignment horizontal="left" vertical="top"/>
    </xf>
    <xf numFmtId="0" fontId="93" fillId="16" borderId="0" xfId="9" applyFont="1" applyFill="1" applyAlignment="1" applyProtection="1">
      <alignment horizontal="left" vertical="top"/>
    </xf>
    <xf numFmtId="0" fontId="132" fillId="0" borderId="0" xfId="9" applyFont="1" applyFill="1" applyAlignment="1" applyProtection="1">
      <alignment horizontal="left" vertical="center"/>
      <protection locked="0"/>
    </xf>
    <xf numFmtId="0" fontId="132" fillId="16" borderId="0" xfId="9" applyFont="1" applyFill="1" applyAlignment="1" applyProtection="1">
      <alignment horizontal="left" vertical="center"/>
      <protection locked="0"/>
    </xf>
    <xf numFmtId="0" fontId="99" fillId="0" borderId="25" xfId="9" applyFont="1" applyFill="1" applyBorder="1" applyAlignment="1" applyProtection="1">
      <alignment horizontal="right" vertical="center"/>
      <protection locked="0"/>
    </xf>
    <xf numFmtId="0" fontId="157" fillId="0" borderId="45" xfId="9" applyFont="1" applyBorder="1" applyAlignment="1" applyProtection="1">
      <alignment horizontal="left" vertical="center"/>
      <protection locked="0"/>
    </xf>
    <xf numFmtId="0" fontId="93" fillId="0" borderId="45" xfId="9" applyFont="1" applyBorder="1" applyAlignment="1" applyProtection="1">
      <alignment horizontal="left" vertical="center"/>
      <protection locked="0"/>
    </xf>
    <xf numFmtId="0" fontId="93" fillId="0" borderId="46" xfId="9" applyFont="1" applyFill="1" applyBorder="1" applyAlignment="1" applyProtection="1">
      <alignment horizontal="justify" vertical="center"/>
      <protection locked="0"/>
    </xf>
    <xf numFmtId="0" fontId="160" fillId="0" borderId="0" xfId="9" applyFont="1" applyFill="1" applyAlignment="1" applyProtection="1">
      <alignment horizontal="left" vertical="center" wrapText="1"/>
      <protection locked="0"/>
    </xf>
    <xf numFmtId="0" fontId="93" fillId="0" borderId="0" xfId="9" applyFont="1" applyFill="1" applyAlignment="1" applyProtection="1">
      <alignment horizontal="left" vertical="center"/>
      <protection locked="0"/>
    </xf>
    <xf numFmtId="0" fontId="99" fillId="0" borderId="25" xfId="9" applyFont="1" applyFill="1" applyBorder="1" applyAlignment="1" applyProtection="1">
      <alignment horizontal="right" vertical="center"/>
    </xf>
    <xf numFmtId="0" fontId="93" fillId="0" borderId="45" xfId="9" applyFont="1" applyBorder="1" applyAlignment="1" applyProtection="1">
      <alignment horizontal="left" vertical="center"/>
    </xf>
    <xf numFmtId="0" fontId="93" fillId="0" borderId="46" xfId="9" applyFont="1" applyFill="1" applyBorder="1" applyAlignment="1" applyProtection="1">
      <alignment horizontal="justify" vertical="center"/>
    </xf>
    <xf numFmtId="49" fontId="99" fillId="0" borderId="25" xfId="9" applyNumberFormat="1" applyFont="1" applyFill="1" applyBorder="1" applyAlignment="1" applyProtection="1">
      <alignment horizontal="right" vertical="center"/>
    </xf>
    <xf numFmtId="49" fontId="93" fillId="0" borderId="45" xfId="9" applyNumberFormat="1" applyFont="1" applyBorder="1" applyAlignment="1" applyProtection="1">
      <alignment horizontal="left" vertical="center"/>
    </xf>
    <xf numFmtId="49" fontId="93" fillId="0" borderId="46" xfId="9" applyNumberFormat="1" applyFont="1" applyFill="1" applyBorder="1" applyAlignment="1" applyProtection="1">
      <alignment horizontal="justify" vertical="center"/>
    </xf>
    <xf numFmtId="49" fontId="93" fillId="0" borderId="0" xfId="9" applyNumberFormat="1" applyFont="1" applyFill="1" applyAlignment="1" applyProtection="1">
      <alignment horizontal="left" vertical="center"/>
    </xf>
    <xf numFmtId="0" fontId="99" fillId="0" borderId="25" xfId="9" applyFont="1" applyFill="1" applyBorder="1" applyAlignment="1" applyProtection="1">
      <alignment horizontal="right" vertical="top"/>
    </xf>
    <xf numFmtId="0" fontId="93" fillId="0" borderId="45" xfId="9" applyFont="1" applyBorder="1" applyAlignment="1" applyProtection="1">
      <alignment horizontal="left" vertical="top"/>
    </xf>
    <xf numFmtId="0" fontId="93" fillId="0" borderId="46" xfId="9" applyFont="1" applyFill="1" applyBorder="1" applyAlignment="1" applyProtection="1">
      <alignment horizontal="justify" vertical="top"/>
    </xf>
    <xf numFmtId="0" fontId="93" fillId="0" borderId="45" xfId="9" applyFont="1" applyFill="1" applyBorder="1" applyAlignment="1" applyProtection="1">
      <alignment horizontal="justify" vertical="center"/>
    </xf>
    <xf numFmtId="0" fontId="115" fillId="0" borderId="0" xfId="9" applyFont="1" applyFill="1" applyAlignment="1" applyProtection="1">
      <alignment horizontal="left" vertical="center"/>
    </xf>
    <xf numFmtId="0" fontId="93" fillId="16" borderId="0" xfId="9" applyFont="1" applyFill="1" applyAlignment="1" applyProtection="1">
      <alignment horizontal="left" vertical="center"/>
    </xf>
    <xf numFmtId="0" fontId="104" fillId="0" borderId="0" xfId="9" applyFont="1" applyFill="1" applyAlignment="1" applyProtection="1">
      <alignment horizontal="left" vertical="center"/>
    </xf>
    <xf numFmtId="0" fontId="93" fillId="0" borderId="45" xfId="9" applyFont="1" applyFill="1" applyBorder="1" applyAlignment="1" applyProtection="1">
      <alignment horizontal="left" vertical="center"/>
    </xf>
    <xf numFmtId="0" fontId="115" fillId="0" borderId="0" xfId="9" applyFont="1" applyFill="1" applyBorder="1" applyAlignment="1" applyProtection="1">
      <alignment horizontal="left" vertical="center"/>
    </xf>
    <xf numFmtId="0" fontId="93" fillId="0" borderId="72" xfId="9" applyFont="1" applyBorder="1" applyAlignment="1" applyProtection="1">
      <alignment horizontal="left" vertical="center"/>
    </xf>
    <xf numFmtId="0" fontId="93" fillId="0" borderId="67" xfId="9" applyFont="1" applyFill="1" applyBorder="1" applyAlignment="1" applyProtection="1">
      <alignment horizontal="justify" vertical="center"/>
    </xf>
    <xf numFmtId="0" fontId="99" fillId="4" borderId="25" xfId="9" applyFont="1" applyFill="1" applyBorder="1" applyAlignment="1" applyProtection="1">
      <alignment horizontal="right" vertical="center"/>
    </xf>
    <xf numFmtId="0" fontId="93" fillId="4" borderId="45" xfId="9" applyFont="1" applyFill="1" applyBorder="1" applyAlignment="1" applyProtection="1">
      <alignment horizontal="left" vertical="center"/>
    </xf>
    <xf numFmtId="0" fontId="93" fillId="4" borderId="46" xfId="9" applyFont="1" applyFill="1" applyBorder="1" applyAlignment="1" applyProtection="1">
      <alignment horizontal="justify" vertical="center"/>
    </xf>
    <xf numFmtId="0" fontId="28" fillId="0" borderId="0" xfId="9" applyFont="1" applyFill="1" applyAlignment="1" applyProtection="1">
      <alignment horizontal="left" vertical="center"/>
    </xf>
    <xf numFmtId="0" fontId="95" fillId="0" borderId="0" xfId="9" applyFont="1" applyFill="1" applyAlignment="1" applyProtection="1">
      <alignment horizontal="left" vertical="center"/>
    </xf>
    <xf numFmtId="0" fontId="93" fillId="0" borderId="63" xfId="9" applyFont="1" applyBorder="1" applyAlignment="1" applyProtection="1">
      <alignment horizontal="right" vertical="center"/>
    </xf>
    <xf numFmtId="0" fontId="93" fillId="0" borderId="0" xfId="9" applyFont="1" applyFill="1" applyBorder="1" applyAlignment="1" applyProtection="1">
      <alignment horizontal="justify" vertical="center"/>
    </xf>
    <xf numFmtId="0" fontId="93" fillId="0" borderId="26" xfId="9" applyFont="1" applyFill="1" applyBorder="1" applyAlignment="1" applyProtection="1">
      <alignment horizontal="justify" vertical="center"/>
    </xf>
    <xf numFmtId="0" fontId="93" fillId="0" borderId="63" xfId="9" applyFont="1" applyFill="1" applyBorder="1" applyAlignment="1" applyProtection="1">
      <alignment horizontal="left" vertical="center"/>
    </xf>
    <xf numFmtId="0" fontId="132" fillId="0" borderId="0" xfId="9" applyFont="1" applyFill="1" applyAlignment="1" applyProtection="1">
      <alignment horizontal="left" vertical="center"/>
    </xf>
    <xf numFmtId="0" fontId="99" fillId="0" borderId="73" xfId="9" applyFont="1" applyFill="1" applyBorder="1" applyAlignment="1" applyProtection="1">
      <alignment horizontal="right" vertical="center"/>
    </xf>
    <xf numFmtId="0" fontId="93" fillId="0" borderId="72" xfId="9" applyFont="1" applyBorder="1" applyAlignment="1" applyProtection="1">
      <alignment horizontal="left" vertical="top"/>
    </xf>
    <xf numFmtId="0" fontId="95" fillId="0" borderId="0" xfId="9" applyFont="1" applyFill="1" applyAlignment="1" applyProtection="1">
      <alignment horizontal="left" vertical="top"/>
    </xf>
    <xf numFmtId="0" fontId="93" fillId="0" borderId="0" xfId="9" applyFont="1" applyFill="1" applyAlignment="1" applyProtection="1">
      <alignment horizontal="left" vertical="top"/>
      <protection locked="0"/>
    </xf>
    <xf numFmtId="0" fontId="92" fillId="0" borderId="0" xfId="9" applyFont="1" applyFill="1" applyAlignment="1" applyProtection="1">
      <alignment horizontal="left" vertical="top"/>
    </xf>
    <xf numFmtId="0" fontId="168" fillId="0" borderId="0" xfId="9" applyFont="1" applyFill="1" applyBorder="1" applyAlignment="1" applyProtection="1">
      <alignment horizontal="center" vertical="center"/>
    </xf>
    <xf numFmtId="0" fontId="92" fillId="0" borderId="0" xfId="9" applyFont="1" applyBorder="1" applyAlignment="1" applyProtection="1">
      <alignment horizontal="left" vertical="top"/>
    </xf>
    <xf numFmtId="0" fontId="92" fillId="0" borderId="0" xfId="9" applyFont="1" applyFill="1" applyBorder="1" applyAlignment="1" applyProtection="1">
      <alignment horizontal="justify" vertical="top" wrapText="1"/>
    </xf>
    <xf numFmtId="0" fontId="121" fillId="17" borderId="30" xfId="9" applyFont="1" applyFill="1" applyBorder="1" applyAlignment="1" applyProtection="1">
      <alignment horizontal="center" vertical="center" wrapText="1"/>
    </xf>
    <xf numFmtId="38" fontId="93" fillId="0" borderId="74" xfId="9" applyNumberFormat="1" applyFont="1" applyBorder="1" applyAlignment="1" applyProtection="1">
      <alignment horizontal="center" vertical="center"/>
    </xf>
    <xf numFmtId="38" fontId="93" fillId="0" borderId="1" xfId="9" applyNumberFormat="1" applyFont="1" applyBorder="1" applyAlignment="1" applyProtection="1">
      <alignment horizontal="center" vertical="center"/>
    </xf>
    <xf numFmtId="38" fontId="93" fillId="0" borderId="75" xfId="9" applyNumberFormat="1" applyFont="1" applyBorder="1" applyAlignment="1" applyProtection="1">
      <alignment horizontal="center" vertical="center"/>
    </xf>
    <xf numFmtId="0" fontId="169" fillId="0" borderId="0" xfId="15" applyFont="1" applyFill="1" applyBorder="1" applyAlignment="1" applyProtection="1">
      <alignment horizontal="center" vertical="center" wrapText="1"/>
    </xf>
    <xf numFmtId="0" fontId="150" fillId="0" borderId="0" xfId="15" applyFont="1" applyFill="1" applyBorder="1" applyAlignment="1" applyProtection="1">
      <alignment vertical="center"/>
    </xf>
    <xf numFmtId="0" fontId="170" fillId="0" borderId="0" xfId="9" applyFont="1" applyProtection="1"/>
    <xf numFmtId="0" fontId="93" fillId="0" borderId="0" xfId="9" applyFont="1" applyFill="1" applyAlignment="1" applyProtection="1">
      <alignment horizontal="center" vertical="center" wrapText="1"/>
    </xf>
    <xf numFmtId="38" fontId="121" fillId="17" borderId="30" xfId="9" applyNumberFormat="1" applyFont="1" applyFill="1" applyBorder="1" applyAlignment="1" applyProtection="1">
      <alignment horizontal="center" vertical="center"/>
    </xf>
    <xf numFmtId="0" fontId="28" fillId="0" borderId="0" xfId="9" applyAlignment="1" applyProtection="1">
      <alignment horizontal="center" wrapText="1"/>
    </xf>
    <xf numFmtId="0" fontId="150" fillId="0" borderId="0" xfId="9" applyFont="1" applyAlignment="1" applyProtection="1">
      <alignment vertical="center"/>
    </xf>
    <xf numFmtId="38" fontId="95" fillId="18" borderId="0" xfId="9" applyNumberFormat="1" applyFont="1" applyFill="1" applyBorder="1" applyAlignment="1" applyProtection="1">
      <alignment horizontal="center" vertical="center"/>
    </xf>
    <xf numFmtId="0" fontId="171" fillId="0" borderId="0" xfId="15" applyFont="1" applyFill="1" applyBorder="1" applyAlignment="1" applyProtection="1">
      <alignment vertical="center"/>
    </xf>
    <xf numFmtId="38" fontId="121" fillId="17" borderId="0" xfId="9" applyNumberFormat="1" applyFont="1" applyFill="1" applyBorder="1" applyAlignment="1" applyProtection="1">
      <alignment horizontal="center" vertical="center"/>
    </xf>
    <xf numFmtId="0" fontId="172" fillId="0" borderId="0" xfId="9" applyFont="1" applyAlignment="1" applyProtection="1">
      <alignment horizontal="left" vertical="center"/>
    </xf>
    <xf numFmtId="0" fontId="173" fillId="0" borderId="0" xfId="9" applyFont="1" applyAlignment="1" applyProtection="1">
      <alignment vertical="center"/>
    </xf>
    <xf numFmtId="0" fontId="124" fillId="0" borderId="0" xfId="9" applyFont="1" applyFill="1" applyAlignment="1" applyProtection="1">
      <alignment vertical="center"/>
    </xf>
    <xf numFmtId="0" fontId="173" fillId="0" borderId="0" xfId="9" applyFont="1" applyFill="1" applyAlignment="1" applyProtection="1">
      <alignment vertical="center"/>
    </xf>
    <xf numFmtId="0" fontId="92" fillId="0" borderId="0" xfId="9" applyFont="1" applyAlignment="1" applyProtection="1">
      <alignment vertical="center"/>
      <protection locked="0"/>
    </xf>
    <xf numFmtId="0" fontId="28" fillId="0" borderId="0" xfId="9" applyProtection="1">
      <protection locked="0"/>
    </xf>
    <xf numFmtId="0" fontId="93" fillId="0" borderId="0" xfId="9" applyFont="1" applyAlignment="1" applyProtection="1">
      <alignment vertical="center"/>
      <protection locked="0"/>
    </xf>
    <xf numFmtId="0" fontId="174" fillId="0" borderId="0" xfId="9" applyFont="1" applyAlignment="1" applyProtection="1">
      <alignment horizontal="center" vertical="center" wrapText="1"/>
      <protection locked="0"/>
    </xf>
    <xf numFmtId="0" fontId="93" fillId="0" borderId="0" xfId="9" applyFont="1" applyFill="1" applyAlignment="1" applyProtection="1">
      <alignment vertical="center"/>
      <protection locked="0"/>
    </xf>
    <xf numFmtId="0" fontId="28" fillId="11" borderId="0" xfId="9" applyFill="1" applyProtection="1">
      <protection locked="0"/>
    </xf>
    <xf numFmtId="0" fontId="93" fillId="11" borderId="0" xfId="9" applyFont="1" applyFill="1" applyAlignment="1" applyProtection="1">
      <alignment vertical="center"/>
      <protection locked="0"/>
    </xf>
    <xf numFmtId="0" fontId="28" fillId="11" borderId="0" xfId="9" applyFill="1"/>
    <xf numFmtId="0" fontId="104" fillId="0" borderId="0" xfId="9" applyFont="1" applyFill="1" applyBorder="1" applyAlignment="1">
      <alignment vertical="center"/>
    </xf>
    <xf numFmtId="0" fontId="175" fillId="0" borderId="0" xfId="9" applyFont="1" applyFill="1" applyBorder="1" applyAlignment="1">
      <alignment vertical="center"/>
    </xf>
    <xf numFmtId="0" fontId="175" fillId="16" borderId="0" xfId="9" applyFont="1" applyFill="1" applyBorder="1" applyAlignment="1">
      <alignment vertical="center"/>
    </xf>
    <xf numFmtId="0" fontId="104" fillId="0" borderId="0" xfId="9" applyFont="1" applyFill="1" applyBorder="1" applyAlignment="1">
      <alignment horizontal="center" vertical="center"/>
    </xf>
    <xf numFmtId="0" fontId="104" fillId="16" borderId="0" xfId="9" applyFont="1" applyFill="1" applyBorder="1" applyAlignment="1">
      <alignment vertical="center"/>
    </xf>
    <xf numFmtId="0" fontId="104" fillId="0" borderId="0" xfId="9" applyFont="1" applyAlignment="1">
      <alignment vertical="center"/>
    </xf>
    <xf numFmtId="0" fontId="104" fillId="0" borderId="0" xfId="9" applyFont="1" applyFill="1" applyBorder="1" applyAlignment="1">
      <alignment horizontal="left" vertical="center"/>
    </xf>
    <xf numFmtId="0" fontId="176" fillId="0" borderId="0" xfId="9" applyFont="1" applyFill="1" applyBorder="1" applyAlignment="1">
      <alignment horizontal="center" vertical="center"/>
    </xf>
    <xf numFmtId="0" fontId="104" fillId="0" borderId="0" xfId="9" applyFont="1" applyAlignment="1">
      <alignment horizontal="left" vertical="top" indent="1"/>
    </xf>
    <xf numFmtId="0" fontId="132" fillId="0" borderId="0" xfId="9" applyFont="1" applyAlignment="1">
      <alignment horizontal="left" vertical="top" indent="1"/>
    </xf>
    <xf numFmtId="0" fontId="132" fillId="0" borderId="0" xfId="9" applyFont="1" applyAlignment="1">
      <alignment horizontal="left" vertical="center"/>
    </xf>
    <xf numFmtId="0" fontId="132" fillId="0" borderId="0" xfId="9" applyFont="1" applyFill="1" applyBorder="1" applyAlignment="1">
      <alignment horizontal="left" vertical="top" indent="1"/>
    </xf>
    <xf numFmtId="0" fontId="132" fillId="0" borderId="0" xfId="9" applyFont="1" applyFill="1" applyBorder="1" applyAlignment="1">
      <alignment vertical="center"/>
    </xf>
    <xf numFmtId="0" fontId="132" fillId="0" borderId="0" xfId="9" applyFont="1" applyFill="1" applyBorder="1" applyAlignment="1">
      <alignment horizontal="left" vertical="center"/>
    </xf>
    <xf numFmtId="0" fontId="104" fillId="0" borderId="0" xfId="9" applyFont="1" applyFill="1" applyBorder="1" applyAlignment="1">
      <alignment horizontal="left" vertical="top" indent="1"/>
    </xf>
    <xf numFmtId="0" fontId="104" fillId="0" borderId="0" xfId="9" applyFont="1" applyFill="1" applyBorder="1" applyAlignment="1">
      <alignment vertical="top"/>
    </xf>
    <xf numFmtId="0" fontId="93" fillId="0" borderId="0" xfId="9" applyFont="1" applyFill="1" applyBorder="1" applyAlignment="1">
      <alignment horizontal="left" vertical="top" indent="1"/>
    </xf>
    <xf numFmtId="0" fontId="93" fillId="0" borderId="0" xfId="9" applyFont="1" applyFill="1" applyBorder="1" applyAlignment="1">
      <alignment vertical="center"/>
    </xf>
    <xf numFmtId="0" fontId="175" fillId="0" borderId="0" xfId="9" applyFont="1" applyFill="1" applyBorder="1" applyAlignment="1">
      <alignment horizontal="left" vertical="center"/>
    </xf>
    <xf numFmtId="0" fontId="93" fillId="0" borderId="0" xfId="9" applyFont="1" applyFill="1" applyBorder="1" applyAlignment="1">
      <alignment horizontal="left" vertical="center"/>
    </xf>
    <xf numFmtId="0" fontId="115" fillId="0" borderId="0" xfId="9" applyFont="1" applyFill="1" applyBorder="1" applyAlignment="1">
      <alignment vertical="center" wrapText="1"/>
    </xf>
    <xf numFmtId="0" fontId="28" fillId="0" borderId="0" xfId="9" applyFont="1"/>
    <xf numFmtId="0" fontId="179" fillId="0" borderId="0" xfId="9" applyFont="1" applyFill="1" applyBorder="1" applyAlignment="1">
      <alignment vertical="center" wrapText="1"/>
    </xf>
    <xf numFmtId="0" fontId="115" fillId="0" borderId="0" xfId="9" applyFont="1" applyFill="1" applyBorder="1" applyAlignment="1">
      <alignment vertical="center"/>
    </xf>
    <xf numFmtId="198" fontId="175" fillId="0" borderId="0" xfId="9" applyNumberFormat="1" applyFont="1" applyFill="1" applyBorder="1" applyAlignment="1">
      <alignment vertical="center"/>
    </xf>
    <xf numFmtId="0" fontId="179" fillId="0" borderId="0" xfId="9" applyFont="1" applyFill="1" applyBorder="1" applyAlignment="1">
      <alignment vertical="center"/>
    </xf>
    <xf numFmtId="41" fontId="104" fillId="0" borderId="0" xfId="4" applyFont="1" applyFill="1" applyBorder="1" applyAlignment="1">
      <alignment vertical="center"/>
    </xf>
    <xf numFmtId="0" fontId="176" fillId="0" borderId="0" xfId="9" applyFont="1" applyFill="1" applyBorder="1" applyAlignment="1">
      <alignment vertical="center"/>
    </xf>
    <xf numFmtId="0" fontId="112" fillId="0" borderId="32" xfId="9" applyFont="1" applyFill="1" applyBorder="1" applyAlignment="1">
      <alignment horizontal="center" vertical="center"/>
    </xf>
    <xf numFmtId="0" fontId="95" fillId="0" borderId="0" xfId="9" applyFont="1" applyFill="1" applyBorder="1" applyAlignment="1">
      <alignment vertical="center" wrapText="1"/>
    </xf>
    <xf numFmtId="0" fontId="104" fillId="0" borderId="0" xfId="9" applyNumberFormat="1" applyFont="1" applyFill="1" applyBorder="1" applyAlignment="1">
      <alignment vertical="center"/>
    </xf>
    <xf numFmtId="0" fontId="104" fillId="0" borderId="0" xfId="9" applyNumberFormat="1" applyFont="1" applyFill="1" applyBorder="1" applyAlignment="1">
      <alignment horizontal="center" vertical="center"/>
    </xf>
    <xf numFmtId="0" fontId="104" fillId="0" borderId="0" xfId="9" applyFont="1" applyFill="1" applyBorder="1" applyAlignment="1"/>
    <xf numFmtId="196" fontId="104" fillId="0" borderId="0" xfId="6" applyNumberFormat="1" applyFont="1" applyFill="1" applyBorder="1" applyAlignment="1">
      <alignment vertical="center"/>
    </xf>
    <xf numFmtId="0" fontId="123" fillId="0" borderId="0" xfId="9" applyFont="1" applyFill="1" applyBorder="1" applyAlignment="1">
      <alignment vertical="center"/>
    </xf>
    <xf numFmtId="0" fontId="115" fillId="16" borderId="0" xfId="9" applyFont="1" applyFill="1" applyBorder="1" applyAlignment="1">
      <alignment vertical="center" wrapText="1"/>
    </xf>
    <xf numFmtId="0" fontId="104" fillId="16" borderId="0" xfId="9" applyFont="1" applyFill="1" applyBorder="1" applyAlignment="1"/>
    <xf numFmtId="0" fontId="182" fillId="5" borderId="69" xfId="9" applyFont="1" applyFill="1" applyBorder="1" applyAlignment="1">
      <alignment vertical="center"/>
    </xf>
    <xf numFmtId="0" fontId="175" fillId="0" borderId="0" xfId="9" applyFont="1" applyFill="1" applyBorder="1" applyAlignment="1"/>
    <xf numFmtId="0" fontId="182" fillId="5" borderId="4" xfId="9" applyFont="1" applyFill="1" applyBorder="1" applyAlignment="1">
      <alignment vertical="center"/>
    </xf>
    <xf numFmtId="0" fontId="123" fillId="0" borderId="0" xfId="9" applyFont="1" applyFill="1" applyBorder="1" applyAlignment="1">
      <alignment horizontal="left" vertical="center"/>
    </xf>
    <xf numFmtId="202" fontId="163" fillId="0" borderId="32" xfId="9" applyNumberFormat="1" applyFont="1" applyFill="1" applyBorder="1" applyAlignment="1">
      <alignment horizontal="left" vertical="center" indent="1"/>
    </xf>
    <xf numFmtId="202" fontId="163" fillId="0" borderId="33" xfId="9" applyNumberFormat="1" applyFont="1" applyFill="1" applyBorder="1" applyAlignment="1">
      <alignment horizontal="left" vertical="center" indent="1"/>
    </xf>
    <xf numFmtId="202" fontId="163" fillId="0" borderId="34" xfId="9" applyNumberFormat="1" applyFont="1" applyFill="1" applyBorder="1" applyAlignment="1">
      <alignment horizontal="left" vertical="center" indent="1"/>
    </xf>
    <xf numFmtId="203" fontId="163" fillId="0" borderId="32" xfId="9" applyNumberFormat="1" applyFont="1" applyFill="1" applyBorder="1" applyAlignment="1">
      <alignment horizontal="left" vertical="center" indent="1"/>
    </xf>
    <xf numFmtId="203" fontId="163" fillId="0" borderId="33" xfId="9" applyNumberFormat="1" applyFont="1" applyFill="1" applyBorder="1" applyAlignment="1">
      <alignment vertical="center"/>
    </xf>
    <xf numFmtId="204" fontId="163" fillId="0" borderId="32" xfId="9" applyNumberFormat="1" applyFont="1" applyFill="1" applyBorder="1" applyAlignment="1">
      <alignment horizontal="left" vertical="center" indent="1"/>
    </xf>
    <xf numFmtId="204" fontId="163" fillId="0" borderId="33" xfId="9" applyNumberFormat="1" applyFont="1" applyFill="1" applyBorder="1" applyAlignment="1">
      <alignment horizontal="left" vertical="center" indent="1"/>
    </xf>
    <xf numFmtId="0" fontId="104" fillId="16" borderId="0" xfId="9" applyFont="1" applyFill="1" applyBorder="1" applyAlignment="1">
      <alignment horizontal="left" vertical="center"/>
    </xf>
    <xf numFmtId="196" fontId="175" fillId="0" borderId="0" xfId="6" applyNumberFormat="1" applyFont="1" applyFill="1" applyBorder="1" applyAlignment="1">
      <alignment vertical="center"/>
    </xf>
    <xf numFmtId="0" fontId="185" fillId="0" borderId="0" xfId="9" applyFont="1" applyFill="1" applyBorder="1" applyAlignment="1">
      <alignment horizontal="center" vertical="center"/>
    </xf>
    <xf numFmtId="0" fontId="28" fillId="16" borderId="0" xfId="9" applyFill="1"/>
    <xf numFmtId="0" fontId="109" fillId="18" borderId="69" xfId="9" applyFont="1" applyFill="1" applyBorder="1" applyAlignment="1">
      <alignment vertical="center"/>
    </xf>
    <xf numFmtId="0" fontId="109" fillId="18" borderId="70" xfId="9" applyFont="1" applyFill="1" applyBorder="1" applyAlignment="1">
      <alignment vertical="center"/>
    </xf>
    <xf numFmtId="0" fontId="114" fillId="0" borderId="0" xfId="9" applyFont="1" applyFill="1" applyBorder="1" applyAlignment="1">
      <alignment horizontal="center" vertical="center" wrapText="1"/>
    </xf>
    <xf numFmtId="0" fontId="114" fillId="16" borderId="0" xfId="9" applyFont="1" applyFill="1" applyBorder="1" applyAlignment="1">
      <alignment horizontal="center" vertical="center" wrapText="1"/>
    </xf>
    <xf numFmtId="0" fontId="109" fillId="18" borderId="4" xfId="9" applyFont="1" applyFill="1" applyBorder="1" applyAlignment="1">
      <alignment vertical="center"/>
    </xf>
    <xf numFmtId="0" fontId="109" fillId="18" borderId="18" xfId="9" applyFont="1" applyFill="1" applyBorder="1" applyAlignment="1">
      <alignment vertical="center"/>
    </xf>
    <xf numFmtId="168" fontId="104" fillId="0" borderId="0" xfId="6" applyNumberFormat="1" applyFont="1" applyFill="1" applyBorder="1" applyAlignment="1">
      <alignment horizontal="left" vertical="center"/>
    </xf>
    <xf numFmtId="168" fontId="104" fillId="16" borderId="0" xfId="6" applyNumberFormat="1" applyFont="1" applyFill="1" applyBorder="1" applyAlignment="1">
      <alignment horizontal="left" vertical="center"/>
    </xf>
    <xf numFmtId="0" fontId="109" fillId="9" borderId="0" xfId="9" applyFont="1" applyFill="1" applyBorder="1" applyAlignment="1">
      <alignment horizontal="left" vertical="center" indent="2"/>
    </xf>
    <xf numFmtId="0" fontId="109" fillId="9" borderId="0" xfId="9" applyFont="1" applyFill="1" applyBorder="1" applyAlignment="1">
      <alignment horizontal="right" vertical="center" indent="2"/>
    </xf>
    <xf numFmtId="0" fontId="109" fillId="9" borderId="4" xfId="9" applyFont="1" applyFill="1" applyBorder="1" applyAlignment="1">
      <alignment horizontal="right" vertical="center" indent="2"/>
    </xf>
    <xf numFmtId="0" fontId="109" fillId="9" borderId="18" xfId="9" applyFont="1" applyFill="1" applyBorder="1" applyAlignment="1">
      <alignment horizontal="right" vertical="center" indent="2"/>
    </xf>
    <xf numFmtId="37" fontId="109" fillId="9" borderId="17" xfId="6" applyNumberFormat="1" applyFont="1" applyFill="1" applyBorder="1" applyAlignment="1">
      <alignment horizontal="right" vertical="center"/>
    </xf>
    <xf numFmtId="37" fontId="109" fillId="9" borderId="4" xfId="6" applyNumberFormat="1" applyFont="1" applyFill="1" applyBorder="1" applyAlignment="1">
      <alignment horizontal="right" vertical="center"/>
    </xf>
    <xf numFmtId="37" fontId="109" fillId="9" borderId="18" xfId="6" applyNumberFormat="1" applyFont="1" applyFill="1" applyBorder="1" applyAlignment="1">
      <alignment horizontal="right" vertical="center"/>
    </xf>
    <xf numFmtId="0" fontId="109" fillId="9" borderId="4" xfId="9" applyFont="1" applyFill="1" applyBorder="1" applyAlignment="1">
      <alignment vertical="center"/>
    </xf>
    <xf numFmtId="0" fontId="109" fillId="9" borderId="18" xfId="9" applyFont="1" applyFill="1" applyBorder="1" applyAlignment="1">
      <alignment vertical="center"/>
    </xf>
    <xf numFmtId="210" fontId="163" fillId="0" borderId="32" xfId="9" applyNumberFormat="1" applyFont="1" applyFill="1" applyBorder="1" applyAlignment="1">
      <alignment horizontal="left" vertical="center" indent="1"/>
    </xf>
    <xf numFmtId="210" fontId="163" fillId="0" borderId="33" xfId="9" applyNumberFormat="1" applyFont="1" applyFill="1" applyBorder="1" applyAlignment="1">
      <alignment vertical="center"/>
    </xf>
    <xf numFmtId="211" fontId="163" fillId="4" borderId="33" xfId="9" applyNumberFormat="1" applyFont="1" applyFill="1" applyBorder="1" applyAlignment="1" applyProtection="1">
      <alignment vertical="center"/>
      <protection locked="0"/>
    </xf>
    <xf numFmtId="0" fontId="104" fillId="9" borderId="0" xfId="9" applyFont="1" applyFill="1" applyBorder="1" applyAlignment="1">
      <alignment vertical="center"/>
    </xf>
    <xf numFmtId="0" fontId="175" fillId="9" borderId="0" xfId="9" applyFont="1" applyFill="1" applyBorder="1" applyAlignment="1">
      <alignment vertical="center"/>
    </xf>
    <xf numFmtId="0" fontId="109" fillId="9" borderId="69" xfId="9" applyFont="1" applyFill="1" applyBorder="1" applyAlignment="1">
      <alignment vertical="center"/>
    </xf>
    <xf numFmtId="0" fontId="109" fillId="9" borderId="70" xfId="9" applyFont="1" applyFill="1" applyBorder="1" applyAlignment="1">
      <alignment vertical="center"/>
    </xf>
    <xf numFmtId="0" fontId="104" fillId="19" borderId="0" xfId="9" applyFont="1" applyFill="1" applyBorder="1" applyAlignment="1">
      <alignment vertical="center"/>
    </xf>
    <xf numFmtId="0" fontId="175" fillId="19" borderId="0" xfId="9" applyFont="1" applyFill="1" applyBorder="1" applyAlignment="1">
      <alignment vertical="center"/>
    </xf>
    <xf numFmtId="0" fontId="104" fillId="19" borderId="0" xfId="9" applyFont="1" applyFill="1" applyBorder="1" applyAlignment="1">
      <alignment horizontal="center" vertical="center"/>
    </xf>
    <xf numFmtId="0" fontId="93" fillId="0" borderId="0" xfId="9" applyFont="1" applyAlignment="1" applyProtection="1">
      <alignment horizontal="left" vertical="top"/>
      <protection locked="0"/>
    </xf>
    <xf numFmtId="0" fontId="178" fillId="0" borderId="0" xfId="9" applyFont="1" applyBorder="1" applyAlignment="1" applyProtection="1">
      <alignment vertical="center"/>
      <protection locked="0"/>
    </xf>
    <xf numFmtId="0" fontId="93" fillId="0" borderId="0" xfId="9" applyFont="1" applyBorder="1" applyAlignment="1" applyProtection="1">
      <alignment horizontal="left"/>
      <protection locked="0"/>
    </xf>
    <xf numFmtId="0" fontId="93" fillId="0" borderId="0" xfId="9" applyFont="1" applyAlignment="1" applyProtection="1">
      <alignment horizontal="left"/>
      <protection locked="0"/>
    </xf>
    <xf numFmtId="0" fontId="187" fillId="0" borderId="0" xfId="9" applyFont="1" applyBorder="1" applyAlignment="1" applyProtection="1">
      <alignment vertical="center"/>
      <protection locked="0"/>
    </xf>
    <xf numFmtId="0" fontId="95" fillId="0" borderId="0" xfId="9" applyFont="1" applyBorder="1" applyAlignment="1" applyProtection="1">
      <alignment horizontal="left" vertical="top" indent="1"/>
      <protection locked="0"/>
    </xf>
    <xf numFmtId="0" fontId="93" fillId="0" borderId="0" xfId="9" applyFont="1" applyBorder="1" applyAlignment="1" applyProtection="1">
      <alignment horizontal="left" vertical="top"/>
      <protection locked="0"/>
    </xf>
    <xf numFmtId="0" fontId="188" fillId="0" borderId="0" xfId="9" applyFont="1" applyBorder="1" applyAlignment="1" applyProtection="1">
      <protection locked="0"/>
    </xf>
    <xf numFmtId="0" fontId="123" fillId="0" borderId="0" xfId="9" applyFont="1" applyAlignment="1" applyProtection="1">
      <alignment horizontal="left" vertical="top"/>
      <protection locked="0"/>
    </xf>
    <xf numFmtId="0" fontId="118" fillId="0" borderId="0" xfId="9" applyFont="1" applyAlignment="1" applyProtection="1">
      <alignment horizontal="left" vertical="top"/>
      <protection locked="0"/>
    </xf>
    <xf numFmtId="0" fontId="92" fillId="0" borderId="0" xfId="9" applyFont="1" applyAlignment="1" applyProtection="1">
      <alignment horizontal="left" vertical="top"/>
      <protection locked="0"/>
    </xf>
    <xf numFmtId="0" fontId="93" fillId="0" borderId="73" xfId="9" applyFont="1" applyBorder="1" applyAlignment="1" applyProtection="1">
      <alignment horizontal="left" vertical="top"/>
      <protection locked="0"/>
    </xf>
    <xf numFmtId="0" fontId="93" fillId="0" borderId="72" xfId="9" applyFont="1" applyBorder="1" applyAlignment="1" applyProtection="1">
      <alignment horizontal="left" vertical="top"/>
      <protection locked="0"/>
    </xf>
    <xf numFmtId="0" fontId="93" fillId="0" borderId="67" xfId="9" applyFont="1" applyBorder="1" applyAlignment="1" applyProtection="1">
      <alignment horizontal="left" vertical="top"/>
      <protection locked="0"/>
    </xf>
    <xf numFmtId="0" fontId="93" fillId="0" borderId="63" xfId="9" applyFont="1" applyBorder="1" applyAlignment="1" applyProtection="1">
      <alignment horizontal="left" vertical="center"/>
      <protection locked="0"/>
    </xf>
    <xf numFmtId="0" fontId="93" fillId="0" borderId="26" xfId="9" applyFont="1" applyBorder="1" applyAlignment="1" applyProtection="1">
      <alignment horizontal="left" vertical="center"/>
      <protection locked="0"/>
    </xf>
    <xf numFmtId="0" fontId="93" fillId="0" borderId="0" xfId="9" applyFont="1" applyAlignment="1" applyProtection="1">
      <alignment horizontal="left" vertical="center"/>
      <protection locked="0"/>
    </xf>
    <xf numFmtId="0" fontId="93" fillId="0" borderId="63" xfId="9" applyFont="1" applyBorder="1" applyAlignment="1" applyProtection="1">
      <alignment horizontal="left" vertical="top"/>
      <protection locked="0"/>
    </xf>
    <xf numFmtId="0" fontId="93" fillId="0" borderId="0" xfId="9" applyFont="1" applyBorder="1" applyAlignment="1" applyProtection="1">
      <alignment horizontal="center" vertical="top"/>
      <protection locked="0"/>
    </xf>
    <xf numFmtId="0" fontId="93" fillId="0" borderId="0" xfId="9" applyFont="1" applyBorder="1" applyAlignment="1" applyProtection="1">
      <alignment vertical="top"/>
      <protection locked="0"/>
    </xf>
    <xf numFmtId="0" fontId="93" fillId="0" borderId="26" xfId="9" applyFont="1" applyBorder="1" applyAlignment="1" applyProtection="1">
      <alignment horizontal="left" vertical="top"/>
      <protection locked="0"/>
    </xf>
    <xf numFmtId="0" fontId="93" fillId="0" borderId="63" xfId="9" applyFont="1" applyFill="1" applyBorder="1" applyAlignment="1" applyProtection="1">
      <alignment horizontal="left" vertical="top"/>
      <protection locked="0"/>
    </xf>
    <xf numFmtId="0" fontId="93" fillId="0" borderId="0" xfId="9" applyFont="1" applyFill="1" applyBorder="1" applyAlignment="1" applyProtection="1">
      <alignment horizontal="left" vertical="top"/>
      <protection locked="0"/>
    </xf>
    <xf numFmtId="0" fontId="93" fillId="0" borderId="0" xfId="9" applyFont="1" applyFill="1" applyBorder="1" applyAlignment="1" applyProtection="1">
      <alignment horizontal="center" vertical="top"/>
      <protection locked="0"/>
    </xf>
    <xf numFmtId="0" fontId="93" fillId="0" borderId="0" xfId="9" applyFont="1" applyFill="1" applyBorder="1" applyAlignment="1" applyProtection="1">
      <alignment vertical="top"/>
      <protection locked="0"/>
    </xf>
    <xf numFmtId="0" fontId="93" fillId="0" borderId="26" xfId="9" applyFont="1" applyFill="1" applyBorder="1" applyAlignment="1" applyProtection="1">
      <alignment horizontal="left" vertical="top"/>
      <protection locked="0"/>
    </xf>
    <xf numFmtId="0" fontId="93" fillId="0" borderId="0" xfId="9" quotePrefix="1" applyFont="1" applyFill="1" applyBorder="1" applyAlignment="1" applyProtection="1">
      <alignment vertical="top"/>
      <protection locked="0"/>
    </xf>
    <xf numFmtId="0" fontId="93" fillId="0" borderId="63" xfId="9" applyFont="1" applyFill="1" applyBorder="1" applyAlignment="1" applyProtection="1">
      <alignment horizontal="left"/>
      <protection locked="0"/>
    </xf>
    <xf numFmtId="0" fontId="93" fillId="0" borderId="0" xfId="9" applyFont="1" applyFill="1" applyBorder="1" applyAlignment="1" applyProtection="1">
      <alignment horizontal="left"/>
      <protection locked="0"/>
    </xf>
    <xf numFmtId="0" fontId="93" fillId="0" borderId="0" xfId="9" applyFont="1" applyFill="1" applyBorder="1" applyAlignment="1" applyProtection="1">
      <protection locked="0"/>
    </xf>
    <xf numFmtId="0" fontId="95" fillId="0" borderId="0" xfId="9" applyFont="1" applyFill="1" applyBorder="1" applyAlignment="1" applyProtection="1">
      <protection locked="0"/>
    </xf>
    <xf numFmtId="0" fontId="93" fillId="0" borderId="26" xfId="9" applyFont="1" applyFill="1" applyBorder="1" applyAlignment="1" applyProtection="1">
      <alignment horizontal="left"/>
      <protection locked="0"/>
    </xf>
    <xf numFmtId="0" fontId="93" fillId="0" borderId="0" xfId="9" applyFont="1" applyFill="1" applyAlignment="1" applyProtection="1">
      <alignment horizontal="left"/>
      <protection locked="0"/>
    </xf>
    <xf numFmtId="0" fontId="93" fillId="0" borderId="63" xfId="9" applyFont="1" applyFill="1" applyBorder="1" applyAlignment="1" applyProtection="1">
      <alignment horizontal="left" vertical="center"/>
      <protection locked="0"/>
    </xf>
    <xf numFmtId="0" fontId="93" fillId="0" borderId="0" xfId="9" applyFont="1" applyFill="1" applyBorder="1" applyAlignment="1" applyProtection="1">
      <alignment horizontal="left" vertical="center"/>
      <protection locked="0"/>
    </xf>
    <xf numFmtId="0" fontId="93" fillId="0" borderId="0" xfId="9" applyFont="1" applyFill="1" applyBorder="1" applyAlignment="1" applyProtection="1">
      <alignment horizontal="center" vertical="center"/>
      <protection locked="0"/>
    </xf>
    <xf numFmtId="0" fontId="95" fillId="0" borderId="0" xfId="9" quotePrefix="1" applyFont="1" applyFill="1" applyBorder="1" applyAlignment="1" applyProtection="1">
      <alignment horizontal="justify" vertical="center" wrapText="1"/>
      <protection locked="0"/>
    </xf>
    <xf numFmtId="0" fontId="93" fillId="0" borderId="26" xfId="9" applyFont="1" applyFill="1" applyBorder="1" applyAlignment="1" applyProtection="1">
      <alignment horizontal="left" vertical="center"/>
      <protection locked="0"/>
    </xf>
    <xf numFmtId="0" fontId="93" fillId="0" borderId="0" xfId="9" applyFont="1" applyFill="1" applyBorder="1" applyAlignment="1" applyProtection="1">
      <alignment vertical="center"/>
      <protection locked="0"/>
    </xf>
    <xf numFmtId="0" fontId="107" fillId="0" borderId="27" xfId="9" applyFont="1" applyBorder="1" applyAlignment="1" applyProtection="1">
      <alignment horizontal="left" vertical="top"/>
      <protection locked="0"/>
    </xf>
    <xf numFmtId="0" fontId="93" fillId="0" borderId="65" xfId="9" applyFont="1" applyBorder="1" applyAlignment="1" applyProtection="1">
      <alignment horizontal="left" vertical="top"/>
      <protection locked="0"/>
    </xf>
    <xf numFmtId="0" fontId="107" fillId="0" borderId="65" xfId="9" applyFont="1" applyBorder="1" applyAlignment="1" applyProtection="1">
      <alignment horizontal="left" vertical="top" wrapText="1"/>
      <protection locked="0"/>
    </xf>
    <xf numFmtId="0" fontId="93" fillId="0" borderId="66" xfId="9" applyFont="1" applyBorder="1" applyAlignment="1" applyProtection="1">
      <alignment horizontal="left" vertical="top"/>
      <protection locked="0"/>
    </xf>
    <xf numFmtId="0" fontId="93" fillId="0" borderId="73" xfId="9" applyFont="1" applyFill="1" applyBorder="1" applyAlignment="1" applyProtection="1">
      <alignment horizontal="left" vertical="center"/>
      <protection locked="0"/>
    </xf>
    <xf numFmtId="0" fontId="93" fillId="0" borderId="72" xfId="9" applyFont="1" applyBorder="1" applyAlignment="1" applyProtection="1">
      <alignment horizontal="left" vertical="center"/>
      <protection locked="0"/>
    </xf>
    <xf numFmtId="0" fontId="93" fillId="0" borderId="72" xfId="9" applyFont="1" applyBorder="1" applyAlignment="1" applyProtection="1">
      <alignment horizontal="center" vertical="center"/>
      <protection locked="0"/>
    </xf>
    <xf numFmtId="0" fontId="93" fillId="0" borderId="72" xfId="9" applyFont="1" applyBorder="1" applyAlignment="1" applyProtection="1">
      <alignment vertical="center"/>
      <protection locked="0"/>
    </xf>
    <xf numFmtId="0" fontId="93" fillId="0" borderId="73" xfId="9" applyFont="1" applyBorder="1" applyAlignment="1" applyProtection="1">
      <alignment horizontal="left" vertical="center"/>
      <protection locked="0"/>
    </xf>
    <xf numFmtId="0" fontId="93" fillId="0" borderId="67" xfId="9" applyFont="1" applyBorder="1" applyAlignment="1" applyProtection="1">
      <alignment horizontal="left" vertical="center"/>
      <protection locked="0"/>
    </xf>
    <xf numFmtId="0" fontId="107" fillId="0" borderId="73" xfId="9" applyFont="1" applyBorder="1" applyAlignment="1" applyProtection="1">
      <alignment horizontal="left" vertical="top"/>
      <protection locked="0"/>
    </xf>
    <xf numFmtId="0" fontId="107" fillId="0" borderId="72" xfId="9" applyFont="1" applyBorder="1" applyAlignment="1" applyProtection="1">
      <alignment horizontal="left" vertical="top" wrapText="1"/>
      <protection locked="0"/>
    </xf>
    <xf numFmtId="0" fontId="189" fillId="0" borderId="0" xfId="9" applyFont="1" applyBorder="1" applyAlignment="1" applyProtection="1">
      <alignment horizontal="left" vertical="top"/>
      <protection locked="0"/>
    </xf>
    <xf numFmtId="213" fontId="93" fillId="0" borderId="0" xfId="9" applyNumberFormat="1" applyFont="1" applyFill="1" applyBorder="1" applyAlignment="1" applyProtection="1">
      <alignment vertical="top"/>
      <protection locked="0"/>
    </xf>
    <xf numFmtId="0" fontId="107" fillId="0" borderId="0" xfId="9" applyFont="1" applyFill="1" applyBorder="1" applyAlignment="1" applyProtection="1">
      <alignment vertical="top" wrapText="1"/>
      <protection locked="0"/>
    </xf>
    <xf numFmtId="0" fontId="93" fillId="0" borderId="27" xfId="9" applyFont="1" applyBorder="1" applyAlignment="1" applyProtection="1">
      <alignment horizontal="left" vertical="top"/>
      <protection locked="0"/>
    </xf>
    <xf numFmtId="0" fontId="92" fillId="0" borderId="0" xfId="9" applyFont="1" applyBorder="1" applyAlignment="1" applyProtection="1">
      <alignment horizontal="left" vertical="top"/>
      <protection locked="0"/>
    </xf>
    <xf numFmtId="0" fontId="92" fillId="0" borderId="63" xfId="9" applyFont="1" applyBorder="1" applyAlignment="1" applyProtection="1">
      <alignment horizontal="left" vertical="top"/>
      <protection locked="0"/>
    </xf>
    <xf numFmtId="0" fontId="177" fillId="0" borderId="26" xfId="9" applyFont="1" applyBorder="1" applyAlignment="1" applyProtection="1">
      <alignment vertical="top"/>
      <protection locked="0"/>
    </xf>
    <xf numFmtId="0" fontId="93" fillId="0" borderId="63" xfId="9" applyFont="1" applyBorder="1" applyAlignment="1" applyProtection="1">
      <alignment horizontal="left"/>
      <protection locked="0"/>
    </xf>
    <xf numFmtId="0" fontId="93" fillId="0" borderId="26" xfId="9" applyFont="1" applyBorder="1" applyAlignment="1" applyProtection="1">
      <alignment horizontal="left"/>
      <protection locked="0"/>
    </xf>
    <xf numFmtId="0" fontId="93" fillId="0" borderId="26" xfId="9" applyFont="1" applyBorder="1" applyAlignment="1" applyProtection="1">
      <alignment vertical="top" wrapText="1"/>
      <protection locked="0"/>
    </xf>
    <xf numFmtId="0" fontId="93" fillId="0" borderId="26" xfId="9" applyFont="1" applyBorder="1" applyAlignment="1" applyProtection="1">
      <alignment wrapText="1"/>
      <protection locked="0"/>
    </xf>
    <xf numFmtId="0" fontId="104" fillId="0" borderId="0" xfId="9" applyFont="1" applyAlignment="1" applyProtection="1">
      <alignment horizontal="right" vertical="top"/>
      <protection locked="0"/>
    </xf>
    <xf numFmtId="0" fontId="104" fillId="0" borderId="0" xfId="9" applyFont="1" applyAlignment="1" applyProtection="1">
      <alignment horizontal="left" vertical="top"/>
      <protection locked="0"/>
    </xf>
    <xf numFmtId="0" fontId="122" fillId="0" borderId="0" xfId="9" applyFont="1" applyBorder="1" applyAlignment="1" applyProtection="1">
      <alignment vertical="top"/>
      <protection locked="0"/>
    </xf>
    <xf numFmtId="0" fontId="92" fillId="0" borderId="26" xfId="9" applyFont="1" applyBorder="1" applyAlignment="1" applyProtection="1">
      <alignment horizontal="left" vertical="top"/>
      <protection locked="0"/>
    </xf>
    <xf numFmtId="0" fontId="92" fillId="0" borderId="0" xfId="9" applyFont="1" applyAlignment="1" applyProtection="1">
      <alignment horizontal="left" vertical="center"/>
    </xf>
    <xf numFmtId="0" fontId="93" fillId="0" borderId="0" xfId="9" applyFont="1" applyAlignment="1" applyProtection="1">
      <alignment horizontal="left"/>
    </xf>
    <xf numFmtId="0" fontId="118" fillId="0" borderId="0" xfId="9" applyFont="1" applyFill="1" applyBorder="1" applyAlignment="1" applyProtection="1">
      <alignment horizontal="left" vertical="top"/>
      <protection locked="0"/>
    </xf>
    <xf numFmtId="0" fontId="92" fillId="0" borderId="0" xfId="9" applyFont="1" applyFill="1" applyBorder="1" applyAlignment="1" applyProtection="1">
      <alignment horizontal="left" vertical="top"/>
      <protection locked="0"/>
    </xf>
    <xf numFmtId="0" fontId="92" fillId="0" borderId="0" xfId="9" applyFont="1" applyAlignment="1" applyProtection="1">
      <alignment horizontal="left" vertical="top"/>
    </xf>
    <xf numFmtId="0" fontId="93" fillId="0" borderId="0" xfId="9" applyFont="1" applyAlignment="1" applyProtection="1">
      <alignment horizontal="left" vertical="top" wrapText="1"/>
      <protection locked="0"/>
    </xf>
    <xf numFmtId="0" fontId="95" fillId="0" borderId="0" xfId="9" applyFont="1" applyAlignment="1" applyProtection="1">
      <alignment horizontal="left" vertical="center"/>
      <protection locked="0"/>
    </xf>
    <xf numFmtId="9" fontId="98" fillId="4" borderId="0" xfId="17" applyFont="1" applyFill="1" applyBorder="1" applyAlignment="1" applyProtection="1">
      <alignment horizontal="center" vertical="center"/>
      <protection locked="0"/>
    </xf>
    <xf numFmtId="0" fontId="95" fillId="0" borderId="0" xfId="9" applyFont="1" applyFill="1" applyBorder="1" applyAlignment="1" applyProtection="1">
      <alignment horizontal="center" vertical="center"/>
      <protection locked="0"/>
    </xf>
    <xf numFmtId="0" fontId="93" fillId="0" borderId="0" xfId="9" applyFont="1" applyAlignment="1" applyProtection="1">
      <alignment vertical="top"/>
      <protection locked="0"/>
    </xf>
    <xf numFmtId="0" fontId="92" fillId="0" borderId="0" xfId="9" applyFont="1" applyFill="1" applyBorder="1" applyAlignment="1" applyProtection="1">
      <alignment horizontal="left" vertical="center"/>
      <protection locked="0"/>
    </xf>
    <xf numFmtId="0" fontId="93" fillId="0" borderId="73" xfId="9" applyFont="1" applyFill="1" applyBorder="1" applyAlignment="1" applyProtection="1">
      <alignment horizontal="left" vertical="top"/>
      <protection locked="0"/>
    </xf>
    <xf numFmtId="0" fontId="93" fillId="0" borderId="72" xfId="9" applyFont="1" applyFill="1" applyBorder="1" applyAlignment="1" applyProtection="1">
      <alignment horizontal="left" vertical="top"/>
      <protection locked="0"/>
    </xf>
    <xf numFmtId="0" fontId="93" fillId="0" borderId="26" xfId="9" applyFont="1" applyFill="1" applyBorder="1" applyAlignment="1" applyProtection="1">
      <alignment vertical="top" wrapText="1"/>
      <protection locked="0"/>
    </xf>
    <xf numFmtId="0" fontId="93" fillId="0" borderId="0" xfId="9" applyFont="1" applyFill="1" applyBorder="1" applyAlignment="1" applyProtection="1">
      <alignment horizontal="left" vertical="top" wrapText="1"/>
      <protection locked="0"/>
    </xf>
    <xf numFmtId="0" fontId="93" fillId="0" borderId="67" xfId="9" applyFont="1" applyFill="1" applyBorder="1" applyAlignment="1" applyProtection="1">
      <alignment horizontal="left" vertical="top"/>
      <protection locked="0"/>
    </xf>
    <xf numFmtId="0" fontId="146" fillId="0" borderId="0" xfId="9" applyFont="1" applyAlignment="1" applyProtection="1">
      <protection locked="0"/>
    </xf>
    <xf numFmtId="0" fontId="118" fillId="0" borderId="0" xfId="9" applyFont="1" applyAlignment="1" applyProtection="1">
      <alignment vertical="center"/>
      <protection locked="0"/>
    </xf>
    <xf numFmtId="0" fontId="194" fillId="0" borderId="0" xfId="9" applyFont="1" applyBorder="1" applyAlignment="1" applyProtection="1">
      <protection locked="0"/>
    </xf>
    <xf numFmtId="0" fontId="195" fillId="0" borderId="0" xfId="9" applyFont="1" applyBorder="1" applyAlignment="1" applyProtection="1">
      <alignment vertical="center"/>
      <protection locked="0"/>
    </xf>
    <xf numFmtId="0" fontId="132" fillId="0" borderId="0" xfId="9" applyFont="1" applyBorder="1" applyAlignment="1" applyProtection="1">
      <alignment horizontal="left" vertical="center"/>
      <protection locked="0"/>
    </xf>
    <xf numFmtId="0" fontId="129" fillId="0" borderId="0" xfId="9" applyFont="1" applyBorder="1" applyAlignment="1" applyProtection="1">
      <alignment horizontal="left" vertical="top"/>
      <protection locked="0"/>
    </xf>
    <xf numFmtId="0" fontId="137" fillId="0" borderId="0" xfId="9" applyFont="1" applyBorder="1" applyAlignment="1" applyProtection="1">
      <alignment horizontal="left" vertical="top"/>
      <protection locked="0"/>
    </xf>
    <xf numFmtId="0" fontId="137" fillId="0" borderId="0" xfId="9" applyFont="1" applyBorder="1" applyAlignment="1" applyProtection="1">
      <alignment horizontal="center" vertical="top"/>
      <protection locked="0"/>
    </xf>
    <xf numFmtId="0" fontId="137" fillId="0" borderId="0" xfId="9" applyFont="1" applyBorder="1" applyAlignment="1" applyProtection="1">
      <alignment vertical="top"/>
      <protection locked="0"/>
    </xf>
    <xf numFmtId="0" fontId="196" fillId="0" borderId="0" xfId="9" applyFont="1" applyBorder="1" applyAlignment="1" applyProtection="1">
      <alignment horizontal="left" vertical="top"/>
      <protection locked="0"/>
    </xf>
    <xf numFmtId="0" fontId="139" fillId="0" borderId="0" xfId="9" applyFont="1" applyBorder="1" applyAlignment="1" applyProtection="1">
      <alignment horizontal="left" vertical="top"/>
      <protection locked="0"/>
    </xf>
    <xf numFmtId="0" fontId="132" fillId="0" borderId="0" xfId="9" applyFont="1" applyAlignment="1" applyProtection="1">
      <alignment horizontal="left" vertical="top"/>
      <protection locked="0"/>
    </xf>
    <xf numFmtId="0" fontId="132" fillId="0" borderId="0" xfId="9" applyFont="1" applyBorder="1" applyAlignment="1" applyProtection="1">
      <alignment horizontal="left" vertical="top"/>
      <protection locked="0"/>
    </xf>
    <xf numFmtId="0" fontId="132" fillId="0" borderId="26" xfId="9" applyFont="1" applyBorder="1" applyAlignment="1" applyProtection="1">
      <alignment horizontal="left" vertical="top"/>
      <protection locked="0"/>
    </xf>
    <xf numFmtId="0" fontId="132" fillId="0" borderId="0" xfId="9" quotePrefix="1" applyFont="1" applyAlignment="1" applyProtection="1">
      <alignment horizontal="left" vertical="top"/>
      <protection locked="0"/>
    </xf>
    <xf numFmtId="0" fontId="132" fillId="0" borderId="0" xfId="9" applyFont="1" applyAlignment="1" applyProtection="1">
      <alignment horizontal="left" vertical="center"/>
    </xf>
    <xf numFmtId="0" fontId="93" fillId="0" borderId="0" xfId="9" quotePrefix="1" applyFont="1" applyAlignment="1" applyProtection="1">
      <alignment horizontal="left" vertical="top"/>
      <protection locked="0"/>
    </xf>
    <xf numFmtId="0" fontId="125" fillId="0" borderId="0" xfId="9" applyFont="1" applyFill="1" applyBorder="1" applyAlignment="1" applyProtection="1">
      <alignment horizontal="left" vertical="top"/>
      <protection locked="0"/>
    </xf>
    <xf numFmtId="0" fontId="197" fillId="0" borderId="0" xfId="9" applyFont="1" applyFill="1" applyBorder="1" applyAlignment="1" applyProtection="1">
      <alignment horizontal="left" vertical="top"/>
      <protection locked="0"/>
    </xf>
    <xf numFmtId="0" fontId="197" fillId="0" borderId="26" xfId="9" applyFont="1" applyFill="1" applyBorder="1" applyAlignment="1" applyProtection="1">
      <alignment horizontal="left" vertical="top"/>
      <protection locked="0"/>
    </xf>
    <xf numFmtId="0" fontId="95" fillId="0" borderId="0" xfId="9" applyFont="1" applyFill="1" applyBorder="1" applyAlignment="1" applyProtection="1">
      <alignment horizontal="left" vertical="top"/>
      <protection locked="0"/>
    </xf>
    <xf numFmtId="0" fontId="198" fillId="0" borderId="0" xfId="9" applyFont="1" applyAlignment="1" applyProtection="1">
      <alignment horizontal="left"/>
      <protection locked="0"/>
    </xf>
    <xf numFmtId="0" fontId="198" fillId="0" borderId="0" xfId="9" applyFont="1" applyBorder="1" applyAlignment="1" applyProtection="1">
      <alignment horizontal="left"/>
      <protection locked="0"/>
    </xf>
    <xf numFmtId="0" fontId="198" fillId="0" borderId="0" xfId="9" applyFont="1" applyBorder="1" applyAlignment="1" applyProtection="1">
      <alignment horizontal="center"/>
      <protection locked="0"/>
    </xf>
    <xf numFmtId="0" fontId="198" fillId="0" borderId="26" xfId="9" applyFont="1" applyBorder="1" applyAlignment="1" applyProtection="1">
      <alignment horizontal="left"/>
      <protection locked="0"/>
    </xf>
    <xf numFmtId="0" fontId="198" fillId="0" borderId="0" xfId="9" applyFont="1" applyAlignment="1" applyProtection="1">
      <alignment horizontal="left"/>
    </xf>
    <xf numFmtId="0" fontId="199" fillId="0" borderId="0" xfId="9" applyFont="1" applyBorder="1" applyAlignment="1" applyProtection="1">
      <alignment horizontal="left"/>
      <protection locked="0"/>
    </xf>
    <xf numFmtId="0" fontId="92" fillId="0" borderId="0" xfId="9" applyFont="1" applyFill="1" applyBorder="1" applyAlignment="1" applyProtection="1">
      <alignment horizontal="left" vertical="top"/>
    </xf>
    <xf numFmtId="0" fontId="92" fillId="18" borderId="0" xfId="9" applyFont="1" applyFill="1" applyAlignment="1" applyProtection="1">
      <alignment horizontal="left" vertical="top"/>
    </xf>
    <xf numFmtId="0" fontId="92" fillId="15" borderId="0" xfId="9" applyFont="1" applyFill="1" applyBorder="1" applyAlignment="1" applyProtection="1">
      <alignment horizontal="left" vertical="top"/>
    </xf>
    <xf numFmtId="0" fontId="177" fillId="15" borderId="0" xfId="9" applyFont="1" applyFill="1" applyBorder="1" applyAlignment="1">
      <alignment horizontal="center" vertical="center"/>
    </xf>
    <xf numFmtId="0" fontId="177" fillId="15" borderId="26" xfId="9" applyFont="1" applyFill="1" applyBorder="1" applyAlignment="1">
      <alignment horizontal="center" vertical="center"/>
    </xf>
    <xf numFmtId="0" fontId="92" fillId="15" borderId="0" xfId="9" applyFont="1" applyFill="1" applyAlignment="1" applyProtection="1">
      <alignment horizontal="left" vertical="top"/>
    </xf>
    <xf numFmtId="0" fontId="93" fillId="15" borderId="0" xfId="9" quotePrefix="1" applyFont="1" applyFill="1" applyAlignment="1" applyProtection="1">
      <alignment horizontal="left" vertical="top"/>
    </xf>
    <xf numFmtId="0" fontId="93" fillId="0" borderId="0" xfId="9" applyFont="1"/>
    <xf numFmtId="0" fontId="93" fillId="15" borderId="0" xfId="9" quotePrefix="1" applyFont="1" applyFill="1" applyBorder="1" applyAlignment="1">
      <alignment horizontal="center" vertical="top"/>
    </xf>
    <xf numFmtId="0" fontId="93" fillId="15" borderId="0" xfId="9" applyFont="1" applyFill="1" applyBorder="1" applyAlignment="1">
      <alignment horizontal="center" vertical="top"/>
    </xf>
    <xf numFmtId="0" fontId="93" fillId="0" borderId="0" xfId="9" applyFont="1" applyBorder="1" applyAlignment="1">
      <alignment horizontal="left" vertical="top"/>
    </xf>
    <xf numFmtId="0" fontId="93" fillId="0" borderId="26" xfId="9" applyFont="1" applyBorder="1" applyAlignment="1">
      <alignment horizontal="left" vertical="top"/>
    </xf>
    <xf numFmtId="0" fontId="123" fillId="0" borderId="0" xfId="9" applyFont="1" applyFill="1" applyBorder="1" applyAlignment="1" applyProtection="1">
      <alignment horizontal="left" vertical="top"/>
    </xf>
    <xf numFmtId="0" fontId="123" fillId="0" borderId="0" xfId="9" applyFont="1" applyBorder="1" applyAlignment="1">
      <alignment horizontal="center" vertical="top"/>
    </xf>
    <xf numFmtId="0" fontId="123" fillId="0" borderId="0" xfId="9" applyFont="1" applyBorder="1" applyAlignment="1">
      <alignment horizontal="justify" vertical="top" wrapText="1"/>
    </xf>
    <xf numFmtId="0" fontId="123" fillId="0" borderId="0" xfId="9" applyFont="1" applyBorder="1" applyAlignment="1">
      <alignment horizontal="left" vertical="top"/>
    </xf>
    <xf numFmtId="0" fontId="123" fillId="0" borderId="0" xfId="9" applyFont="1" applyBorder="1" applyAlignment="1" applyProtection="1">
      <alignment horizontal="left" vertical="top"/>
    </xf>
    <xf numFmtId="0" fontId="93" fillId="0" borderId="0" xfId="9" applyFont="1" applyAlignment="1" applyProtection="1">
      <alignment horizontal="left" vertical="top" wrapText="1"/>
    </xf>
    <xf numFmtId="0" fontId="97" fillId="0" borderId="0" xfId="9" applyFont="1" applyBorder="1" applyAlignment="1">
      <alignment vertical="top" wrapText="1"/>
    </xf>
    <xf numFmtId="0" fontId="123" fillId="0" borderId="0" xfId="9" applyFont="1" applyAlignment="1" applyProtection="1">
      <alignment horizontal="left" vertical="top"/>
    </xf>
    <xf numFmtId="0" fontId="197" fillId="0" borderId="0" xfId="9" applyFont="1" applyBorder="1" applyAlignment="1"/>
    <xf numFmtId="0" fontId="93" fillId="0" borderId="0" xfId="9" applyFont="1" applyBorder="1" applyAlignment="1"/>
    <xf numFmtId="0" fontId="93" fillId="0" borderId="0" xfId="9" quotePrefix="1" applyFont="1" applyFill="1" applyBorder="1" applyAlignment="1"/>
    <xf numFmtId="0" fontId="93" fillId="0" borderId="0" xfId="9" applyFont="1" applyFill="1" applyBorder="1" applyAlignment="1"/>
    <xf numFmtId="0" fontId="107" fillId="0" borderId="0" xfId="9" applyFont="1" applyFill="1" applyBorder="1" applyAlignment="1"/>
    <xf numFmtId="0" fontId="107" fillId="0" borderId="0" xfId="9" applyFont="1" applyFill="1" applyBorder="1" applyAlignment="1">
      <alignment vertical="center"/>
    </xf>
    <xf numFmtId="0" fontId="93" fillId="0" borderId="0" xfId="9" applyFont="1" applyBorder="1" applyAlignment="1">
      <alignment horizontal="center" vertical="top"/>
    </xf>
    <xf numFmtId="0" fontId="107" fillId="0" borderId="0" xfId="9" applyFont="1" applyBorder="1" applyAlignment="1"/>
    <xf numFmtId="0" fontId="107" fillId="0" borderId="26" xfId="9" applyFont="1" applyFill="1" applyBorder="1" applyAlignment="1">
      <alignment vertical="center"/>
    </xf>
    <xf numFmtId="0" fontId="93" fillId="0" borderId="0" xfId="9" applyFont="1" applyBorder="1" applyAlignment="1">
      <alignment vertical="center"/>
    </xf>
    <xf numFmtId="0" fontId="93" fillId="0" borderId="26" xfId="9" applyFont="1" applyBorder="1" applyAlignment="1">
      <alignment vertical="center"/>
    </xf>
    <xf numFmtId="0" fontId="123" fillId="0" borderId="0" xfId="9" applyFont="1" applyFill="1" applyAlignment="1" applyProtection="1">
      <alignment horizontal="left" vertical="top"/>
    </xf>
    <xf numFmtId="0" fontId="93" fillId="0" borderId="0" xfId="9" applyFont="1" applyBorder="1" applyAlignment="1">
      <alignment vertical="top"/>
    </xf>
    <xf numFmtId="0" fontId="93" fillId="0" borderId="26" xfId="9" applyFont="1" applyBorder="1" applyAlignment="1">
      <alignment vertical="top"/>
    </xf>
    <xf numFmtId="0" fontId="93" fillId="0" borderId="0" xfId="9" applyFont="1" applyFill="1" applyBorder="1" applyAlignment="1" applyProtection="1">
      <alignment horizontal="left"/>
    </xf>
    <xf numFmtId="0" fontId="107" fillId="0" borderId="26" xfId="9" applyFont="1" applyBorder="1" applyAlignment="1"/>
    <xf numFmtId="0" fontId="93" fillId="0" borderId="26" xfId="9" applyFont="1" applyBorder="1" applyAlignment="1"/>
    <xf numFmtId="0" fontId="123" fillId="0" borderId="26" xfId="9" applyFont="1" applyBorder="1" applyAlignment="1">
      <alignment horizontal="left" vertical="top"/>
    </xf>
    <xf numFmtId="0" fontId="123" fillId="0" borderId="0" xfId="9" applyFont="1" applyFill="1" applyBorder="1" applyAlignment="1">
      <alignment vertical="top"/>
    </xf>
    <xf numFmtId="0" fontId="123" fillId="0" borderId="26" xfId="9" applyFont="1" applyBorder="1" applyAlignment="1">
      <alignment vertical="top"/>
    </xf>
    <xf numFmtId="0" fontId="201" fillId="0" borderId="0" xfId="9" applyFont="1" applyBorder="1" applyProtection="1"/>
    <xf numFmtId="0" fontId="118" fillId="0" borderId="0" xfId="9" applyFont="1" applyBorder="1" applyAlignment="1" applyProtection="1">
      <alignment vertical="center"/>
    </xf>
    <xf numFmtId="0" fontId="118" fillId="0" borderId="0" xfId="9" applyFont="1" applyAlignment="1" applyProtection="1">
      <alignment vertical="center"/>
    </xf>
    <xf numFmtId="0" fontId="95" fillId="0" borderId="0" xfId="9" applyFont="1" applyBorder="1" applyAlignment="1" applyProtection="1">
      <alignment horizontal="left" vertical="top"/>
    </xf>
    <xf numFmtId="0" fontId="95" fillId="0" borderId="0" xfId="9" applyFont="1" applyBorder="1" applyAlignment="1" applyProtection="1">
      <alignment horizontal="center" vertical="top"/>
    </xf>
    <xf numFmtId="0" fontId="95" fillId="0" borderId="0" xfId="9" applyFont="1" applyFill="1" applyBorder="1" applyAlignment="1" applyProtection="1">
      <alignment vertical="top"/>
    </xf>
    <xf numFmtId="0" fontId="93" fillId="0" borderId="0" xfId="9" applyFont="1" applyFill="1" applyBorder="1" applyAlignment="1" applyProtection="1">
      <alignment vertical="top"/>
    </xf>
    <xf numFmtId="0" fontId="125" fillId="0" borderId="0" xfId="9" applyFont="1" applyFill="1" applyBorder="1" applyAlignment="1" applyProtection="1">
      <alignment vertical="center"/>
    </xf>
    <xf numFmtId="15" fontId="95" fillId="0" borderId="0" xfId="9" quotePrefix="1" applyNumberFormat="1" applyFont="1" applyFill="1" applyBorder="1" applyAlignment="1" applyProtection="1">
      <alignment vertical="center"/>
    </xf>
    <xf numFmtId="0" fontId="95" fillId="0" borderId="0" xfId="9" applyFont="1" applyBorder="1" applyAlignment="1" applyProtection="1">
      <alignment horizontal="center" vertical="center"/>
    </xf>
    <xf numFmtId="215" fontId="95" fillId="0" borderId="0" xfId="9" applyNumberFormat="1" applyFont="1" applyFill="1" applyBorder="1" applyAlignment="1" applyProtection="1">
      <alignment horizontal="left" vertical="center"/>
    </xf>
    <xf numFmtId="0" fontId="161" fillId="0" borderId="0" xfId="9" applyFont="1" applyBorder="1" applyProtection="1"/>
    <xf numFmtId="0" fontId="95" fillId="0" borderId="63" xfId="9" applyFont="1" applyBorder="1" applyAlignment="1" applyProtection="1">
      <alignment vertical="center"/>
    </xf>
    <xf numFmtId="0" fontId="92" fillId="0" borderId="63" xfId="9" applyFont="1" applyBorder="1" applyAlignment="1" applyProtection="1">
      <alignment vertical="center"/>
    </xf>
    <xf numFmtId="0" fontId="93" fillId="0" borderId="0" xfId="9" applyFont="1" applyAlignment="1">
      <alignment horizontal="left" vertical="top"/>
    </xf>
    <xf numFmtId="0" fontId="28" fillId="0" borderId="0" xfId="9" applyFont="1" applyProtection="1"/>
    <xf numFmtId="0" fontId="202" fillId="0" borderId="0" xfId="9" applyFont="1" applyBorder="1" applyAlignment="1" applyProtection="1">
      <alignment vertical="top" wrapText="1"/>
    </xf>
    <xf numFmtId="0" fontId="136" fillId="0" borderId="26" xfId="9" applyFont="1" applyFill="1" applyBorder="1" applyAlignment="1" applyProtection="1">
      <alignment vertical="center"/>
    </xf>
    <xf numFmtId="0" fontId="28" fillId="0" borderId="0" xfId="9" applyBorder="1"/>
    <xf numFmtId="0" fontId="180" fillId="0" borderId="63" xfId="9" applyFont="1" applyFill="1" applyBorder="1" applyAlignment="1" applyProtection="1">
      <alignment horizontal="right"/>
    </xf>
    <xf numFmtId="0" fontId="180" fillId="0" borderId="0" xfId="9" applyFont="1" applyBorder="1" applyAlignment="1" applyProtection="1"/>
    <xf numFmtId="0" fontId="180" fillId="0" borderId="0" xfId="9" applyFont="1" applyBorder="1" applyAlignment="1" applyProtection="1">
      <alignment horizontal="left"/>
    </xf>
    <xf numFmtId="0" fontId="180" fillId="0" borderId="0" xfId="9" applyFont="1" applyFill="1" applyBorder="1" applyAlignment="1" applyProtection="1">
      <alignment horizontal="center"/>
    </xf>
    <xf numFmtId="0" fontId="180" fillId="0" borderId="0" xfId="9" applyFont="1" applyBorder="1" applyAlignment="1" applyProtection="1">
      <alignment horizontal="left"/>
      <protection locked="0"/>
    </xf>
    <xf numFmtId="0" fontId="180" fillId="0" borderId="0" xfId="9" quotePrefix="1" applyFont="1" applyBorder="1" applyAlignment="1" applyProtection="1">
      <alignment horizontal="left"/>
      <protection locked="0"/>
    </xf>
    <xf numFmtId="0" fontId="180" fillId="0" borderId="26" xfId="9" applyFont="1" applyBorder="1" applyAlignment="1" applyProtection="1"/>
    <xf numFmtId="0" fontId="136" fillId="0" borderId="63" xfId="9" applyFont="1" applyFill="1" applyBorder="1" applyAlignment="1" applyProtection="1">
      <alignment vertical="center" textRotation="90" wrapText="1"/>
    </xf>
    <xf numFmtId="0" fontId="93" fillId="0" borderId="0" xfId="9" applyFont="1" applyBorder="1" applyAlignment="1" applyProtection="1">
      <alignment horizontal="left" vertical="top" indent="1"/>
    </xf>
    <xf numFmtId="0" fontId="104" fillId="0" borderId="0" xfId="9" applyFont="1" applyBorder="1" applyAlignment="1" applyProtection="1">
      <alignment horizontal="center"/>
    </xf>
    <xf numFmtId="0" fontId="104" fillId="0" borderId="0" xfId="9" applyFont="1" applyBorder="1" applyAlignment="1" applyProtection="1">
      <alignment horizontal="center" vertical="center"/>
    </xf>
    <xf numFmtId="0" fontId="104" fillId="0" borderId="0" xfId="9" applyFont="1" applyFill="1" applyBorder="1" applyAlignment="1" applyProtection="1">
      <alignment horizontal="center" vertical="center"/>
    </xf>
    <xf numFmtId="0" fontId="93" fillId="0" borderId="26" xfId="9" applyFont="1" applyBorder="1" applyAlignment="1" applyProtection="1"/>
    <xf numFmtId="0" fontId="93" fillId="0" borderId="0" xfId="9" applyFont="1" applyBorder="1" applyAlignment="1" applyProtection="1"/>
    <xf numFmtId="0" fontId="180" fillId="0" borderId="0" xfId="9" applyFont="1" applyBorder="1" applyAlignment="1" applyProtection="1">
      <alignment horizontal="center" vertical="top"/>
    </xf>
    <xf numFmtId="0" fontId="180" fillId="0" borderId="0" xfId="9" applyFont="1" applyBorder="1" applyAlignment="1">
      <alignment horizontal="left" vertical="center"/>
    </xf>
    <xf numFmtId="0" fontId="180" fillId="0" borderId="0" xfId="9" applyFont="1" applyBorder="1" applyAlignment="1">
      <alignment horizontal="center" vertical="center"/>
    </xf>
    <xf numFmtId="0" fontId="180" fillId="0" borderId="0" xfId="9" applyFont="1" applyBorder="1" applyAlignment="1" applyProtection="1">
      <alignment horizontal="left" vertical="top"/>
    </xf>
    <xf numFmtId="0" fontId="93" fillId="0" borderId="65" xfId="9" applyFont="1" applyBorder="1" applyAlignment="1" applyProtection="1"/>
    <xf numFmtId="216" fontId="205" fillId="0" borderId="0" xfId="4" applyNumberFormat="1" applyFont="1" applyBorder="1" applyAlignment="1" applyProtection="1">
      <alignment horizontal="center" vertical="center"/>
    </xf>
    <xf numFmtId="0" fontId="180" fillId="0" borderId="0" xfId="9" applyFont="1" applyFill="1" applyBorder="1" applyAlignment="1" applyProtection="1">
      <alignment horizontal="center" vertical="center"/>
      <protection locked="0"/>
    </xf>
    <xf numFmtId="9" fontId="177" fillId="0" borderId="0" xfId="9" applyNumberFormat="1" applyFont="1" applyAlignment="1" applyProtection="1">
      <alignment horizontal="center" vertical="center"/>
    </xf>
    <xf numFmtId="0" fontId="177" fillId="0" borderId="0" xfId="9" applyFont="1" applyAlignment="1" applyProtection="1">
      <alignment horizontal="center" vertical="center"/>
    </xf>
    <xf numFmtId="217" fontId="93" fillId="0" borderId="0" xfId="9" applyNumberFormat="1" applyFont="1" applyBorder="1" applyAlignment="1" applyProtection="1">
      <alignment vertical="center"/>
    </xf>
    <xf numFmtId="0" fontId="92" fillId="0" borderId="0" xfId="9" applyFont="1" applyBorder="1" applyAlignment="1" applyProtection="1">
      <alignment vertical="center"/>
    </xf>
    <xf numFmtId="0" fontId="206" fillId="0" borderId="0" xfId="9" applyFont="1" applyAlignment="1" applyProtection="1">
      <alignment vertical="center"/>
    </xf>
    <xf numFmtId="217" fontId="93" fillId="0" borderId="0" xfId="9" applyNumberFormat="1" applyFont="1" applyFill="1" applyBorder="1" applyAlignment="1" applyProtection="1">
      <alignment vertical="center"/>
      <protection locked="0"/>
    </xf>
    <xf numFmtId="0" fontId="28" fillId="0" borderId="0" xfId="9" applyFont="1" applyBorder="1" applyProtection="1"/>
    <xf numFmtId="0" fontId="99" fillId="0" borderId="63" xfId="9" applyFont="1" applyFill="1" applyBorder="1" applyAlignment="1" applyProtection="1">
      <alignment horizontal="right"/>
    </xf>
    <xf numFmtId="0" fontId="111" fillId="0" borderId="0" xfId="9" applyFont="1" applyBorder="1" applyAlignment="1" applyProtection="1">
      <alignment vertical="top" wrapText="1"/>
    </xf>
    <xf numFmtId="0" fontId="207" fillId="0" borderId="0" xfId="9" applyFont="1" applyBorder="1" applyAlignment="1" applyProtection="1">
      <alignment horizontal="left" vertical="center" indent="1"/>
    </xf>
    <xf numFmtId="0" fontId="208" fillId="0" borderId="0" xfId="9" applyFont="1" applyBorder="1" applyAlignment="1" applyProtection="1">
      <alignment vertical="center"/>
    </xf>
    <xf numFmtId="0" fontId="99" fillId="0" borderId="65" xfId="9" applyFont="1" applyFill="1" applyBorder="1" applyAlignment="1" applyProtection="1">
      <alignment horizontal="right" vertical="center"/>
    </xf>
    <xf numFmtId="0" fontId="28" fillId="0" borderId="65" xfId="9" applyBorder="1"/>
    <xf numFmtId="0" fontId="28" fillId="0" borderId="63" xfId="9" applyBorder="1" applyProtection="1"/>
    <xf numFmtId="218" fontId="100" fillId="0" borderId="0" xfId="9" applyNumberFormat="1" applyFont="1" applyFill="1" applyBorder="1" applyAlignment="1" applyProtection="1">
      <alignment vertical="center"/>
    </xf>
    <xf numFmtId="0" fontId="209" fillId="0" borderId="0" xfId="9" applyFont="1" applyBorder="1" applyAlignment="1" applyProtection="1">
      <alignment vertical="top" wrapText="1"/>
    </xf>
    <xf numFmtId="0" fontId="93" fillId="0" borderId="0" xfId="9" quotePrefix="1" applyFont="1" applyFill="1" applyBorder="1" applyAlignment="1" applyProtection="1">
      <alignment vertical="center"/>
      <protection locked="0"/>
    </xf>
    <xf numFmtId="0" fontId="28" fillId="0" borderId="0" xfId="9" applyFont="1" applyFill="1" applyBorder="1" applyProtection="1"/>
    <xf numFmtId="186" fontId="93" fillId="0" borderId="0" xfId="9" applyNumberFormat="1" applyFont="1" applyFill="1" applyBorder="1" applyAlignment="1" applyProtection="1">
      <alignment vertical="center"/>
      <protection locked="0"/>
    </xf>
    <xf numFmtId="219" fontId="93" fillId="0" borderId="0" xfId="9" applyNumberFormat="1" applyFont="1" applyFill="1" applyBorder="1" applyAlignment="1" applyProtection="1">
      <alignment horizontal="left" vertical="center"/>
      <protection locked="0"/>
    </xf>
    <xf numFmtId="0" fontId="98" fillId="0" borderId="0" xfId="9" applyFont="1" applyBorder="1" applyAlignment="1" applyProtection="1">
      <alignment vertical="center"/>
    </xf>
    <xf numFmtId="194" fontId="93" fillId="0" borderId="0" xfId="9" applyNumberFormat="1" applyFont="1" applyFill="1" applyBorder="1" applyAlignment="1" applyProtection="1">
      <alignment vertical="center"/>
      <protection locked="0"/>
    </xf>
    <xf numFmtId="0" fontId="210" fillId="0" borderId="0" xfId="9" applyFont="1" applyBorder="1" applyAlignment="1" applyProtection="1">
      <alignment vertical="center"/>
    </xf>
    <xf numFmtId="0" fontId="211" fillId="0" borderId="0" xfId="9" applyFont="1" applyBorder="1" applyAlignment="1" applyProtection="1">
      <alignment horizontal="right"/>
    </xf>
    <xf numFmtId="0" fontId="211" fillId="0" borderId="0" xfId="9" applyFont="1" applyBorder="1" applyAlignment="1" applyProtection="1">
      <alignment horizontal="center"/>
    </xf>
    <xf numFmtId="0" fontId="28" fillId="0" borderId="63" xfId="9" applyBorder="1"/>
    <xf numFmtId="0" fontId="93" fillId="0" borderId="0" xfId="9" applyFont="1" applyBorder="1" applyAlignment="1" applyProtection="1">
      <alignment horizontal="right" vertical="center"/>
    </xf>
    <xf numFmtId="172" fontId="93" fillId="0" borderId="0" xfId="9" applyNumberFormat="1" applyFont="1" applyFill="1" applyBorder="1" applyAlignment="1" applyProtection="1">
      <alignment horizontal="right" vertical="center" indent="2"/>
      <protection locked="0"/>
    </xf>
    <xf numFmtId="172" fontId="93" fillId="0" borderId="26" xfId="9" applyNumberFormat="1" applyFont="1" applyFill="1" applyBorder="1" applyAlignment="1" applyProtection="1">
      <alignment horizontal="right" vertical="center" indent="2"/>
      <protection locked="0"/>
    </xf>
    <xf numFmtId="0" fontId="95" fillId="0" borderId="0" xfId="9" applyFont="1" applyBorder="1" applyAlignment="1" applyProtection="1">
      <alignment horizontal="right" vertical="center"/>
    </xf>
    <xf numFmtId="0" fontId="28" fillId="0" borderId="27" xfId="9" applyBorder="1"/>
    <xf numFmtId="0" fontId="95" fillId="0" borderId="65" xfId="9" applyFont="1" applyBorder="1" applyAlignment="1" applyProtection="1">
      <alignment horizontal="right" vertical="center"/>
    </xf>
    <xf numFmtId="0" fontId="95" fillId="0" borderId="65" xfId="9" applyFont="1" applyBorder="1" applyAlignment="1" applyProtection="1">
      <alignment horizontal="center" vertical="center"/>
    </xf>
    <xf numFmtId="184" fontId="95" fillId="0" borderId="65" xfId="9" applyNumberFormat="1" applyFont="1" applyFill="1" applyBorder="1" applyAlignment="1" applyProtection="1">
      <alignment horizontal="right" vertical="center" indent="1"/>
    </xf>
    <xf numFmtId="184" fontId="95" fillId="0" borderId="66" xfId="9" applyNumberFormat="1" applyFont="1" applyFill="1" applyBorder="1" applyAlignment="1" applyProtection="1">
      <alignment horizontal="right" vertical="center" indent="1"/>
    </xf>
    <xf numFmtId="0" fontId="95" fillId="0" borderId="0" xfId="9" applyFont="1" applyBorder="1" applyAlignment="1" applyProtection="1">
      <alignment horizontal="left" vertical="center"/>
    </xf>
    <xf numFmtId="172" fontId="95" fillId="0" borderId="0" xfId="9" applyNumberFormat="1" applyFont="1" applyFill="1" applyBorder="1" applyAlignment="1" applyProtection="1">
      <alignment horizontal="right" vertical="center"/>
    </xf>
    <xf numFmtId="0" fontId="93" fillId="0" borderId="72" xfId="9" applyFont="1" applyBorder="1" applyAlignment="1" applyProtection="1">
      <alignment vertical="center"/>
    </xf>
    <xf numFmtId="0" fontId="93" fillId="0" borderId="67" xfId="9" applyFont="1" applyBorder="1" applyAlignment="1" applyProtection="1">
      <alignment vertical="center"/>
    </xf>
    <xf numFmtId="0" fontId="93" fillId="0" borderId="26" xfId="9" applyFont="1" applyFill="1" applyBorder="1" applyAlignment="1" applyProtection="1">
      <alignment vertical="center"/>
    </xf>
    <xf numFmtId="0" fontId="28" fillId="0" borderId="63" xfId="9" applyBorder="1" applyAlignment="1" applyProtection="1">
      <alignment vertical="center"/>
    </xf>
    <xf numFmtId="0" fontId="93" fillId="0" borderId="63" xfId="9" applyFont="1" applyFill="1" applyBorder="1" applyAlignment="1" applyProtection="1">
      <alignment vertical="center"/>
    </xf>
    <xf numFmtId="0" fontId="28" fillId="0" borderId="26" xfId="9" applyBorder="1" applyProtection="1"/>
    <xf numFmtId="0" fontId="107" fillId="0" borderId="63" xfId="9" applyFont="1" applyBorder="1" applyAlignment="1" applyProtection="1">
      <alignment horizontal="right" vertical="top"/>
    </xf>
    <xf numFmtId="0" fontId="107" fillId="15" borderId="0" xfId="9" applyFont="1" applyFill="1" applyBorder="1" applyAlignment="1" applyProtection="1">
      <alignment horizontal="justify" vertical="top" wrapText="1"/>
      <protection locked="0"/>
    </xf>
    <xf numFmtId="0" fontId="107" fillId="0" borderId="63" xfId="9" quotePrefix="1" applyFont="1" applyBorder="1" applyAlignment="1" applyProtection="1">
      <alignment horizontal="right" vertical="top"/>
    </xf>
    <xf numFmtId="0" fontId="93" fillId="0" borderId="63" xfId="9" quotePrefix="1" applyFont="1" applyBorder="1" applyAlignment="1" applyProtection="1">
      <alignment horizontal="center" vertical="center"/>
    </xf>
    <xf numFmtId="0" fontId="93" fillId="0" borderId="63" xfId="9" applyFont="1" applyBorder="1" applyAlignment="1" applyProtection="1">
      <alignment horizontal="center" vertical="center"/>
    </xf>
    <xf numFmtId="0" fontId="28" fillId="0" borderId="27" xfId="9" applyBorder="1" applyAlignment="1" applyProtection="1">
      <alignment vertical="top"/>
    </xf>
    <xf numFmtId="0" fontId="107" fillId="0" borderId="65" xfId="9" applyFont="1" applyBorder="1" applyAlignment="1" applyProtection="1">
      <alignment vertical="top"/>
      <protection locked="0"/>
    </xf>
    <xf numFmtId="0" fontId="104" fillId="0" borderId="0" xfId="9" applyFont="1" applyAlignment="1" applyProtection="1">
      <alignment vertical="center"/>
    </xf>
    <xf numFmtId="0" fontId="92" fillId="0" borderId="67" xfId="9" applyFont="1" applyFill="1" applyBorder="1" applyAlignment="1" applyProtection="1">
      <alignment vertical="center"/>
    </xf>
    <xf numFmtId="0" fontId="92" fillId="0" borderId="0" xfId="9" applyFont="1" applyFill="1" applyBorder="1" applyAlignment="1" applyProtection="1">
      <alignment vertical="center"/>
    </xf>
    <xf numFmtId="0" fontId="177" fillId="0" borderId="0" xfId="9" applyFont="1" applyFill="1" applyBorder="1" applyAlignment="1" applyProtection="1"/>
    <xf numFmtId="0" fontId="177" fillId="0" borderId="0" xfId="9" applyFont="1" applyFill="1" applyBorder="1" applyAlignment="1" applyProtection="1">
      <alignment horizontal="left" vertical="top"/>
    </xf>
    <xf numFmtId="0" fontId="177" fillId="0" borderId="0" xfId="9" applyFont="1" applyFill="1" applyBorder="1" applyAlignment="1" applyProtection="1">
      <alignment vertical="top"/>
    </xf>
    <xf numFmtId="0" fontId="92" fillId="0" borderId="0" xfId="9" applyFont="1" applyFill="1" applyBorder="1" applyAlignment="1" applyProtection="1">
      <alignment vertical="top"/>
    </xf>
    <xf numFmtId="0" fontId="97" fillId="0" borderId="27" xfId="9" applyFont="1" applyFill="1" applyBorder="1" applyAlignment="1" applyProtection="1">
      <alignment horizontal="center" vertical="center"/>
    </xf>
    <xf numFmtId="0" fontId="93" fillId="0" borderId="65" xfId="9" applyFont="1" applyBorder="1" applyAlignment="1" applyProtection="1">
      <alignment horizontal="left" vertical="top"/>
    </xf>
    <xf numFmtId="0" fontId="93" fillId="0" borderId="65" xfId="9" applyFont="1" applyBorder="1" applyAlignment="1" applyProtection="1">
      <alignment horizontal="center" vertical="top"/>
    </xf>
    <xf numFmtId="0" fontId="93" fillId="0" borderId="65" xfId="9" applyFont="1" applyFill="1" applyBorder="1" applyAlignment="1" applyProtection="1">
      <alignment horizontal="justify" vertical="top" wrapText="1"/>
    </xf>
    <xf numFmtId="0" fontId="93" fillId="0" borderId="66" xfId="9" applyFont="1" applyBorder="1" applyAlignment="1" applyProtection="1">
      <alignment horizontal="left" vertical="top"/>
    </xf>
    <xf numFmtId="0" fontId="93" fillId="0" borderId="45" xfId="9" applyFont="1" applyBorder="1" applyAlignment="1" applyProtection="1">
      <alignment horizontal="center" vertical="center"/>
    </xf>
    <xf numFmtId="0" fontId="93" fillId="0" borderId="45" xfId="9" applyFont="1" applyBorder="1" applyAlignment="1" applyProtection="1">
      <alignment horizontal="center" vertical="top"/>
    </xf>
    <xf numFmtId="0" fontId="93" fillId="0" borderId="45" xfId="9" applyFont="1" applyFill="1" applyBorder="1" applyAlignment="1" applyProtection="1">
      <alignment horizontal="center" vertical="center"/>
    </xf>
    <xf numFmtId="0" fontId="95" fillId="0" borderId="0" xfId="9" applyFont="1" applyFill="1" applyBorder="1" applyAlignment="1" applyProtection="1">
      <alignment horizontal="left" vertical="center"/>
    </xf>
    <xf numFmtId="0" fontId="93" fillId="0" borderId="72" xfId="9" applyFont="1" applyBorder="1" applyAlignment="1" applyProtection="1">
      <alignment horizontal="center" vertical="center"/>
    </xf>
    <xf numFmtId="0" fontId="173" fillId="0" borderId="0" xfId="9" applyFont="1" applyAlignment="1" applyProtection="1">
      <alignment vertical="center"/>
      <protection locked="0"/>
    </xf>
    <xf numFmtId="0" fontId="173" fillId="0" borderId="0" xfId="9" applyFont="1" applyFill="1" applyAlignment="1" applyProtection="1">
      <alignment vertical="center"/>
      <protection locked="0"/>
    </xf>
    <xf numFmtId="0" fontId="97" fillId="0" borderId="73" xfId="9" applyFont="1" applyFill="1" applyBorder="1" applyAlignment="1" applyProtection="1">
      <alignment horizontal="center" vertical="center"/>
    </xf>
    <xf numFmtId="0" fontId="93" fillId="0" borderId="72" xfId="9" applyFont="1" applyBorder="1" applyAlignment="1" applyProtection="1">
      <alignment horizontal="center" vertical="top"/>
    </xf>
    <xf numFmtId="0" fontId="93" fillId="0" borderId="72" xfId="9" applyFont="1" applyFill="1" applyBorder="1" applyAlignment="1" applyProtection="1">
      <alignment horizontal="justify" vertical="top" wrapText="1"/>
    </xf>
    <xf numFmtId="0" fontId="93" fillId="0" borderId="67" xfId="9" applyFont="1" applyBorder="1" applyAlignment="1" applyProtection="1">
      <alignment horizontal="left" vertical="top"/>
    </xf>
    <xf numFmtId="0" fontId="93" fillId="0" borderId="27" xfId="9" applyFont="1" applyBorder="1" applyAlignment="1" applyProtection="1">
      <alignment horizontal="left" vertical="top"/>
    </xf>
    <xf numFmtId="0" fontId="93" fillId="0" borderId="0" xfId="9" applyFont="1" applyFill="1" applyBorder="1" applyAlignment="1" applyProtection="1">
      <alignment horizontal="justify" vertical="top"/>
    </xf>
    <xf numFmtId="0" fontId="28" fillId="0" borderId="45" xfId="9" applyFill="1" applyBorder="1" applyProtection="1"/>
    <xf numFmtId="0" fontId="107" fillId="0" borderId="0" xfId="9" applyFont="1" applyFill="1" applyBorder="1" applyAlignment="1" applyProtection="1">
      <alignment horizontal="left" vertical="center" indent="1"/>
    </xf>
    <xf numFmtId="0" fontId="28" fillId="0" borderId="72" xfId="9" applyFill="1" applyBorder="1" applyProtection="1"/>
    <xf numFmtId="0" fontId="214" fillId="0" borderId="0" xfId="9" applyFont="1" applyFill="1" applyBorder="1" applyAlignment="1" applyProtection="1">
      <alignment horizontal="left" vertical="center"/>
      <protection locked="0"/>
    </xf>
    <xf numFmtId="0" fontId="215" fillId="0" borderId="0" xfId="9" applyFont="1" applyAlignment="1">
      <alignment vertical="center"/>
    </xf>
    <xf numFmtId="0" fontId="95" fillId="16" borderId="0" xfId="9" applyFont="1" applyFill="1" applyBorder="1" applyAlignment="1" applyProtection="1">
      <alignment vertical="center"/>
    </xf>
    <xf numFmtId="0" fontId="93" fillId="0" borderId="0" xfId="9" applyFont="1" applyFill="1" applyBorder="1" applyProtection="1"/>
    <xf numFmtId="0" fontId="177" fillId="16" borderId="0" xfId="9" applyFont="1" applyFill="1" applyBorder="1" applyAlignment="1" applyProtection="1">
      <alignment vertical="center"/>
    </xf>
    <xf numFmtId="0" fontId="177" fillId="0" borderId="0" xfId="9" applyFont="1" applyFill="1" applyBorder="1" applyAlignment="1" applyProtection="1">
      <alignment vertical="center"/>
    </xf>
    <xf numFmtId="0" fontId="177" fillId="0" borderId="0" xfId="9" applyFont="1" applyFill="1" applyBorder="1" applyAlignment="1" applyProtection="1">
      <alignment horizontal="center" vertical="center"/>
    </xf>
    <xf numFmtId="0" fontId="92" fillId="0" borderId="0" xfId="9" applyFont="1" applyFill="1" applyBorder="1" applyProtection="1"/>
    <xf numFmtId="0" fontId="93" fillId="0" borderId="45" xfId="9" applyFont="1" applyFill="1" applyBorder="1" applyAlignment="1" applyProtection="1">
      <alignment vertical="center"/>
      <protection locked="0"/>
    </xf>
    <xf numFmtId="0" fontId="93" fillId="0" borderId="46" xfId="9" applyFont="1" applyFill="1" applyBorder="1" applyAlignment="1" applyProtection="1">
      <alignment vertical="center"/>
      <protection locked="0"/>
    </xf>
    <xf numFmtId="0" fontId="93" fillId="16" borderId="0" xfId="9" applyFont="1" applyFill="1" applyBorder="1" applyAlignment="1" applyProtection="1">
      <alignment vertical="center"/>
    </xf>
    <xf numFmtId="0" fontId="110" fillId="16" borderId="0" xfId="9" applyFont="1" applyFill="1" applyBorder="1" applyAlignment="1" applyProtection="1">
      <alignment vertical="center"/>
    </xf>
    <xf numFmtId="0" fontId="107" fillId="0" borderId="0" xfId="9" applyFont="1"/>
    <xf numFmtId="0" fontId="99" fillId="20" borderId="25" xfId="9" applyFont="1" applyFill="1" applyBorder="1" applyAlignment="1" applyProtection="1">
      <alignment horizontal="right" vertical="center"/>
      <protection locked="0"/>
    </xf>
    <xf numFmtId="0" fontId="93" fillId="20" borderId="45" xfId="9" applyFont="1" applyFill="1" applyBorder="1" applyAlignment="1" applyProtection="1">
      <alignment vertical="center"/>
      <protection locked="0"/>
    </xf>
    <xf numFmtId="0" fontId="211" fillId="0" borderId="0" xfId="9" applyFont="1" applyBorder="1" applyAlignment="1" applyProtection="1">
      <alignment horizontal="right"/>
      <protection locked="0"/>
    </xf>
    <xf numFmtId="0" fontId="211" fillId="0" borderId="0" xfId="9" applyFont="1" applyBorder="1" applyAlignment="1" applyProtection="1">
      <alignment horizontal="center"/>
      <protection locked="0"/>
    </xf>
    <xf numFmtId="0" fontId="93" fillId="0" borderId="72" xfId="9" applyFont="1" applyBorder="1" applyProtection="1"/>
    <xf numFmtId="0" fontId="197" fillId="0" borderId="0" xfId="9" applyFont="1" applyBorder="1" applyAlignment="1" applyProtection="1">
      <alignment horizontal="left" vertical="top"/>
    </xf>
    <xf numFmtId="49" fontId="93" fillId="0" borderId="0" xfId="9" applyNumberFormat="1" applyFont="1" applyFill="1" applyBorder="1" applyAlignment="1" applyProtection="1">
      <alignment vertical="center"/>
    </xf>
    <xf numFmtId="0" fontId="93" fillId="0" borderId="26" xfId="9" applyFont="1" applyBorder="1" applyProtection="1"/>
    <xf numFmtId="0" fontId="93" fillId="0" borderId="27" xfId="9" applyFont="1" applyBorder="1" applyProtection="1"/>
    <xf numFmtId="0" fontId="93" fillId="0" borderId="65" xfId="9" applyFont="1" applyBorder="1" applyProtection="1"/>
    <xf numFmtId="0" fontId="93" fillId="0" borderId="66" xfId="9" applyFont="1" applyBorder="1" applyProtection="1"/>
    <xf numFmtId="0" fontId="93" fillId="0" borderId="63" xfId="9" applyFont="1" applyBorder="1" applyProtection="1">
      <protection locked="0"/>
    </xf>
    <xf numFmtId="0" fontId="93" fillId="0" borderId="0" xfId="9" applyFont="1" applyBorder="1" applyProtection="1">
      <protection locked="0"/>
    </xf>
    <xf numFmtId="0" fontId="28" fillId="0" borderId="0" xfId="9" applyBorder="1" applyProtection="1">
      <protection locked="0"/>
    </xf>
    <xf numFmtId="0" fontId="93" fillId="0" borderId="26" xfId="9" applyFont="1" applyBorder="1" applyAlignment="1" applyProtection="1">
      <alignment vertical="center"/>
      <protection locked="0"/>
    </xf>
    <xf numFmtId="0" fontId="93" fillId="0" borderId="26" xfId="9" applyFont="1" applyFill="1" applyBorder="1" applyAlignment="1" applyProtection="1">
      <alignment vertical="center"/>
      <protection locked="0"/>
    </xf>
    <xf numFmtId="0" fontId="95" fillId="0" borderId="26" xfId="9" applyFont="1" applyBorder="1" applyAlignment="1" applyProtection="1">
      <alignment vertical="center"/>
      <protection locked="0"/>
    </xf>
    <xf numFmtId="0" fontId="95" fillId="0" borderId="26" xfId="9" applyFont="1" applyBorder="1" applyAlignment="1" applyProtection="1">
      <alignment horizontal="center" vertical="center" wrapText="1"/>
      <protection locked="0"/>
    </xf>
    <xf numFmtId="0" fontId="95" fillId="0" borderId="0" xfId="9" applyFont="1" applyBorder="1" applyAlignment="1" applyProtection="1">
      <alignment horizontal="center" vertical="center" wrapText="1"/>
    </xf>
    <xf numFmtId="0" fontId="95" fillId="0" borderId="26" xfId="9" applyFont="1" applyBorder="1" applyAlignment="1" applyProtection="1">
      <alignment horizontal="left" vertical="center"/>
      <protection locked="0"/>
    </xf>
    <xf numFmtId="0" fontId="93" fillId="0" borderId="27" xfId="9" applyFont="1" applyBorder="1" applyProtection="1">
      <protection locked="0"/>
    </xf>
    <xf numFmtId="0" fontId="93" fillId="0" borderId="65" xfId="9" applyFont="1" applyBorder="1" applyProtection="1">
      <protection locked="0"/>
    </xf>
    <xf numFmtId="0" fontId="93" fillId="0" borderId="66" xfId="9" applyFont="1" applyBorder="1" applyAlignment="1" applyProtection="1">
      <alignment horizontal="left" vertical="center"/>
      <protection locked="0"/>
    </xf>
    <xf numFmtId="0" fontId="93" fillId="0" borderId="72" xfId="9" applyFont="1" applyBorder="1"/>
    <xf numFmtId="0" fontId="93" fillId="0" borderId="67" xfId="9" applyFont="1" applyBorder="1" applyAlignment="1">
      <alignment vertical="center"/>
    </xf>
    <xf numFmtId="0" fontId="97" fillId="0" borderId="63" xfId="9" applyFont="1" applyFill="1" applyBorder="1" applyAlignment="1">
      <alignment horizontal="center" vertical="top"/>
    </xf>
    <xf numFmtId="0" fontId="95" fillId="0" borderId="0" xfId="9" applyFont="1" applyBorder="1" applyAlignment="1">
      <alignment vertical="top"/>
    </xf>
    <xf numFmtId="0" fontId="95" fillId="0" borderId="0" xfId="9" applyFont="1" applyBorder="1" applyAlignment="1">
      <alignment vertical="center"/>
    </xf>
    <xf numFmtId="0" fontId="95" fillId="0" borderId="26" xfId="9" applyFont="1" applyBorder="1" applyAlignment="1">
      <alignment vertical="center"/>
    </xf>
    <xf numFmtId="0" fontId="93" fillId="0" borderId="26" xfId="9" applyFont="1" applyBorder="1"/>
    <xf numFmtId="0" fontId="93" fillId="0" borderId="0" xfId="9" applyFont="1" applyBorder="1"/>
    <xf numFmtId="0" fontId="93" fillId="0" borderId="27" xfId="9" applyFont="1" applyBorder="1"/>
    <xf numFmtId="0" fontId="93" fillId="0" borderId="65" xfId="9" applyFont="1" applyBorder="1"/>
    <xf numFmtId="0" fontId="93" fillId="0" borderId="66" xfId="9" applyFont="1" applyBorder="1"/>
    <xf numFmtId="0" fontId="93" fillId="0" borderId="66" xfId="9" applyFont="1" applyBorder="1" applyAlignment="1">
      <alignment horizontal="left" vertical="top"/>
    </xf>
    <xf numFmtId="0" fontId="97" fillId="0" borderId="0" xfId="9" applyFont="1" applyFill="1" applyBorder="1" applyAlignment="1" applyProtection="1">
      <alignment horizontal="center" vertical="center"/>
      <protection locked="0"/>
    </xf>
    <xf numFmtId="0" fontId="125" fillId="0" borderId="0" xfId="9" applyFont="1" applyBorder="1" applyAlignment="1" applyProtection="1">
      <alignment vertical="center"/>
      <protection locked="0"/>
    </xf>
    <xf numFmtId="0" fontId="125" fillId="0" borderId="0" xfId="9" applyFont="1" applyBorder="1" applyAlignment="1" applyProtection="1">
      <alignment horizontal="right" vertical="center"/>
      <protection locked="0"/>
    </xf>
    <xf numFmtId="0" fontId="28" fillId="0" borderId="73" xfId="9" applyBorder="1" applyProtection="1">
      <protection locked="0"/>
    </xf>
    <xf numFmtId="0" fontId="28" fillId="0" borderId="72" xfId="9" applyBorder="1" applyProtection="1">
      <protection locked="0"/>
    </xf>
    <xf numFmtId="0" fontId="28" fillId="0" borderId="67" xfId="9" applyBorder="1" applyProtection="1">
      <protection locked="0"/>
    </xf>
    <xf numFmtId="0" fontId="28" fillId="0" borderId="63" xfId="9" applyBorder="1" applyProtection="1">
      <protection locked="0"/>
    </xf>
    <xf numFmtId="0" fontId="28" fillId="0" borderId="26" xfId="9" applyBorder="1" applyProtection="1">
      <protection locked="0"/>
    </xf>
    <xf numFmtId="0" fontId="95" fillId="0" borderId="0" xfId="9" applyFont="1" applyBorder="1" applyAlignment="1">
      <alignment horizontal="center" vertical="center" wrapText="1"/>
    </xf>
    <xf numFmtId="0" fontId="93" fillId="0" borderId="0" xfId="9" applyFont="1" applyBorder="1" applyAlignment="1">
      <alignment horizontal="left" vertical="center"/>
    </xf>
    <xf numFmtId="0" fontId="95" fillId="0" borderId="0" xfId="9" applyFont="1" applyBorder="1" applyAlignment="1">
      <alignment horizontal="left" vertical="center"/>
    </xf>
    <xf numFmtId="0" fontId="28" fillId="0" borderId="0" xfId="9" applyBorder="1" applyAlignment="1" applyProtection="1">
      <alignment vertical="center"/>
      <protection locked="0"/>
    </xf>
    <xf numFmtId="0" fontId="28" fillId="0" borderId="26" xfId="9" applyBorder="1" applyAlignment="1" applyProtection="1">
      <alignment vertical="center"/>
      <protection locked="0"/>
    </xf>
    <xf numFmtId="0" fontId="95" fillId="0" borderId="63" xfId="9" applyFont="1" applyBorder="1" applyAlignment="1">
      <alignment vertical="center"/>
    </xf>
    <xf numFmtId="0" fontId="93" fillId="0" borderId="63" xfId="9" applyFont="1" applyBorder="1" applyAlignment="1">
      <alignment horizontal="left" vertical="center"/>
    </xf>
    <xf numFmtId="0" fontId="218" fillId="0" borderId="0" xfId="9" applyFont="1" applyBorder="1" applyAlignment="1" applyProtection="1">
      <alignment vertical="center"/>
      <protection locked="0"/>
    </xf>
    <xf numFmtId="0" fontId="219" fillId="0" borderId="63" xfId="9" applyFont="1" applyBorder="1" applyAlignment="1" applyProtection="1">
      <alignment vertical="center"/>
      <protection locked="0"/>
    </xf>
    <xf numFmtId="0" fontId="220" fillId="0" borderId="0" xfId="9" applyFont="1" applyBorder="1" applyAlignment="1" applyProtection="1">
      <alignment vertical="center"/>
      <protection locked="0"/>
    </xf>
    <xf numFmtId="0" fontId="133" fillId="0" borderId="0" xfId="9" quotePrefix="1" applyFont="1" applyBorder="1" applyAlignment="1" applyProtection="1">
      <alignment vertical="center"/>
      <protection locked="0"/>
    </xf>
    <xf numFmtId="0" fontId="220" fillId="0" borderId="63" xfId="9" applyFont="1" applyBorder="1" applyAlignment="1" applyProtection="1">
      <alignment horizontal="right" vertical="center"/>
      <protection locked="0"/>
    </xf>
    <xf numFmtId="0" fontId="181" fillId="0" borderId="0" xfId="9" quotePrefix="1" applyFont="1" applyBorder="1" applyAlignment="1" applyProtection="1">
      <alignment vertical="center"/>
      <protection locked="0"/>
    </xf>
    <xf numFmtId="0" fontId="220" fillId="0" borderId="27" xfId="9" applyFont="1" applyBorder="1" applyAlignment="1" applyProtection="1">
      <alignment vertical="center"/>
      <protection locked="0"/>
    </xf>
    <xf numFmtId="0" fontId="220" fillId="0" borderId="65" xfId="9" applyFont="1" applyBorder="1" applyAlignment="1" applyProtection="1">
      <alignment vertical="center"/>
      <protection locked="0"/>
    </xf>
    <xf numFmtId="0" fontId="221" fillId="0" borderId="65" xfId="9" applyFont="1" applyBorder="1" applyAlignment="1" applyProtection="1">
      <alignment horizontal="right" vertical="center"/>
      <protection locked="0"/>
    </xf>
    <xf numFmtId="0" fontId="221" fillId="0" borderId="65" xfId="9" applyFont="1" applyBorder="1" applyAlignment="1" applyProtection="1">
      <alignment horizontal="center" vertical="center"/>
      <protection locked="0"/>
    </xf>
    <xf numFmtId="38" fontId="221" fillId="0" borderId="65" xfId="9" applyNumberFormat="1" applyFont="1" applyBorder="1" applyAlignment="1" applyProtection="1">
      <alignment horizontal="right" vertical="center"/>
      <protection locked="0"/>
    </xf>
    <xf numFmtId="0" fontId="221" fillId="0" borderId="65" xfId="9" applyFont="1" applyBorder="1" applyAlignment="1" applyProtection="1">
      <alignment vertical="center"/>
      <protection locked="0"/>
    </xf>
    <xf numFmtId="0" fontId="28" fillId="0" borderId="65" xfId="9" applyBorder="1" applyAlignment="1" applyProtection="1">
      <alignment vertical="center"/>
      <protection locked="0"/>
    </xf>
    <xf numFmtId="0" fontId="28" fillId="0" borderId="66" xfId="9" applyBorder="1" applyAlignment="1" applyProtection="1">
      <alignment vertical="center"/>
      <protection locked="0"/>
    </xf>
    <xf numFmtId="0" fontId="222" fillId="0" borderId="0" xfId="9" applyFont="1" applyBorder="1" applyAlignment="1">
      <alignment vertical="center"/>
    </xf>
    <xf numFmtId="0" fontId="159" fillId="0" borderId="0" xfId="8" applyBorder="1" applyAlignment="1" applyProtection="1">
      <protection locked="0"/>
    </xf>
    <xf numFmtId="0" fontId="28" fillId="0" borderId="27" xfId="9" applyBorder="1" applyProtection="1">
      <protection locked="0"/>
    </xf>
    <xf numFmtId="0" fontId="28" fillId="0" borderId="65" xfId="9" applyBorder="1" applyProtection="1">
      <protection locked="0"/>
    </xf>
    <xf numFmtId="0" fontId="28" fillId="0" borderId="66" xfId="9" applyBorder="1" applyProtection="1">
      <protection locked="0"/>
    </xf>
    <xf numFmtId="0" fontId="134" fillId="0" borderId="0" xfId="13" applyFill="1" applyAlignment="1">
      <alignment vertical="center"/>
    </xf>
    <xf numFmtId="0" fontId="223" fillId="0" borderId="0" xfId="13" applyFont="1" applyFill="1" applyAlignment="1"/>
    <xf numFmtId="0" fontId="134" fillId="0" borderId="0" xfId="13" applyAlignment="1">
      <alignment vertical="center"/>
    </xf>
    <xf numFmtId="49" fontId="95" fillId="0" borderId="0" xfId="9" applyNumberFormat="1" applyFont="1" applyFill="1" applyBorder="1" applyAlignment="1" applyProtection="1">
      <alignment horizontal="left" vertical="top"/>
    </xf>
    <xf numFmtId="0" fontId="93" fillId="0" borderId="0" xfId="0" applyFont="1" applyFill="1" applyBorder="1" applyAlignment="1" applyProtection="1">
      <alignment horizontal="left" vertical="top"/>
    </xf>
    <xf numFmtId="0" fontId="159" fillId="3" borderId="0" xfId="8" applyFill="1" applyAlignment="1" applyProtection="1">
      <alignment vertical="center"/>
      <protection locked="0"/>
    </xf>
    <xf numFmtId="0" fontId="93" fillId="0" borderId="0" xfId="9" applyFont="1" applyBorder="1" applyAlignment="1" applyProtection="1">
      <alignment horizontal="justify" vertical="top" wrapText="1"/>
      <protection locked="0"/>
    </xf>
    <xf numFmtId="0" fontId="226" fillId="0" borderId="0" xfId="9" applyFont="1" applyProtection="1"/>
    <xf numFmtId="0" fontId="107" fillId="0" borderId="0" xfId="9" applyFont="1" applyFill="1" applyBorder="1" applyAlignment="1" applyProtection="1">
      <alignment horizontal="left" indent="1"/>
    </xf>
    <xf numFmtId="0" fontId="93" fillId="0" borderId="26" xfId="9" applyFont="1" applyBorder="1" applyAlignment="1">
      <alignment horizontal="center" vertical="top"/>
    </xf>
    <xf numFmtId="0" fontId="93" fillId="0" borderId="0" xfId="9" applyFont="1" applyBorder="1" applyAlignment="1" applyProtection="1">
      <alignment horizontal="left"/>
    </xf>
    <xf numFmtId="0" fontId="93" fillId="0" borderId="0" xfId="9" applyFont="1" applyFill="1" applyBorder="1" applyAlignment="1" applyProtection="1">
      <alignment horizontal="left" vertical="top" wrapText="1"/>
    </xf>
    <xf numFmtId="0" fontId="123" fillId="4" borderId="0" xfId="9" quotePrefix="1" applyFont="1" applyFill="1" applyAlignment="1" applyProtection="1">
      <alignment vertical="center"/>
    </xf>
    <xf numFmtId="0" fontId="28" fillId="0" borderId="0" xfId="9" applyFont="1" applyFill="1" applyAlignment="1" applyProtection="1">
      <alignment vertical="center"/>
    </xf>
    <xf numFmtId="0" fontId="123" fillId="0" borderId="65" xfId="9" applyFont="1" applyBorder="1" applyAlignment="1">
      <alignment horizontal="justify" vertical="top" wrapText="1"/>
    </xf>
    <xf numFmtId="0" fontId="123" fillId="0" borderId="65" xfId="9" applyFont="1" applyFill="1" applyBorder="1" applyAlignment="1" applyProtection="1">
      <alignment horizontal="left" vertical="top"/>
    </xf>
    <xf numFmtId="0" fontId="123" fillId="0" borderId="65" xfId="9" applyFont="1" applyBorder="1" applyAlignment="1" applyProtection="1">
      <alignment horizontal="left" vertical="top"/>
    </xf>
    <xf numFmtId="0" fontId="93" fillId="0" borderId="65" xfId="9" applyFont="1" applyBorder="1" applyAlignment="1">
      <alignment horizontal="left" vertical="top"/>
    </xf>
    <xf numFmtId="0" fontId="93" fillId="0" borderId="27" xfId="9" applyFont="1" applyBorder="1" applyAlignment="1">
      <alignment horizontal="left" vertical="top"/>
    </xf>
    <xf numFmtId="0" fontId="123" fillId="0" borderId="63" xfId="9" applyFont="1" applyBorder="1" applyAlignment="1">
      <alignment vertical="top"/>
    </xf>
    <xf numFmtId="0" fontId="123" fillId="0" borderId="63" xfId="9" applyFont="1" applyBorder="1" applyAlignment="1">
      <alignment horizontal="left" vertical="top"/>
    </xf>
    <xf numFmtId="0" fontId="93" fillId="0" borderId="63" xfId="9" applyFont="1" applyBorder="1" applyAlignment="1"/>
    <xf numFmtId="0" fontId="93" fillId="0" borderId="63" xfId="9" applyFont="1" applyBorder="1" applyAlignment="1">
      <alignment horizontal="left"/>
    </xf>
    <xf numFmtId="0" fontId="93" fillId="0" borderId="63" xfId="9" applyFont="1" applyBorder="1" applyAlignment="1">
      <alignment vertical="top"/>
    </xf>
    <xf numFmtId="0" fontId="93" fillId="0" borderId="63" xfId="9" applyFont="1" applyBorder="1" applyAlignment="1">
      <alignment horizontal="left" vertical="top"/>
    </xf>
    <xf numFmtId="0" fontId="123" fillId="0" borderId="66" xfId="9" applyFont="1" applyFill="1" applyBorder="1" applyAlignment="1">
      <alignment vertical="top"/>
    </xf>
    <xf numFmtId="0" fontId="123" fillId="0" borderId="65" xfId="9" applyFont="1" applyFill="1" applyBorder="1" applyAlignment="1">
      <alignment vertical="top"/>
    </xf>
    <xf numFmtId="0" fontId="123" fillId="0" borderId="27" xfId="9" applyFont="1" applyFill="1" applyBorder="1" applyAlignment="1">
      <alignment vertical="top"/>
    </xf>
    <xf numFmtId="0" fontId="123" fillId="0" borderId="65" xfId="9" applyFont="1" applyBorder="1" applyAlignment="1">
      <alignment vertical="top"/>
    </xf>
    <xf numFmtId="0" fontId="104" fillId="0" borderId="65" xfId="9" applyFont="1" applyBorder="1" applyAlignment="1">
      <alignment vertical="top"/>
    </xf>
    <xf numFmtId="0" fontId="123" fillId="0" borderId="27" xfId="9" applyFont="1" applyFill="1" applyBorder="1" applyAlignment="1">
      <alignment horizontal="left" vertical="top"/>
    </xf>
    <xf numFmtId="0" fontId="123" fillId="0" borderId="66" xfId="9" applyFont="1" applyFill="1" applyBorder="1" applyAlignment="1">
      <alignment horizontal="left" vertical="top"/>
    </xf>
    <xf numFmtId="0" fontId="93" fillId="0" borderId="63" xfId="9" applyFont="1" applyBorder="1" applyAlignment="1">
      <alignment vertical="center"/>
    </xf>
    <xf numFmtId="0" fontId="93" fillId="0" borderId="63" xfId="9" applyFont="1" applyBorder="1" applyAlignment="1">
      <alignment horizontal="center" vertical="top"/>
    </xf>
    <xf numFmtId="0" fontId="93" fillId="0" borderId="66" xfId="9" applyFont="1" applyBorder="1" applyAlignment="1">
      <alignment horizontal="center" vertical="top"/>
    </xf>
    <xf numFmtId="0" fontId="93" fillId="0" borderId="65" xfId="9" applyFont="1" applyBorder="1" applyAlignment="1">
      <alignment horizontal="center" vertical="top"/>
    </xf>
    <xf numFmtId="0" fontId="93" fillId="0" borderId="27" xfId="9" applyFont="1" applyBorder="1" applyAlignment="1">
      <alignment horizontal="center" vertical="top"/>
    </xf>
    <xf numFmtId="0" fontId="123" fillId="0" borderId="66" xfId="9" applyFont="1" applyBorder="1" applyAlignment="1">
      <alignment horizontal="left" vertical="top"/>
    </xf>
    <xf numFmtId="0" fontId="123" fillId="0" borderId="65" xfId="9" applyFont="1" applyBorder="1" applyAlignment="1">
      <alignment horizontal="center" vertical="top"/>
    </xf>
    <xf numFmtId="0" fontId="123" fillId="0" borderId="27" xfId="9" applyFont="1" applyBorder="1" applyAlignment="1">
      <alignment horizontal="center" vertical="top"/>
    </xf>
    <xf numFmtId="0" fontId="227" fillId="0" borderId="0" xfId="9" applyFont="1" applyBorder="1" applyAlignment="1">
      <alignment horizontal="right" vertical="top"/>
    </xf>
    <xf numFmtId="0" fontId="227" fillId="0" borderId="63" xfId="9" applyFont="1" applyBorder="1" applyAlignment="1">
      <alignment horizontal="right" vertical="top"/>
    </xf>
    <xf numFmtId="0" fontId="227" fillId="0" borderId="63" xfId="9" applyFont="1" applyBorder="1" applyAlignment="1">
      <alignment horizontal="center" vertical="top"/>
    </xf>
    <xf numFmtId="0" fontId="177" fillId="15" borderId="63" xfId="9" applyFont="1" applyFill="1" applyBorder="1" applyAlignment="1">
      <alignment horizontal="center" vertical="center"/>
    </xf>
    <xf numFmtId="0" fontId="93" fillId="15" borderId="0" xfId="9" applyFont="1" applyFill="1" applyAlignment="1" applyProtection="1">
      <alignment horizontal="left" vertical="top"/>
    </xf>
    <xf numFmtId="0" fontId="93" fillId="15" borderId="0" xfId="9" applyFont="1" applyFill="1" applyBorder="1" applyAlignment="1" applyProtection="1">
      <alignment horizontal="left" vertical="top"/>
    </xf>
    <xf numFmtId="0" fontId="95" fillId="15" borderId="26" xfId="9" applyFont="1" applyFill="1" applyBorder="1" applyAlignment="1">
      <alignment horizontal="center" vertical="center"/>
    </xf>
    <xf numFmtId="0" fontId="95" fillId="15" borderId="63" xfId="9" applyFont="1" applyFill="1" applyBorder="1" applyAlignment="1">
      <alignment horizontal="center" vertical="center"/>
    </xf>
    <xf numFmtId="0" fontId="95" fillId="0" borderId="0" xfId="9" applyFont="1" applyFill="1" applyAlignment="1" applyProtection="1">
      <alignment horizontal="center" vertical="center"/>
      <protection locked="0"/>
    </xf>
    <xf numFmtId="0" fontId="93" fillId="0" borderId="0" xfId="9" applyFont="1" applyAlignment="1" applyProtection="1">
      <alignment horizontal="center" vertical="top"/>
      <protection locked="0"/>
    </xf>
    <xf numFmtId="0" fontId="93" fillId="0" borderId="0" xfId="9" applyFont="1" applyBorder="1" applyAlignment="1" applyProtection="1">
      <alignment horizontal="left" vertical="center"/>
      <protection locked="0"/>
    </xf>
    <xf numFmtId="0" fontId="93" fillId="0" borderId="65" xfId="9" applyFont="1" applyBorder="1" applyAlignment="1" applyProtection="1">
      <alignment horizontal="left" wrapText="1"/>
      <protection locked="0"/>
    </xf>
    <xf numFmtId="0" fontId="93" fillId="0" borderId="63" xfId="9" applyFont="1" applyFill="1" applyBorder="1" applyAlignment="1" applyProtection="1">
      <alignment vertical="top" wrapText="1"/>
      <protection locked="0"/>
    </xf>
    <xf numFmtId="0" fontId="93" fillId="0" borderId="27" xfId="9" applyFont="1" applyFill="1" applyBorder="1" applyAlignment="1" applyProtection="1">
      <alignment vertical="top" wrapText="1"/>
      <protection locked="0"/>
    </xf>
    <xf numFmtId="0" fontId="93" fillId="0" borderId="65" xfId="9" applyFont="1" applyFill="1" applyBorder="1" applyAlignment="1" applyProtection="1">
      <alignment horizontal="justify" vertical="top" wrapText="1"/>
      <protection locked="0"/>
    </xf>
    <xf numFmtId="0" fontId="93" fillId="0" borderId="66" xfId="9" applyFont="1" applyFill="1" applyBorder="1" applyAlignment="1" applyProtection="1">
      <alignment vertical="top" wrapText="1"/>
      <protection locked="0"/>
    </xf>
    <xf numFmtId="0" fontId="93" fillId="0" borderId="63" xfId="9" applyFont="1" applyBorder="1" applyAlignment="1" applyProtection="1">
      <alignment vertical="top" wrapText="1"/>
      <protection locked="0"/>
    </xf>
    <xf numFmtId="0" fontId="132" fillId="0" borderId="63" xfId="9" applyFont="1" applyBorder="1" applyAlignment="1" applyProtection="1">
      <alignment horizontal="left" vertical="top"/>
      <protection locked="0"/>
    </xf>
    <xf numFmtId="0" fontId="198" fillId="0" borderId="63" xfId="9" applyFont="1" applyBorder="1" applyAlignment="1" applyProtection="1">
      <alignment horizontal="left"/>
      <protection locked="0"/>
    </xf>
    <xf numFmtId="0" fontId="228" fillId="0" borderId="0" xfId="9" applyFont="1" applyFill="1" applyBorder="1" applyAlignment="1" applyProtection="1">
      <alignment horizontal="right" vertical="center"/>
    </xf>
    <xf numFmtId="0" fontId="218" fillId="0" borderId="0" xfId="0" applyFont="1" applyBorder="1" applyAlignment="1" applyProtection="1">
      <alignment vertical="center"/>
      <protection locked="0"/>
    </xf>
    <xf numFmtId="0" fontId="143" fillId="0" borderId="0" xfId="0" applyFont="1" applyBorder="1" applyAlignment="1" applyProtection="1">
      <alignment vertical="center"/>
      <protection locked="0"/>
    </xf>
    <xf numFmtId="0" fontId="220" fillId="0" borderId="0" xfId="0" applyFont="1" applyBorder="1" applyAlignment="1" applyProtection="1">
      <alignment vertical="center"/>
      <protection locked="0"/>
    </xf>
    <xf numFmtId="0" fontId="143" fillId="0" borderId="0" xfId="0" applyFont="1" applyBorder="1" applyAlignment="1" applyProtection="1">
      <alignment horizontal="right" vertical="center"/>
      <protection locked="0"/>
    </xf>
    <xf numFmtId="0" fontId="143" fillId="0" borderId="0" xfId="0" applyFont="1" applyBorder="1" applyAlignment="1" applyProtection="1">
      <alignment horizontal="center" vertical="center"/>
      <protection locked="0"/>
    </xf>
    <xf numFmtId="0" fontId="143" fillId="0" borderId="72" xfId="0" applyFont="1" applyBorder="1" applyAlignment="1" applyProtection="1">
      <alignment vertical="center"/>
      <protection locked="0"/>
    </xf>
    <xf numFmtId="0" fontId="109" fillId="0" borderId="72" xfId="0" applyFont="1" applyBorder="1" applyAlignment="1" applyProtection="1">
      <alignment horizontal="right" vertical="center"/>
      <protection locked="0"/>
    </xf>
    <xf numFmtId="0" fontId="109" fillId="0" borderId="72" xfId="0" applyFont="1" applyBorder="1" applyAlignment="1" applyProtection="1">
      <alignment horizontal="center" vertical="center"/>
      <protection locked="0"/>
    </xf>
    <xf numFmtId="0" fontId="109" fillId="0" borderId="0" xfId="0" applyFont="1" applyBorder="1" applyAlignment="1" applyProtection="1">
      <alignment vertical="center"/>
      <protection locked="0"/>
    </xf>
    <xf numFmtId="0" fontId="219" fillId="0" borderId="0" xfId="0" applyFont="1" applyBorder="1" applyAlignment="1" applyProtection="1">
      <alignment vertical="center"/>
      <protection locked="0"/>
    </xf>
    <xf numFmtId="0" fontId="220" fillId="0" borderId="0" xfId="0" applyFont="1" applyBorder="1" applyAlignment="1" applyProtection="1">
      <alignment horizontal="right" vertical="center"/>
      <protection locked="0"/>
    </xf>
    <xf numFmtId="0" fontId="137" fillId="0" borderId="0" xfId="9" quotePrefix="1" applyFont="1" applyFill="1" applyAlignment="1" applyProtection="1">
      <alignment vertical="center"/>
    </xf>
    <xf numFmtId="0" fontId="229" fillId="16" borderId="0" xfId="9" applyFont="1" applyFill="1" applyAlignment="1" applyProtection="1">
      <alignment vertical="center"/>
    </xf>
    <xf numFmtId="0" fontId="137" fillId="0" borderId="0" xfId="9" applyFont="1" applyBorder="1" applyAlignment="1">
      <alignment vertical="top"/>
    </xf>
    <xf numFmtId="0" fontId="104" fillId="0" borderId="0" xfId="9" applyFont="1" applyBorder="1" applyAlignment="1">
      <alignment vertical="center"/>
    </xf>
    <xf numFmtId="0" fontId="230" fillId="0" borderId="0" xfId="9" applyFont="1" applyAlignment="1" applyProtection="1">
      <alignment vertical="center"/>
    </xf>
    <xf numFmtId="0" fontId="137" fillId="0" borderId="65" xfId="9" applyFont="1" applyBorder="1" applyAlignment="1">
      <alignment vertical="top"/>
    </xf>
    <xf numFmtId="0" fontId="229" fillId="0" borderId="0" xfId="9" applyFont="1" applyFill="1" applyAlignment="1" applyProtection="1">
      <alignment vertical="center"/>
    </xf>
    <xf numFmtId="0" fontId="138" fillId="0" borderId="0" xfId="9" applyFont="1" applyFill="1" applyBorder="1" applyAlignment="1" applyProtection="1">
      <alignment vertical="top"/>
      <protection locked="0"/>
    </xf>
    <xf numFmtId="0" fontId="137" fillId="0" borderId="0" xfId="9" applyFont="1" applyBorder="1" applyAlignment="1" applyProtection="1">
      <alignment vertical="center"/>
    </xf>
    <xf numFmtId="0" fontId="198" fillId="0" borderId="0" xfId="9" applyFont="1" applyFill="1" applyBorder="1" applyAlignment="1" applyProtection="1">
      <alignment horizontal="left"/>
      <protection locked="0"/>
    </xf>
    <xf numFmtId="0" fontId="93" fillId="0" borderId="63" xfId="9" applyFont="1" applyBorder="1" applyAlignment="1" applyProtection="1">
      <alignment vertical="center"/>
    </xf>
    <xf numFmtId="0" fontId="198" fillId="0" borderId="0" xfId="9" applyFont="1" applyFill="1" applyBorder="1" applyAlignment="1" applyProtection="1">
      <alignment horizontal="center"/>
      <protection locked="0"/>
    </xf>
    <xf numFmtId="0" fontId="116" fillId="0" borderId="73" xfId="9" applyFont="1" applyFill="1" applyBorder="1" applyAlignment="1" applyProtection="1">
      <alignment horizontal="right" vertical="center"/>
    </xf>
    <xf numFmtId="0" fontId="95" fillId="15" borderId="72" xfId="9" applyFont="1" applyFill="1" applyBorder="1" applyAlignment="1" applyProtection="1">
      <alignment vertical="center"/>
    </xf>
    <xf numFmtId="0" fontId="95" fillId="15" borderId="72" xfId="9" applyFont="1" applyFill="1" applyBorder="1" applyAlignment="1" applyProtection="1">
      <alignment horizontal="center" vertical="center"/>
    </xf>
    <xf numFmtId="0" fontId="95" fillId="15" borderId="67" xfId="9" applyFont="1" applyFill="1" applyBorder="1" applyAlignment="1" applyProtection="1">
      <alignment vertical="center"/>
    </xf>
    <xf numFmtId="0" fontId="116" fillId="0" borderId="63" xfId="9" applyFont="1" applyFill="1" applyBorder="1" applyAlignment="1" applyProtection="1">
      <alignment horizontal="right" vertical="center"/>
    </xf>
    <xf numFmtId="190" fontId="95" fillId="0" borderId="0" xfId="6" quotePrefix="1" applyNumberFormat="1" applyFont="1" applyFill="1" applyBorder="1" applyAlignment="1" applyProtection="1">
      <alignment vertical="center"/>
    </xf>
    <xf numFmtId="0" fontId="95" fillId="0" borderId="26" xfId="9" applyNumberFormat="1" applyFont="1" applyFill="1" applyBorder="1" applyAlignment="1" applyProtection="1">
      <alignment vertical="center"/>
      <protection locked="0"/>
    </xf>
    <xf numFmtId="0" fontId="117" fillId="0" borderId="27" xfId="9" applyFont="1" applyFill="1" applyBorder="1" applyAlignment="1" applyProtection="1">
      <alignment horizontal="right" vertical="center"/>
    </xf>
    <xf numFmtId="0" fontId="95" fillId="0" borderId="65" xfId="9" applyFont="1" applyBorder="1" applyAlignment="1" applyProtection="1">
      <alignment vertical="center"/>
    </xf>
    <xf numFmtId="0" fontId="95" fillId="0" borderId="65" xfId="9" applyFont="1" applyFill="1" applyBorder="1" applyAlignment="1" applyProtection="1">
      <alignment vertical="center"/>
    </xf>
    <xf numFmtId="0" fontId="95" fillId="0" borderId="65" xfId="9" applyFont="1" applyFill="1" applyBorder="1" applyAlignment="1" applyProtection="1">
      <alignment horizontal="center" vertical="center"/>
    </xf>
    <xf numFmtId="190" fontId="95" fillId="0" borderId="65" xfId="6" quotePrefix="1" applyNumberFormat="1" applyFont="1" applyFill="1" applyBorder="1" applyAlignment="1" applyProtection="1">
      <alignment vertical="center"/>
    </xf>
    <xf numFmtId="191" fontId="95" fillId="0" borderId="66" xfId="6" applyNumberFormat="1" applyFont="1" applyFill="1" applyBorder="1" applyAlignment="1" applyProtection="1">
      <alignment vertical="center"/>
      <protection locked="0"/>
    </xf>
    <xf numFmtId="0" fontId="93" fillId="0" borderId="27" xfId="9" applyFont="1" applyFill="1" applyBorder="1" applyAlignment="1" applyProtection="1">
      <alignment vertical="center"/>
    </xf>
    <xf numFmtId="190" fontId="118" fillId="0" borderId="66" xfId="6" quotePrefix="1" applyNumberFormat="1" applyFont="1" applyFill="1" applyBorder="1" applyAlignment="1" applyProtection="1">
      <alignment vertical="center"/>
    </xf>
    <xf numFmtId="0" fontId="99" fillId="0" borderId="72" xfId="9" applyFont="1" applyFill="1" applyBorder="1" applyAlignment="1" applyProtection="1">
      <alignment horizontal="right" vertical="center"/>
    </xf>
    <xf numFmtId="0" fontId="93" fillId="0" borderId="72" xfId="9" applyFont="1" applyFill="1" applyBorder="1" applyAlignment="1" applyProtection="1">
      <alignment horizontal="left" vertical="center"/>
    </xf>
    <xf numFmtId="0" fontId="93" fillId="0" borderId="72" xfId="9" applyFont="1" applyFill="1" applyBorder="1" applyAlignment="1" applyProtection="1">
      <alignment horizontal="left" vertical="center" indent="1"/>
    </xf>
    <xf numFmtId="0" fontId="93" fillId="0" borderId="72" xfId="9" applyFont="1" applyFill="1" applyBorder="1" applyAlignment="1" applyProtection="1">
      <alignment vertical="center"/>
    </xf>
    <xf numFmtId="0" fontId="97" fillId="0" borderId="63" xfId="9" applyFont="1" applyFill="1" applyBorder="1" applyAlignment="1" applyProtection="1">
      <alignment horizontal="right" vertical="center"/>
    </xf>
    <xf numFmtId="0" fontId="117" fillId="0" borderId="73" xfId="9" applyFont="1" applyFill="1" applyBorder="1" applyAlignment="1" applyProtection="1">
      <alignment horizontal="right" vertical="center"/>
    </xf>
    <xf numFmtId="0" fontId="95" fillId="0" borderId="72" xfId="9" applyFont="1" applyFill="1" applyBorder="1" applyAlignment="1" applyProtection="1">
      <alignment vertical="center"/>
    </xf>
    <xf numFmtId="0" fontId="95" fillId="0" borderId="72" xfId="9" applyFont="1" applyFill="1" applyBorder="1" applyAlignment="1" applyProtection="1">
      <alignment horizontal="center" vertical="center"/>
    </xf>
    <xf numFmtId="0" fontId="95" fillId="0" borderId="67" xfId="9" applyFont="1" applyFill="1" applyBorder="1" applyAlignment="1" applyProtection="1">
      <alignment vertical="center"/>
    </xf>
    <xf numFmtId="0" fontId="104" fillId="0" borderId="0" xfId="9" applyFont="1" applyFill="1" applyBorder="1" applyAlignment="1" applyProtection="1">
      <alignment vertical="center"/>
    </xf>
    <xf numFmtId="0" fontId="115" fillId="0" borderId="0" xfId="9" applyFont="1" applyFill="1" applyBorder="1" applyAlignment="1" applyProtection="1">
      <alignment vertical="center"/>
      <protection locked="0"/>
    </xf>
    <xf numFmtId="0" fontId="115" fillId="0" borderId="0" xfId="9" applyFont="1" applyFill="1" applyBorder="1" applyAlignment="1" applyProtection="1">
      <alignment vertical="center"/>
    </xf>
    <xf numFmtId="0" fontId="198" fillId="0" borderId="0" xfId="9" applyFont="1" applyFill="1" applyBorder="1" applyAlignment="1" applyProtection="1">
      <protection locked="0"/>
    </xf>
    <xf numFmtId="0" fontId="125" fillId="0" borderId="0" xfId="9" applyNumberFormat="1" applyFont="1" applyFill="1" applyBorder="1" applyAlignment="1" applyProtection="1">
      <alignment horizontal="left" vertical="top"/>
      <protection locked="0"/>
    </xf>
    <xf numFmtId="0" fontId="92" fillId="0" borderId="73" xfId="9" applyFont="1" applyBorder="1" applyAlignment="1" applyProtection="1">
      <alignment vertical="center"/>
    </xf>
    <xf numFmtId="0" fontId="190" fillId="0" borderId="72" xfId="9" applyFont="1" applyFill="1" applyBorder="1" applyProtection="1"/>
    <xf numFmtId="0" fontId="232" fillId="0" borderId="0" xfId="0" applyFont="1"/>
    <xf numFmtId="0" fontId="96" fillId="17" borderId="0" xfId="9" applyFont="1" applyFill="1" applyBorder="1" applyAlignment="1" applyProtection="1">
      <alignment horizontal="center" vertical="center"/>
    </xf>
    <xf numFmtId="0" fontId="93" fillId="0" borderId="0" xfId="9" applyFont="1" applyFill="1" applyBorder="1" applyAlignment="1" applyProtection="1">
      <alignment vertical="top" wrapText="1"/>
    </xf>
    <xf numFmtId="0" fontId="95" fillId="18" borderId="0" xfId="9" applyFont="1" applyFill="1" applyBorder="1" applyAlignment="1" applyProtection="1">
      <alignment horizontal="center" vertical="center" wrapText="1"/>
    </xf>
    <xf numFmtId="184" fontId="95" fillId="0" borderId="0" xfId="9" applyNumberFormat="1" applyFont="1" applyBorder="1" applyAlignment="1" applyProtection="1">
      <alignment horizontal="center" vertical="center"/>
    </xf>
    <xf numFmtId="184" fontId="95" fillId="18" borderId="0" xfId="9" applyNumberFormat="1" applyFont="1" applyFill="1" applyBorder="1" applyAlignment="1" applyProtection="1">
      <alignment horizontal="center" vertical="center"/>
    </xf>
    <xf numFmtId="190" fontId="118" fillId="0" borderId="0" xfId="6" quotePrefix="1" applyNumberFormat="1" applyFont="1" applyFill="1" applyBorder="1" applyAlignment="1" applyProtection="1">
      <alignment vertical="center"/>
    </xf>
    <xf numFmtId="0" fontId="92" fillId="0" borderId="25" xfId="9" applyFont="1" applyBorder="1" applyAlignment="1" applyProtection="1">
      <alignment vertical="center"/>
    </xf>
    <xf numFmtId="0" fontId="93" fillId="0" borderId="45" xfId="9" applyFont="1" applyBorder="1" applyAlignment="1" applyProtection="1">
      <alignment vertical="center"/>
    </xf>
    <xf numFmtId="0" fontId="95" fillId="0" borderId="45" xfId="9" applyFont="1" applyBorder="1" applyAlignment="1" applyProtection="1">
      <alignment horizontal="right" vertical="center" indent="1"/>
    </xf>
    <xf numFmtId="0" fontId="93" fillId="0" borderId="0" xfId="0" applyFont="1" applyBorder="1" applyAlignment="1" applyProtection="1">
      <alignment vertical="center"/>
    </xf>
    <xf numFmtId="0" fontId="0" fillId="0" borderId="0" xfId="0" applyBorder="1" applyProtection="1"/>
    <xf numFmtId="0" fontId="233" fillId="0" borderId="63" xfId="0" applyFont="1" applyFill="1" applyBorder="1" applyAlignment="1" applyProtection="1">
      <alignment horizontal="center" vertical="center"/>
    </xf>
    <xf numFmtId="0" fontId="93" fillId="0" borderId="73" xfId="0" applyFont="1" applyBorder="1" applyAlignment="1" applyProtection="1">
      <alignment vertical="center"/>
    </xf>
    <xf numFmtId="0" fontId="93" fillId="0" borderId="72" xfId="0" applyFont="1" applyBorder="1" applyAlignment="1" applyProtection="1">
      <alignment vertical="center"/>
    </xf>
    <xf numFmtId="0" fontId="93" fillId="0" borderId="72" xfId="0" applyFont="1" applyFill="1" applyBorder="1" applyAlignment="1" applyProtection="1">
      <alignment vertical="center"/>
    </xf>
    <xf numFmtId="0" fontId="93" fillId="0" borderId="67" xfId="0" applyFont="1" applyBorder="1" applyAlignment="1" applyProtection="1">
      <alignment vertical="center"/>
    </xf>
    <xf numFmtId="0" fontId="0" fillId="0" borderId="26" xfId="0" applyBorder="1" applyProtection="1"/>
    <xf numFmtId="0" fontId="233" fillId="0" borderId="63" xfId="0" applyFont="1" applyFill="1" applyBorder="1" applyAlignment="1" applyProtection="1">
      <alignment horizontal="right" vertical="center"/>
    </xf>
    <xf numFmtId="0" fontId="93" fillId="0" borderId="63" xfId="0" applyFont="1" applyBorder="1" applyAlignment="1" applyProtection="1">
      <alignment vertical="center"/>
    </xf>
    <xf numFmtId="0" fontId="234" fillId="0" borderId="0" xfId="0" applyFont="1" applyFill="1" applyBorder="1" applyAlignment="1" applyProtection="1">
      <alignment horizontal="right" vertical="center"/>
    </xf>
    <xf numFmtId="0" fontId="231" fillId="0" borderId="0" xfId="0" applyFont="1" applyBorder="1" applyAlignment="1" applyProtection="1">
      <alignment vertical="center"/>
    </xf>
    <xf numFmtId="0" fontId="235" fillId="0" borderId="0" xfId="0" applyFont="1" applyBorder="1" applyAlignment="1" applyProtection="1">
      <alignment vertical="center"/>
    </xf>
    <xf numFmtId="0" fontId="235" fillId="0" borderId="0" xfId="0" applyFont="1" applyBorder="1" applyAlignment="1" applyProtection="1">
      <alignment horizontal="center" vertical="center"/>
    </xf>
    <xf numFmtId="0" fontId="235" fillId="0" borderId="0" xfId="0" applyFont="1" applyBorder="1" applyAlignment="1" applyProtection="1">
      <alignment vertical="top"/>
    </xf>
    <xf numFmtId="0" fontId="235" fillId="0" borderId="0" xfId="0" applyFont="1" applyBorder="1" applyAlignment="1" applyProtection="1">
      <alignment horizontal="right" vertical="top"/>
    </xf>
    <xf numFmtId="0" fontId="235" fillId="0" borderId="0" xfId="0" applyFont="1" applyBorder="1" applyAlignment="1" applyProtection="1">
      <alignment horizontal="center" vertical="top"/>
    </xf>
    <xf numFmtId="0" fontId="225" fillId="0" borderId="63" xfId="0" applyFont="1" applyBorder="1" applyAlignment="1" applyProtection="1">
      <alignment vertical="center"/>
    </xf>
    <xf numFmtId="0" fontId="93" fillId="0" borderId="27" xfId="0" applyFont="1" applyBorder="1" applyAlignment="1" applyProtection="1">
      <alignment vertical="center"/>
    </xf>
    <xf numFmtId="0" fontId="93" fillId="0" borderId="65" xfId="0" applyFont="1" applyBorder="1" applyAlignment="1" applyProtection="1">
      <alignment vertical="center"/>
    </xf>
    <xf numFmtId="0" fontId="93" fillId="0" borderId="65" xfId="0" applyFont="1" applyFill="1" applyBorder="1" applyAlignment="1" applyProtection="1">
      <alignment vertical="center"/>
    </xf>
    <xf numFmtId="0" fontId="93" fillId="0" borderId="66" xfId="0" applyFont="1" applyBorder="1" applyAlignment="1" applyProtection="1">
      <alignment vertical="center"/>
    </xf>
    <xf numFmtId="0" fontId="99" fillId="0" borderId="25" xfId="9" applyFont="1" applyFill="1" applyBorder="1" applyAlignment="1" applyProtection="1">
      <alignment horizontal="center" vertical="top"/>
    </xf>
    <xf numFmtId="0" fontId="131" fillId="0" borderId="0" xfId="9" applyFont="1" applyFill="1" applyAlignment="1" applyProtection="1">
      <alignment vertical="center"/>
    </xf>
    <xf numFmtId="0" fontId="125" fillId="0" borderId="0" xfId="9" applyFont="1" applyAlignment="1" applyProtection="1">
      <alignment horizontal="left" vertical="top"/>
      <protection locked="0"/>
    </xf>
    <xf numFmtId="0" fontId="93" fillId="0" borderId="0" xfId="9" applyFont="1" applyBorder="1" applyAlignment="1" applyProtection="1">
      <alignment vertical="top" wrapText="1"/>
    </xf>
    <xf numFmtId="0" fontId="93" fillId="0" borderId="0" xfId="9" applyFont="1" applyFill="1" applyBorder="1" applyAlignment="1">
      <alignment vertical="top" wrapText="1"/>
    </xf>
    <xf numFmtId="0" fontId="177" fillId="0" borderId="72" xfId="9" applyFont="1" applyFill="1" applyBorder="1" applyAlignment="1" applyProtection="1">
      <alignment vertical="center"/>
    </xf>
    <xf numFmtId="0" fontId="92" fillId="0" borderId="72" xfId="9" applyFont="1" applyFill="1" applyBorder="1" applyAlignment="1" applyProtection="1">
      <alignment vertical="center"/>
    </xf>
    <xf numFmtId="0" fontId="211" fillId="0" borderId="0" xfId="9" applyFont="1" applyBorder="1" applyAlignment="1" applyProtection="1">
      <protection locked="0"/>
    </xf>
    <xf numFmtId="0" fontId="112" fillId="0" borderId="69" xfId="9" applyFont="1" applyFill="1" applyBorder="1" applyAlignment="1" applyProtection="1">
      <alignment horizontal="center" vertical="center"/>
    </xf>
    <xf numFmtId="0" fontId="112" fillId="0" borderId="0" xfId="9" applyFont="1" applyFill="1" applyBorder="1" applyAlignment="1" applyProtection="1">
      <alignment horizontal="center" vertical="center"/>
    </xf>
    <xf numFmtId="0" fontId="112" fillId="0" borderId="4" xfId="9" applyFont="1" applyFill="1" applyBorder="1" applyAlignment="1" applyProtection="1">
      <alignment horizontal="center" vertical="center"/>
    </xf>
    <xf numFmtId="0" fontId="93" fillId="0" borderId="0" xfId="9" applyFont="1" applyFill="1" applyBorder="1" applyAlignment="1">
      <alignment vertical="top"/>
    </xf>
    <xf numFmtId="0" fontId="92" fillId="0" borderId="26" xfId="9" applyFont="1" applyFill="1" applyBorder="1" applyAlignment="1" applyProtection="1">
      <alignment vertical="center"/>
    </xf>
    <xf numFmtId="0" fontId="99" fillId="0" borderId="73" xfId="9" applyFont="1" applyFill="1" applyBorder="1" applyAlignment="1" applyProtection="1">
      <alignment horizontal="right"/>
    </xf>
    <xf numFmtId="0" fontId="177" fillId="0" borderId="72" xfId="9" applyFont="1" applyFill="1" applyBorder="1" applyAlignment="1" applyProtection="1"/>
    <xf numFmtId="0" fontId="177" fillId="0" borderId="72" xfId="9" applyFont="1" applyFill="1" applyBorder="1" applyAlignment="1" applyProtection="1">
      <alignment horizontal="left" vertical="top"/>
    </xf>
    <xf numFmtId="0" fontId="177" fillId="0" borderId="72" xfId="9" applyFont="1" applyFill="1" applyBorder="1" applyAlignment="1" applyProtection="1">
      <alignment vertical="top"/>
    </xf>
    <xf numFmtId="0" fontId="92" fillId="0" borderId="72" xfId="9" applyFont="1" applyFill="1" applyBorder="1" applyAlignment="1" applyProtection="1">
      <alignment vertical="top"/>
    </xf>
    <xf numFmtId="0" fontId="93" fillId="0" borderId="26" xfId="9" applyFont="1" applyFill="1" applyBorder="1" applyAlignment="1" applyProtection="1">
      <alignment horizontal="left" vertical="top"/>
    </xf>
    <xf numFmtId="15" fontId="235" fillId="0" borderId="0" xfId="0" applyNumberFormat="1" applyFont="1" applyFill="1" applyBorder="1" applyAlignment="1" applyProtection="1">
      <alignment vertical="center"/>
      <protection locked="0"/>
    </xf>
    <xf numFmtId="0" fontId="93" fillId="0" borderId="26" xfId="0" applyFont="1" applyFill="1" applyBorder="1" applyAlignment="1" applyProtection="1">
      <alignment vertical="center"/>
    </xf>
    <xf numFmtId="0" fontId="235" fillId="0" borderId="0" xfId="0" applyFont="1" applyFill="1" applyBorder="1" applyAlignment="1" applyProtection="1">
      <alignment vertical="center"/>
    </xf>
    <xf numFmtId="0" fontId="235" fillId="0" borderId="0" xfId="0" applyFont="1" applyFill="1" applyBorder="1" applyAlignment="1" applyProtection="1">
      <alignment horizontal="left" vertical="center"/>
    </xf>
    <xf numFmtId="191" fontId="235" fillId="0" borderId="0" xfId="6" quotePrefix="1" applyNumberFormat="1" applyFont="1" applyFill="1" applyBorder="1" applyAlignment="1" applyProtection="1">
      <alignment horizontal="left" vertical="top"/>
      <protection locked="0"/>
    </xf>
    <xf numFmtId="221" fontId="235" fillId="0" borderId="0" xfId="6" quotePrefix="1" applyNumberFormat="1" applyFont="1" applyFill="1" applyBorder="1" applyAlignment="1" applyProtection="1">
      <alignment horizontal="left" vertical="top"/>
      <protection locked="0"/>
    </xf>
    <xf numFmtId="221" fontId="235" fillId="0" borderId="0" xfId="6" quotePrefix="1" applyNumberFormat="1" applyFont="1" applyFill="1" applyBorder="1" applyAlignment="1" applyProtection="1">
      <alignment vertical="top"/>
      <protection locked="0"/>
    </xf>
    <xf numFmtId="0" fontId="93" fillId="0" borderId="0" xfId="9" applyFont="1" applyFill="1" applyBorder="1" applyAlignment="1" applyProtection="1">
      <alignment horizontal="justify" vertical="center" wrapText="1"/>
      <protection locked="0"/>
    </xf>
    <xf numFmtId="0" fontId="132" fillId="0" borderId="0" xfId="9" applyFont="1" applyFill="1" applyBorder="1" applyAlignment="1" applyProtection="1">
      <alignment horizontal="left" vertical="center" wrapText="1"/>
      <protection locked="0"/>
    </xf>
    <xf numFmtId="0" fontId="0" fillId="0" borderId="63" xfId="0" applyBorder="1"/>
    <xf numFmtId="0" fontId="121" fillId="21" borderId="25" xfId="9" applyFont="1" applyFill="1" applyBorder="1" applyAlignment="1" applyProtection="1">
      <alignment horizontal="center" vertical="center" wrapText="1"/>
    </xf>
    <xf numFmtId="0" fontId="121" fillId="21" borderId="45" xfId="9" applyFont="1" applyFill="1" applyBorder="1" applyAlignment="1" applyProtection="1">
      <alignment horizontal="center" vertical="center" wrapText="1"/>
    </xf>
    <xf numFmtId="0" fontId="121" fillId="21" borderId="46" xfId="9" applyFont="1" applyFill="1" applyBorder="1" applyAlignment="1" applyProtection="1">
      <alignment horizontal="center" vertical="center" wrapText="1"/>
    </xf>
    <xf numFmtId="0" fontId="0" fillId="0" borderId="26" xfId="0" applyBorder="1"/>
    <xf numFmtId="0" fontId="93" fillId="0" borderId="25" xfId="9" applyFont="1" applyFill="1" applyBorder="1" applyAlignment="1" applyProtection="1">
      <alignment vertical="center"/>
    </xf>
    <xf numFmtId="0" fontId="93" fillId="0" borderId="45" xfId="9" applyFont="1" applyFill="1" applyBorder="1" applyAlignment="1" applyProtection="1">
      <alignment vertical="center"/>
    </xf>
    <xf numFmtId="0" fontId="93" fillId="0" borderId="46" xfId="9" applyFont="1" applyFill="1" applyBorder="1" applyAlignment="1" applyProtection="1">
      <alignment vertical="center"/>
    </xf>
    <xf numFmtId="214" fontId="93" fillId="0" borderId="1" xfId="9" applyNumberFormat="1" applyFont="1" applyFill="1" applyBorder="1" applyAlignment="1" applyProtection="1">
      <alignment vertical="center"/>
    </xf>
    <xf numFmtId="0" fontId="121" fillId="17" borderId="73" xfId="9" applyFont="1" applyFill="1" applyBorder="1" applyAlignment="1" applyProtection="1">
      <alignment vertical="center"/>
    </xf>
    <xf numFmtId="0" fontId="121" fillId="17" borderId="72" xfId="9" applyFont="1" applyFill="1" applyBorder="1" applyAlignment="1" applyProtection="1">
      <alignment vertical="center"/>
    </xf>
    <xf numFmtId="0" fontId="121" fillId="17" borderId="76" xfId="9" applyFont="1" applyFill="1" applyBorder="1" applyAlignment="1" applyProtection="1">
      <alignment vertical="center"/>
    </xf>
    <xf numFmtId="0" fontId="121" fillId="17" borderId="77" xfId="9" applyFont="1" applyFill="1" applyBorder="1" applyAlignment="1" applyProtection="1">
      <alignment vertical="center"/>
    </xf>
    <xf numFmtId="0" fontId="121" fillId="17" borderId="78" xfId="9" applyFont="1" applyFill="1" applyBorder="1" applyAlignment="1" applyProtection="1">
      <alignment vertical="center"/>
    </xf>
    <xf numFmtId="0" fontId="121" fillId="17" borderId="79" xfId="9" applyFont="1" applyFill="1" applyBorder="1" applyAlignment="1" applyProtection="1">
      <alignment vertical="center"/>
    </xf>
    <xf numFmtId="0" fontId="121" fillId="0" borderId="80" xfId="9" applyFont="1" applyFill="1" applyBorder="1" applyAlignment="1" applyProtection="1">
      <alignment vertical="center"/>
    </xf>
    <xf numFmtId="37" fontId="121" fillId="0" borderId="80" xfId="6" applyNumberFormat="1" applyFont="1" applyFill="1" applyBorder="1" applyAlignment="1" applyProtection="1">
      <alignment horizontal="right" vertical="center" indent="5"/>
    </xf>
    <xf numFmtId="3" fontId="121" fillId="22" borderId="0" xfId="6" applyNumberFormat="1" applyFont="1" applyFill="1" applyBorder="1" applyAlignment="1" applyProtection="1">
      <alignment horizontal="right" vertical="center" indent="1"/>
    </xf>
    <xf numFmtId="0" fontId="93" fillId="0" borderId="66" xfId="9" applyFont="1" applyFill="1" applyBorder="1" applyAlignment="1" applyProtection="1">
      <alignment vertical="center"/>
    </xf>
    <xf numFmtId="0" fontId="0" fillId="0" borderId="0" xfId="0" applyAlignment="1"/>
    <xf numFmtId="0" fontId="0" fillId="0" borderId="0" xfId="0" applyAlignment="1">
      <alignment horizontal="right"/>
    </xf>
    <xf numFmtId="0" fontId="94" fillId="0" borderId="63" xfId="9" applyFont="1" applyFill="1" applyBorder="1" applyAlignment="1" applyProtection="1">
      <alignment vertical="center"/>
    </xf>
    <xf numFmtId="0" fontId="94" fillId="0" borderId="0" xfId="9" applyFont="1" applyFill="1" applyBorder="1" applyAlignment="1" applyProtection="1">
      <alignment vertical="center"/>
    </xf>
    <xf numFmtId="0" fontId="93" fillId="0" borderId="65" xfId="9" applyFont="1" applyBorder="1" applyAlignment="1" applyProtection="1">
      <alignment vertical="top"/>
    </xf>
    <xf numFmtId="0" fontId="94" fillId="15" borderId="63" xfId="9" applyFont="1" applyFill="1" applyBorder="1" applyAlignment="1" applyProtection="1">
      <alignment vertical="center"/>
    </xf>
    <xf numFmtId="0" fontId="94" fillId="15" borderId="0" xfId="9" applyFont="1" applyFill="1" applyBorder="1" applyAlignment="1" applyProtection="1">
      <alignment vertical="center"/>
    </xf>
    <xf numFmtId="0" fontId="242" fillId="0" borderId="0" xfId="9" applyFont="1" applyBorder="1" applyAlignment="1" applyProtection="1">
      <alignment vertical="center"/>
      <protection locked="0"/>
    </xf>
    <xf numFmtId="0" fontId="177" fillId="0" borderId="0" xfId="9" applyFont="1" applyFill="1" applyBorder="1" applyAlignment="1" applyProtection="1">
      <alignment horizontal="left" vertical="center"/>
    </xf>
    <xf numFmtId="0" fontId="94" fillId="0" borderId="27" xfId="9" applyFont="1" applyFill="1" applyBorder="1" applyAlignment="1" applyProtection="1">
      <alignment vertical="center"/>
    </xf>
    <xf numFmtId="0" fontId="94" fillId="0" borderId="65" xfId="9" applyFont="1" applyFill="1" applyBorder="1" applyAlignment="1" applyProtection="1">
      <alignment vertical="center"/>
    </xf>
    <xf numFmtId="0" fontId="243" fillId="0" borderId="72" xfId="9" applyFont="1" applyBorder="1" applyAlignment="1" applyProtection="1">
      <alignment vertical="center"/>
      <protection locked="0"/>
    </xf>
    <xf numFmtId="0" fontId="95" fillId="0" borderId="72" xfId="9" applyFont="1" applyBorder="1" applyAlignment="1" applyProtection="1">
      <alignment vertical="center"/>
      <protection locked="0"/>
    </xf>
    <xf numFmtId="0" fontId="93" fillId="15" borderId="26" xfId="9" applyFont="1" applyFill="1" applyBorder="1" applyAlignment="1" applyProtection="1">
      <alignment horizontal="left" vertical="center"/>
      <protection locked="0"/>
    </xf>
    <xf numFmtId="0" fontId="93" fillId="15" borderId="26" xfId="9" applyFont="1" applyFill="1" applyBorder="1" applyAlignment="1" applyProtection="1">
      <alignment horizontal="left" vertical="center"/>
    </xf>
    <xf numFmtId="0" fontId="93" fillId="0" borderId="0" xfId="9" quotePrefix="1" applyFont="1" applyFill="1" applyBorder="1" applyAlignment="1" applyProtection="1">
      <alignment horizontal="left" vertical="center"/>
      <protection locked="0"/>
    </xf>
    <xf numFmtId="0" fontId="28" fillId="0" borderId="26" xfId="9" applyBorder="1"/>
    <xf numFmtId="0" fontId="93" fillId="0" borderId="26" xfId="9" applyFont="1" applyBorder="1" applyAlignment="1" applyProtection="1">
      <alignment vertical="top"/>
    </xf>
    <xf numFmtId="0" fontId="93" fillId="0" borderId="27" xfId="9" applyFont="1" applyBorder="1" applyAlignment="1" applyProtection="1"/>
    <xf numFmtId="0" fontId="93" fillId="0" borderId="66" xfId="9" applyFont="1" applyBorder="1" applyAlignment="1" applyProtection="1"/>
    <xf numFmtId="0" fontId="93" fillId="0" borderId="63" xfId="9" applyFont="1" applyBorder="1" applyAlignment="1" applyProtection="1"/>
    <xf numFmtId="0" fontId="92" fillId="0" borderId="26" xfId="9" applyFont="1" applyFill="1" applyBorder="1" applyAlignment="1" applyProtection="1"/>
    <xf numFmtId="0" fontId="93" fillId="0" borderId="63" xfId="9" applyFont="1" applyBorder="1" applyAlignment="1" applyProtection="1">
      <alignment horizontal="left" vertical="top" indent="1"/>
    </xf>
    <xf numFmtId="0" fontId="93" fillId="0" borderId="63" xfId="9" applyFont="1" applyBorder="1" applyAlignment="1" applyProtection="1">
      <alignment horizontal="left" vertical="center" indent="1"/>
    </xf>
    <xf numFmtId="0" fontId="177" fillId="0" borderId="26" xfId="9" applyFont="1" applyBorder="1" applyAlignment="1" applyProtection="1">
      <alignment horizontal="center" vertical="center"/>
    </xf>
    <xf numFmtId="0" fontId="93" fillId="0" borderId="27" xfId="9" applyFont="1" applyBorder="1" applyAlignment="1" applyProtection="1">
      <alignment vertical="top"/>
    </xf>
    <xf numFmtId="0" fontId="93" fillId="0" borderId="66" xfId="9" applyFont="1" applyBorder="1" applyAlignment="1" applyProtection="1">
      <alignment vertical="top"/>
    </xf>
    <xf numFmtId="0" fontId="136" fillId="0" borderId="27" xfId="9" applyFont="1" applyFill="1" applyBorder="1" applyAlignment="1" applyProtection="1">
      <alignment vertical="center" textRotation="90" wrapText="1"/>
    </xf>
    <xf numFmtId="0" fontId="180" fillId="0" borderId="65" xfId="9" applyFont="1" applyFill="1" applyBorder="1" applyAlignment="1" applyProtection="1">
      <alignment horizontal="center" vertical="center"/>
      <protection locked="0"/>
    </xf>
    <xf numFmtId="0" fontId="95" fillId="0" borderId="1" xfId="9" applyFont="1" applyFill="1" applyBorder="1" applyAlignment="1" applyProtection="1">
      <alignment horizontal="center" vertical="center"/>
      <protection locked="0"/>
    </xf>
    <xf numFmtId="0" fontId="99" fillId="0" borderId="27" xfId="9" applyFont="1" applyFill="1" applyBorder="1" applyAlignment="1" applyProtection="1">
      <alignment horizontal="right" vertical="center"/>
    </xf>
    <xf numFmtId="0" fontId="95" fillId="0" borderId="65" xfId="9" applyFont="1" applyFill="1" applyBorder="1" applyAlignment="1" applyProtection="1">
      <alignment horizontal="center" vertical="center"/>
      <protection locked="0"/>
    </xf>
    <xf numFmtId="0" fontId="93" fillId="0" borderId="65" xfId="9" applyFont="1" applyBorder="1" applyAlignment="1" applyProtection="1">
      <alignment horizontal="center" vertical="center"/>
    </xf>
    <xf numFmtId="0" fontId="93" fillId="0" borderId="65" xfId="9" applyFont="1" applyBorder="1" applyAlignment="1" applyProtection="1">
      <alignment horizontal="right" vertical="center"/>
    </xf>
    <xf numFmtId="0" fontId="93" fillId="0" borderId="26" xfId="9" quotePrefix="1" applyFont="1" applyFill="1" applyBorder="1" applyAlignment="1" applyProtection="1">
      <alignment vertical="center"/>
      <protection locked="0"/>
    </xf>
    <xf numFmtId="186" fontId="93" fillId="0" borderId="26" xfId="9" applyNumberFormat="1" applyFont="1" applyFill="1" applyBorder="1" applyAlignment="1" applyProtection="1">
      <alignment vertical="center"/>
      <protection locked="0"/>
    </xf>
    <xf numFmtId="14" fontId="93" fillId="0" borderId="0" xfId="9" applyNumberFormat="1" applyFont="1" applyFill="1" applyBorder="1" applyAlignment="1" applyProtection="1">
      <alignment horizontal="left" vertical="center"/>
      <protection locked="0"/>
    </xf>
    <xf numFmtId="0" fontId="0" fillId="0" borderId="0" xfId="0"/>
    <xf numFmtId="0" fontId="93" fillId="23" borderId="0" xfId="9" applyFont="1" applyFill="1" applyAlignment="1" applyProtection="1">
      <alignment vertical="center"/>
    </xf>
    <xf numFmtId="0" fontId="93" fillId="23" borderId="0" xfId="9" applyFont="1" applyFill="1" applyBorder="1" applyAlignment="1" applyProtection="1">
      <alignment horizontal="left" vertical="top"/>
    </xf>
    <xf numFmtId="49" fontId="153" fillId="23" borderId="0" xfId="9" applyNumberFormat="1" applyFont="1" applyFill="1" applyBorder="1" applyAlignment="1" applyProtection="1">
      <alignment horizontal="center" vertical="top" wrapText="1"/>
      <protection locked="0"/>
    </xf>
    <xf numFmtId="49" fontId="155" fillId="23" borderId="0" xfId="9" applyNumberFormat="1" applyFont="1" applyFill="1" applyBorder="1" applyAlignment="1" applyProtection="1">
      <alignment horizontal="center" vertical="center" wrapText="1"/>
      <protection locked="0"/>
    </xf>
    <xf numFmtId="49" fontId="156" fillId="23" borderId="0" xfId="9" applyNumberFormat="1" applyFont="1" applyFill="1" applyBorder="1" applyAlignment="1" applyProtection="1">
      <alignment horizontal="center" vertical="center" wrapText="1"/>
      <protection locked="0"/>
    </xf>
    <xf numFmtId="0" fontId="160" fillId="23" borderId="0" xfId="9" applyFont="1" applyFill="1" applyBorder="1" applyAlignment="1" applyProtection="1">
      <alignment horizontal="left" vertical="center" wrapText="1" indent="1"/>
      <protection locked="0"/>
    </xf>
    <xf numFmtId="49" fontId="95" fillId="23" borderId="0" xfId="9" applyNumberFormat="1" applyFont="1" applyFill="1" applyBorder="1" applyAlignment="1" applyProtection="1">
      <alignment horizontal="center" vertical="top" wrapText="1"/>
    </xf>
    <xf numFmtId="0" fontId="100" fillId="23" borderId="0" xfId="0" applyFont="1" applyFill="1" applyBorder="1" applyAlignment="1" applyProtection="1">
      <alignment horizontal="left" vertical="center" indent="1"/>
      <protection locked="0"/>
    </xf>
    <xf numFmtId="49" fontId="100" fillId="23" borderId="0" xfId="0" applyNumberFormat="1" applyFont="1" applyFill="1" applyBorder="1" applyAlignment="1" applyProtection="1">
      <alignment horizontal="left" vertical="center" indent="1"/>
      <protection locked="0"/>
    </xf>
    <xf numFmtId="0" fontId="100" fillId="23" borderId="0" xfId="0" applyFont="1" applyFill="1" applyBorder="1" applyAlignment="1" applyProtection="1">
      <alignment horizontal="left" vertical="top" wrapText="1" indent="1"/>
      <protection locked="0"/>
    </xf>
    <xf numFmtId="194" fontId="100" fillId="23" borderId="0" xfId="0" applyNumberFormat="1" applyFont="1" applyFill="1" applyBorder="1" applyAlignment="1" applyProtection="1">
      <alignment horizontal="left" vertical="center" indent="1"/>
      <protection locked="0"/>
    </xf>
    <xf numFmtId="195" fontId="100" fillId="23" borderId="0" xfId="0" applyNumberFormat="1" applyFont="1" applyFill="1" applyBorder="1" applyAlignment="1" applyProtection="1">
      <alignment horizontal="left" vertical="center" indent="1"/>
      <protection locked="0"/>
    </xf>
    <xf numFmtId="9" fontId="98" fillId="23" borderId="0" xfId="17" applyNumberFormat="1" applyFont="1" applyFill="1" applyBorder="1" applyAlignment="1" applyProtection="1">
      <alignment horizontal="center" vertical="center"/>
      <protection locked="0"/>
    </xf>
    <xf numFmtId="195" fontId="93" fillId="23" borderId="0" xfId="9" applyNumberFormat="1" applyFont="1" applyFill="1" applyBorder="1" applyAlignment="1" applyProtection="1">
      <alignment horizontal="left" vertical="center" indent="1"/>
    </xf>
    <xf numFmtId="0" fontId="100" fillId="23" borderId="0" xfId="9" quotePrefix="1" applyFont="1" applyFill="1" applyBorder="1" applyAlignment="1" applyProtection="1">
      <alignment horizontal="center" vertical="top"/>
      <protection locked="0"/>
    </xf>
    <xf numFmtId="184" fontId="100" fillId="23" borderId="0" xfId="0" applyNumberFormat="1" applyFont="1" applyFill="1" applyBorder="1" applyAlignment="1" applyProtection="1">
      <alignment horizontal="left" vertical="center" indent="1"/>
      <protection locked="0"/>
    </xf>
    <xf numFmtId="0" fontId="0" fillId="23" borderId="0" xfId="0" applyFill="1" applyBorder="1"/>
    <xf numFmtId="0" fontId="153" fillId="23" borderId="0" xfId="9" applyNumberFormat="1" applyFont="1" applyFill="1" applyBorder="1" applyAlignment="1" applyProtection="1">
      <alignment horizontal="center" vertical="top" wrapText="1"/>
    </xf>
    <xf numFmtId="9" fontId="133" fillId="23" borderId="0" xfId="17" applyFont="1" applyFill="1" applyBorder="1" applyAlignment="1" applyProtection="1">
      <alignment horizontal="center" vertical="center"/>
      <protection locked="0"/>
    </xf>
    <xf numFmtId="195" fontId="95" fillId="23" borderId="0" xfId="9" applyNumberFormat="1" applyFont="1" applyFill="1" applyBorder="1" applyAlignment="1" applyProtection="1">
      <alignment horizontal="left" vertical="center" indent="1"/>
    </xf>
    <xf numFmtId="0" fontId="93" fillId="23" borderId="0" xfId="9" applyFont="1" applyFill="1" applyBorder="1" applyAlignment="1" applyProtection="1">
      <alignment horizontal="justify" vertical="center"/>
    </xf>
    <xf numFmtId="38" fontId="165" fillId="23" borderId="0" xfId="17" applyNumberFormat="1" applyFont="1" applyFill="1" applyBorder="1" applyAlignment="1" applyProtection="1">
      <alignment horizontal="right" vertical="center"/>
    </xf>
    <xf numFmtId="38" fontId="167" fillId="23" borderId="0" xfId="17" applyNumberFormat="1" applyFont="1" applyFill="1" applyBorder="1" applyAlignment="1" applyProtection="1">
      <alignment horizontal="right" vertical="center"/>
    </xf>
    <xf numFmtId="195" fontId="121" fillId="23" borderId="0" xfId="9" applyNumberFormat="1" applyFont="1" applyFill="1" applyBorder="1" applyAlignment="1" applyProtection="1">
      <alignment horizontal="left" vertical="center" indent="1"/>
    </xf>
    <xf numFmtId="10" fontId="98" fillId="23" borderId="0" xfId="17" applyNumberFormat="1" applyFont="1" applyFill="1" applyBorder="1" applyAlignment="1" applyProtection="1">
      <alignment horizontal="center" vertical="center"/>
      <protection locked="0"/>
    </xf>
    <xf numFmtId="195" fontId="95" fillId="23" borderId="0" xfId="9" applyNumberFormat="1" applyFont="1" applyFill="1" applyBorder="1" applyAlignment="1" applyProtection="1">
      <alignment horizontal="left" vertical="center" indent="1"/>
      <protection locked="0"/>
    </xf>
    <xf numFmtId="0" fontId="92" fillId="23" borderId="0" xfId="9" applyFont="1" applyFill="1" applyBorder="1" applyAlignment="1" applyProtection="1">
      <alignment horizontal="left" vertical="top"/>
    </xf>
    <xf numFmtId="0" fontId="169" fillId="23" borderId="0" xfId="15" applyFont="1" applyFill="1" applyBorder="1" applyAlignment="1" applyProtection="1">
      <alignment horizontal="center" vertical="center" wrapText="1"/>
    </xf>
    <xf numFmtId="168" fontId="150" fillId="23" borderId="0" xfId="15" applyNumberFormat="1" applyFont="1" applyFill="1" applyBorder="1" applyAlignment="1" applyProtection="1">
      <alignment horizontal="left" vertical="center"/>
    </xf>
    <xf numFmtId="10" fontId="171" fillId="23" borderId="0" xfId="18" applyNumberFormat="1" applyFont="1" applyFill="1" applyBorder="1" applyAlignment="1" applyProtection="1">
      <alignment horizontal="left" vertical="center"/>
    </xf>
    <xf numFmtId="0" fontId="173" fillId="23" borderId="0" xfId="9" applyFont="1" applyFill="1" applyAlignment="1" applyProtection="1">
      <alignment vertical="center"/>
    </xf>
    <xf numFmtId="0" fontId="93" fillId="23" borderId="0" xfId="9" applyFont="1" applyFill="1" applyAlignment="1" applyProtection="1">
      <alignment vertical="center"/>
      <protection locked="0"/>
    </xf>
    <xf numFmtId="0" fontId="92" fillId="9" borderId="0" xfId="9" applyFont="1" applyFill="1" applyAlignment="1" applyProtection="1">
      <alignment vertical="center"/>
    </xf>
    <xf numFmtId="0" fontId="93" fillId="9" borderId="0" xfId="9" applyFont="1" applyFill="1" applyAlignment="1" applyProtection="1">
      <alignment vertical="center"/>
    </xf>
    <xf numFmtId="0" fontId="97" fillId="9" borderId="0" xfId="9" applyFont="1" applyFill="1" applyBorder="1" applyAlignment="1" applyProtection="1">
      <alignment horizontal="center" vertical="center"/>
    </xf>
    <xf numFmtId="0" fontId="93" fillId="9" borderId="0" xfId="9" applyFont="1" applyFill="1" applyBorder="1" applyAlignment="1" applyProtection="1">
      <alignment horizontal="left" vertical="top"/>
    </xf>
    <xf numFmtId="0" fontId="93" fillId="9" borderId="0" xfId="9" applyFont="1" applyFill="1" applyBorder="1" applyAlignment="1" applyProtection="1">
      <alignment horizontal="justify" vertical="top" wrapText="1"/>
    </xf>
    <xf numFmtId="0" fontId="216" fillId="0" borderId="0" xfId="9" applyFont="1" applyBorder="1" applyAlignment="1" applyProtection="1">
      <alignment horizontal="center" wrapText="1"/>
    </xf>
    <xf numFmtId="0" fontId="216" fillId="0" borderId="63" xfId="9" applyFont="1" applyBorder="1" applyAlignment="1" applyProtection="1">
      <alignment horizontal="center" wrapText="1"/>
    </xf>
    <xf numFmtId="0" fontId="216" fillId="0" borderId="26" xfId="9" applyFont="1" applyBorder="1" applyAlignment="1" applyProtection="1">
      <alignment horizontal="center" wrapText="1"/>
    </xf>
    <xf numFmtId="0" fontId="28" fillId="0" borderId="0" xfId="9" applyBorder="1" applyAlignment="1">
      <alignment horizontal="left"/>
    </xf>
    <xf numFmtId="0" fontId="93" fillId="0" borderId="0" xfId="9" applyFont="1" applyBorder="1" applyAlignment="1" applyProtection="1">
      <protection locked="0"/>
    </xf>
    <xf numFmtId="0" fontId="93" fillId="0" borderId="0" xfId="9" applyFont="1" applyBorder="1" applyAlignment="1" applyProtection="1">
      <alignment vertical="center" wrapText="1"/>
      <protection locked="0"/>
    </xf>
    <xf numFmtId="0" fontId="246" fillId="0" borderId="0" xfId="9" applyFont="1" applyBorder="1" applyAlignment="1" applyProtection="1">
      <alignment horizontal="right"/>
      <protection locked="0"/>
    </xf>
    <xf numFmtId="0" fontId="93" fillId="4" borderId="0" xfId="9" applyFont="1" applyFill="1" applyBorder="1" applyAlignment="1" applyProtection="1">
      <alignment vertical="center"/>
      <protection locked="0"/>
    </xf>
    <xf numFmtId="0" fontId="95" fillId="4" borderId="0" xfId="9" applyFont="1" applyFill="1" applyBorder="1" applyAlignment="1" applyProtection="1">
      <alignment vertical="center"/>
      <protection locked="0"/>
    </xf>
    <xf numFmtId="0" fontId="121" fillId="4" borderId="78" xfId="9" applyFont="1" applyFill="1" applyBorder="1" applyAlignment="1" applyProtection="1">
      <alignment vertical="center"/>
    </xf>
    <xf numFmtId="0" fontId="93" fillId="4" borderId="0" xfId="9" applyFont="1" applyFill="1" applyBorder="1" applyAlignment="1" applyProtection="1">
      <alignment horizontal="left" vertical="center"/>
    </xf>
    <xf numFmtId="0" fontId="93" fillId="4" borderId="0" xfId="9" applyFont="1" applyFill="1" applyBorder="1" applyAlignment="1" applyProtection="1">
      <alignment horizontal="center" vertical="center"/>
    </xf>
    <xf numFmtId="49" fontId="93" fillId="4" borderId="0" xfId="9" applyNumberFormat="1" applyFont="1" applyFill="1" applyBorder="1" applyAlignment="1" applyProtection="1">
      <alignment horizontal="left" vertical="center"/>
    </xf>
    <xf numFmtId="0" fontId="95" fillId="4" borderId="0" xfId="9" applyFont="1" applyFill="1" applyBorder="1" applyAlignment="1" applyProtection="1">
      <alignment vertical="center"/>
    </xf>
    <xf numFmtId="0" fontId="93" fillId="4" borderId="0" xfId="9" applyFont="1" applyFill="1" applyBorder="1" applyAlignment="1" applyProtection="1">
      <alignment horizontal="left" vertical="center"/>
      <protection locked="0"/>
    </xf>
    <xf numFmtId="0" fontId="249" fillId="28" borderId="29" xfId="0" applyFont="1" applyFill="1" applyBorder="1"/>
    <xf numFmtId="0" fontId="249" fillId="28" borderId="81" xfId="0" applyFont="1" applyFill="1" applyBorder="1"/>
    <xf numFmtId="0" fontId="0" fillId="29" borderId="32" xfId="0" applyFill="1" applyBorder="1"/>
    <xf numFmtId="0" fontId="0" fillId="29" borderId="33" xfId="0" applyFill="1" applyBorder="1"/>
    <xf numFmtId="0" fontId="0" fillId="29" borderId="34" xfId="0" applyFill="1" applyBorder="1"/>
    <xf numFmtId="0" fontId="0" fillId="28" borderId="32" xfId="0" applyFill="1" applyBorder="1"/>
    <xf numFmtId="0" fontId="0" fillId="28" borderId="33" xfId="0" applyFill="1" applyBorder="1"/>
    <xf numFmtId="0" fontId="0" fillId="28" borderId="34" xfId="0" applyFill="1" applyBorder="1"/>
    <xf numFmtId="0" fontId="0" fillId="30" borderId="32" xfId="0" applyFill="1" applyBorder="1"/>
    <xf numFmtId="0" fontId="0" fillId="30" borderId="34" xfId="0" applyFill="1" applyBorder="1"/>
    <xf numFmtId="0" fontId="0" fillId="30" borderId="29" xfId="0" applyFill="1" applyBorder="1"/>
    <xf numFmtId="0" fontId="0" fillId="0" borderId="0" xfId="0"/>
    <xf numFmtId="0" fontId="0" fillId="0" borderId="0" xfId="0"/>
    <xf numFmtId="0" fontId="93" fillId="31" borderId="0" xfId="9" applyFont="1" applyFill="1" applyBorder="1" applyAlignment="1" applyProtection="1">
      <alignment horizontal="left" vertical="center"/>
      <protection locked="0"/>
    </xf>
    <xf numFmtId="0" fontId="93" fillId="31" borderId="0" xfId="9" applyFont="1" applyFill="1" applyBorder="1" applyAlignment="1" applyProtection="1">
      <alignment horizontal="center" vertical="center"/>
      <protection locked="0"/>
    </xf>
    <xf numFmtId="212" fontId="95" fillId="31" borderId="0" xfId="9" applyNumberFormat="1" applyFont="1" applyFill="1" applyBorder="1" applyAlignment="1" applyProtection="1">
      <alignment vertical="center"/>
      <protection locked="0"/>
    </xf>
    <xf numFmtId="0" fontId="93" fillId="31" borderId="0" xfId="9" applyFont="1" applyFill="1" applyBorder="1" applyAlignment="1" applyProtection="1">
      <alignment vertical="center"/>
      <protection locked="0"/>
    </xf>
    <xf numFmtId="0" fontId="93" fillId="31" borderId="0" xfId="9" quotePrefix="1" applyFont="1" applyFill="1" applyBorder="1" applyAlignment="1" applyProtection="1">
      <alignment vertical="center"/>
      <protection locked="0"/>
    </xf>
    <xf numFmtId="0" fontId="93" fillId="31" borderId="0" xfId="9" applyFont="1" applyFill="1" applyBorder="1" applyAlignment="1" applyProtection="1">
      <alignment horizontal="left" vertical="top"/>
      <protection locked="0"/>
    </xf>
    <xf numFmtId="0" fontId="93" fillId="31" borderId="0" xfId="9" applyFont="1" applyFill="1" applyAlignment="1" applyProtection="1">
      <alignment horizontal="left" vertical="top"/>
      <protection locked="0"/>
    </xf>
    <xf numFmtId="0" fontId="93" fillId="31" borderId="0" xfId="9" applyFont="1" applyFill="1" applyBorder="1" applyAlignment="1" applyProtection="1">
      <alignment horizontal="center" vertical="top"/>
      <protection locked="0"/>
    </xf>
    <xf numFmtId="0" fontId="93" fillId="31" borderId="0" xfId="9" applyNumberFormat="1" applyFont="1" applyFill="1" applyBorder="1" applyAlignment="1" applyProtection="1">
      <alignment horizontal="left" vertical="top"/>
      <protection locked="0"/>
    </xf>
    <xf numFmtId="0" fontId="93" fillId="31" borderId="0" xfId="9" applyFont="1" applyFill="1" applyBorder="1" applyAlignment="1" applyProtection="1">
      <alignment horizontal="left" vertical="center"/>
    </xf>
    <xf numFmtId="0" fontId="93" fillId="31" borderId="0" xfId="9" applyFont="1" applyFill="1" applyBorder="1" applyAlignment="1" applyProtection="1">
      <alignment horizontal="center" vertical="center"/>
    </xf>
    <xf numFmtId="49" fontId="93" fillId="31" borderId="0" xfId="9" applyNumberFormat="1" applyFont="1" applyFill="1" applyBorder="1" applyAlignment="1" applyProtection="1">
      <alignment horizontal="left" vertical="center"/>
      <protection locked="0"/>
    </xf>
    <xf numFmtId="0" fontId="95" fillId="31" borderId="0" xfId="9" applyFont="1" applyFill="1" applyBorder="1" applyAlignment="1" applyProtection="1">
      <alignment vertical="center"/>
      <protection locked="0"/>
    </xf>
    <xf numFmtId="0" fontId="93" fillId="31" borderId="72" xfId="9" applyFont="1" applyFill="1" applyBorder="1" applyAlignment="1" applyProtection="1">
      <alignment horizontal="left" vertical="center"/>
      <protection locked="0"/>
    </xf>
    <xf numFmtId="0" fontId="93" fillId="31" borderId="72" xfId="9" applyFont="1" applyFill="1" applyBorder="1" applyAlignment="1" applyProtection="1">
      <alignment horizontal="center" vertical="center"/>
      <protection locked="0"/>
    </xf>
    <xf numFmtId="213" fontId="95" fillId="31" borderId="72" xfId="9" applyNumberFormat="1" applyFont="1" applyFill="1" applyBorder="1" applyAlignment="1" applyProtection="1">
      <alignment vertical="center"/>
      <protection locked="0"/>
    </xf>
    <xf numFmtId="213" fontId="98" fillId="31" borderId="72" xfId="9" applyNumberFormat="1" applyFont="1" applyFill="1" applyBorder="1" applyAlignment="1" applyProtection="1">
      <alignment vertical="center"/>
      <protection locked="0"/>
    </xf>
    <xf numFmtId="0" fontId="93" fillId="31" borderId="72" xfId="9" applyFont="1" applyFill="1" applyBorder="1" applyAlignment="1" applyProtection="1">
      <alignment vertical="center"/>
      <protection locked="0"/>
    </xf>
    <xf numFmtId="212" fontId="95" fillId="31" borderId="72" xfId="9" applyNumberFormat="1" applyFont="1" applyFill="1" applyBorder="1" applyAlignment="1" applyProtection="1">
      <alignment vertical="center"/>
      <protection locked="0"/>
    </xf>
    <xf numFmtId="212" fontId="98" fillId="31" borderId="72" xfId="9" applyNumberFormat="1" applyFont="1" applyFill="1" applyBorder="1" applyAlignment="1" applyProtection="1">
      <alignment vertical="center"/>
      <protection locked="0"/>
    </xf>
    <xf numFmtId="0" fontId="95" fillId="0" borderId="0" xfId="9" quotePrefix="1" applyFont="1" applyFill="1" applyBorder="1" applyAlignment="1" applyProtection="1">
      <alignment vertical="top"/>
      <protection locked="0"/>
    </xf>
    <xf numFmtId="212" fontId="95" fillId="0" borderId="0" xfId="9" applyNumberFormat="1" applyFont="1" applyFill="1" applyBorder="1" applyAlignment="1" applyProtection="1">
      <alignment vertical="center"/>
      <protection locked="0"/>
    </xf>
    <xf numFmtId="0" fontId="95" fillId="0" borderId="0" xfId="9" applyNumberFormat="1" applyFont="1" applyFill="1" applyBorder="1" applyAlignment="1" applyProtection="1">
      <alignment horizontal="left" vertical="top" wrapText="1"/>
    </xf>
    <xf numFmtId="0" fontId="95" fillId="0" borderId="0" xfId="9" applyNumberFormat="1" applyFont="1" applyFill="1" applyBorder="1" applyAlignment="1" applyProtection="1">
      <alignment vertical="top" wrapText="1"/>
    </xf>
    <xf numFmtId="212" fontId="95" fillId="0" borderId="0" xfId="9" applyNumberFormat="1" applyFont="1" applyFill="1" applyBorder="1" applyAlignment="1" applyProtection="1">
      <alignment horizontal="left" vertical="top"/>
    </xf>
    <xf numFmtId="212" fontId="95" fillId="0" borderId="0" xfId="9" applyNumberFormat="1" applyFont="1" applyFill="1" applyBorder="1" applyAlignment="1" applyProtection="1">
      <alignment horizontal="left" vertical="top" wrapText="1"/>
    </xf>
    <xf numFmtId="49" fontId="93" fillId="0" borderId="0" xfId="9" applyNumberFormat="1" applyFont="1" applyFill="1" applyBorder="1" applyAlignment="1" applyProtection="1">
      <alignment horizontal="justify" vertical="top" wrapText="1"/>
    </xf>
    <xf numFmtId="49" fontId="95" fillId="31" borderId="0" xfId="9" applyNumberFormat="1" applyFont="1" applyFill="1" applyBorder="1" applyAlignment="1" applyProtection="1">
      <alignment horizontal="left" vertical="center"/>
      <protection locked="0"/>
    </xf>
    <xf numFmtId="0" fontId="0" fillId="0" borderId="0" xfId="0" applyBorder="1"/>
    <xf numFmtId="0" fontId="250" fillId="0" borderId="0" xfId="0" applyFont="1"/>
    <xf numFmtId="224" fontId="0" fillId="0" borderId="0" xfId="0" applyNumberFormat="1" applyBorder="1" applyAlignment="1">
      <alignment horizontal="left"/>
    </xf>
    <xf numFmtId="0" fontId="0" fillId="28" borderId="0" xfId="0" applyFill="1"/>
    <xf numFmtId="0" fontId="0" fillId="0" borderId="0" xfId="0"/>
    <xf numFmtId="0" fontId="249" fillId="28" borderId="89" xfId="0" applyFont="1" applyFill="1" applyBorder="1"/>
    <xf numFmtId="9" fontId="0" fillId="30" borderId="29" xfId="0" applyNumberFormat="1" applyFill="1" applyBorder="1"/>
    <xf numFmtId="0" fontId="31" fillId="2" borderId="84" xfId="0" applyFont="1" applyFill="1" applyBorder="1" applyAlignment="1">
      <alignment horizontal="center" vertical="center"/>
    </xf>
    <xf numFmtId="0" fontId="31" fillId="2" borderId="83" xfId="0" applyFont="1" applyFill="1" applyBorder="1" applyAlignment="1">
      <alignment horizontal="center" vertical="center"/>
    </xf>
    <xf numFmtId="0" fontId="31" fillId="2" borderId="85" xfId="0" applyFont="1" applyFill="1" applyBorder="1" applyAlignment="1">
      <alignment horizontal="center" vertical="center"/>
    </xf>
    <xf numFmtId="0" fontId="31" fillId="2" borderId="35" xfId="0" applyFont="1" applyFill="1" applyBorder="1" applyAlignment="1">
      <alignment horizontal="center" vertical="center"/>
    </xf>
    <xf numFmtId="0" fontId="31" fillId="2" borderId="86" xfId="0" applyFont="1" applyFill="1" applyBorder="1" applyAlignment="1">
      <alignment horizontal="center" vertical="center"/>
    </xf>
    <xf numFmtId="0" fontId="31" fillId="2" borderId="37" xfId="0" applyFont="1" applyFill="1" applyBorder="1" applyAlignment="1">
      <alignment horizontal="center" vertical="center"/>
    </xf>
    <xf numFmtId="0" fontId="14" fillId="8" borderId="32" xfId="0" applyFont="1" applyFill="1" applyBorder="1" applyAlignment="1">
      <alignment horizontal="left" vertical="center"/>
    </xf>
    <xf numFmtId="0" fontId="14" fillId="8" borderId="33" xfId="0" applyFont="1" applyFill="1" applyBorder="1" applyAlignment="1">
      <alignment horizontal="left" vertical="center"/>
    </xf>
    <xf numFmtId="0" fontId="14" fillId="8" borderId="34" xfId="0" applyFont="1" applyFill="1" applyBorder="1" applyAlignment="1">
      <alignment horizontal="left" vertical="center"/>
    </xf>
    <xf numFmtId="0" fontId="19" fillId="2" borderId="47" xfId="0" applyFont="1" applyFill="1" applyBorder="1" applyAlignment="1">
      <alignment horizontal="left" vertical="center"/>
    </xf>
    <xf numFmtId="0" fontId="19" fillId="2" borderId="30" xfId="0" applyFont="1" applyFill="1" applyBorder="1" applyAlignment="1">
      <alignment horizontal="left" vertical="center"/>
    </xf>
    <xf numFmtId="0" fontId="31" fillId="2" borderId="47" xfId="0" applyFont="1" applyFill="1" applyBorder="1" applyAlignment="1">
      <alignment horizontal="left" vertical="center"/>
    </xf>
    <xf numFmtId="0" fontId="31" fillId="2" borderId="30" xfId="0" applyFont="1" applyFill="1" applyBorder="1" applyAlignment="1">
      <alignment horizontal="left" vertical="center"/>
    </xf>
    <xf numFmtId="49" fontId="46" fillId="4" borderId="25" xfId="0" applyNumberFormat="1" applyFont="1" applyFill="1" applyBorder="1" applyAlignment="1">
      <alignment horizontal="left" vertical="center"/>
    </xf>
    <xf numFmtId="0" fontId="46" fillId="4" borderId="45" xfId="0" applyNumberFormat="1" applyFont="1" applyFill="1" applyBorder="1" applyAlignment="1">
      <alignment horizontal="left" vertical="center"/>
    </xf>
    <xf numFmtId="0" fontId="46" fillId="4" borderId="46" xfId="0" applyNumberFormat="1" applyFont="1" applyFill="1" applyBorder="1" applyAlignment="1">
      <alignment horizontal="left" vertical="center"/>
    </xf>
    <xf numFmtId="0" fontId="42" fillId="2" borderId="83" xfId="0" applyFont="1" applyFill="1" applyBorder="1" applyAlignment="1">
      <alignment horizontal="center" vertical="center" wrapText="1"/>
    </xf>
    <xf numFmtId="0" fontId="42" fillId="2" borderId="35" xfId="0" applyFont="1" applyFill="1" applyBorder="1" applyAlignment="1">
      <alignment horizontal="center" vertical="center" wrapText="1"/>
    </xf>
    <xf numFmtId="0" fontId="14" fillId="9" borderId="32" xfId="0" applyFont="1" applyFill="1" applyBorder="1" applyAlignment="1">
      <alignment horizontal="left" vertical="center"/>
    </xf>
    <xf numFmtId="0" fontId="14" fillId="9" borderId="33" xfId="0" applyFont="1" applyFill="1" applyBorder="1" applyAlignment="1">
      <alignment horizontal="left" vertical="center"/>
    </xf>
    <xf numFmtId="0" fontId="14" fillId="9" borderId="34" xfId="0" applyFont="1" applyFill="1" applyBorder="1" applyAlignment="1">
      <alignment horizontal="left" vertical="center"/>
    </xf>
    <xf numFmtId="0" fontId="42" fillId="2" borderId="82" xfId="0" applyFont="1" applyFill="1" applyBorder="1" applyAlignment="1">
      <alignment horizontal="center" vertical="center" wrapText="1"/>
    </xf>
    <xf numFmtId="0" fontId="42" fillId="2" borderId="36" xfId="0" applyFont="1" applyFill="1" applyBorder="1" applyAlignment="1">
      <alignment horizontal="center" vertical="center" wrapText="1"/>
    </xf>
    <xf numFmtId="224" fontId="0" fillId="30" borderId="32" xfId="0" applyNumberFormat="1" applyFill="1" applyBorder="1" applyAlignment="1">
      <alignment horizontal="left"/>
    </xf>
    <xf numFmtId="224" fontId="0" fillId="30" borderId="34" xfId="0" applyNumberFormat="1" applyFill="1" applyBorder="1" applyAlignment="1">
      <alignment horizontal="left"/>
    </xf>
    <xf numFmtId="224" fontId="0" fillId="30" borderId="29" xfId="0" applyNumberFormat="1" applyFill="1" applyBorder="1" applyAlignment="1">
      <alignment horizontal="left" wrapText="1"/>
    </xf>
    <xf numFmtId="224" fontId="0" fillId="30" borderId="29" xfId="0" applyNumberFormat="1" applyFill="1" applyBorder="1" applyAlignment="1">
      <alignment horizontal="left"/>
    </xf>
    <xf numFmtId="0" fontId="0" fillId="30" borderId="69" xfId="0" applyFill="1" applyBorder="1" applyAlignment="1">
      <alignment horizontal="center"/>
    </xf>
    <xf numFmtId="9" fontId="143" fillId="0" borderId="69" xfId="17" applyFont="1" applyBorder="1" applyAlignment="1" applyProtection="1">
      <alignment horizontal="center" vertical="center"/>
    </xf>
    <xf numFmtId="49" fontId="143" fillId="0" borderId="32" xfId="9" applyNumberFormat="1" applyFont="1" applyFill="1" applyBorder="1" applyAlignment="1" applyProtection="1">
      <alignment horizontal="center" vertical="center" wrapText="1"/>
    </xf>
    <xf numFmtId="49" fontId="143" fillId="0" borderId="34" xfId="9" applyNumberFormat="1" applyFont="1" applyFill="1" applyBorder="1" applyAlignment="1" applyProtection="1">
      <alignment horizontal="center" vertical="center" wrapText="1"/>
    </xf>
    <xf numFmtId="49" fontId="143" fillId="0" borderId="29" xfId="9" applyNumberFormat="1" applyFont="1" applyFill="1" applyBorder="1" applyAlignment="1" applyProtection="1">
      <alignment horizontal="left" vertical="center" indent="1"/>
    </xf>
    <xf numFmtId="193" fontId="145" fillId="10" borderId="32" xfId="9" applyNumberFormat="1" applyFont="1" applyFill="1" applyBorder="1" applyAlignment="1" applyProtection="1">
      <alignment horizontal="left" vertical="center" indent="1"/>
      <protection locked="0"/>
    </xf>
    <xf numFmtId="193" fontId="145" fillId="10" borderId="33" xfId="9" applyNumberFormat="1" applyFont="1" applyFill="1" applyBorder="1" applyAlignment="1" applyProtection="1">
      <alignment horizontal="left" vertical="center" indent="1"/>
      <protection locked="0"/>
    </xf>
    <xf numFmtId="193" fontId="145" fillId="10" borderId="34" xfId="9" applyNumberFormat="1" applyFont="1" applyFill="1" applyBorder="1" applyAlignment="1" applyProtection="1">
      <alignment horizontal="left" vertical="center" indent="1"/>
      <protection locked="0"/>
    </xf>
    <xf numFmtId="192" fontId="144" fillId="0" borderId="32" xfId="6" applyNumberFormat="1" applyFont="1" applyFill="1" applyBorder="1" applyAlignment="1" applyProtection="1">
      <alignment horizontal="right" vertical="center" indent="1"/>
    </xf>
    <xf numFmtId="192" fontId="144" fillId="0" borderId="33" xfId="6" applyNumberFormat="1" applyFont="1" applyFill="1" applyBorder="1" applyAlignment="1" applyProtection="1">
      <alignment horizontal="right" vertical="center" indent="1"/>
    </xf>
    <xf numFmtId="192" fontId="144" fillId="0" borderId="34" xfId="6" applyNumberFormat="1" applyFont="1" applyFill="1" applyBorder="1" applyAlignment="1" applyProtection="1">
      <alignment horizontal="right" vertical="center" indent="1"/>
    </xf>
    <xf numFmtId="192" fontId="144" fillId="10" borderId="32" xfId="6" applyNumberFormat="1" applyFont="1" applyFill="1" applyBorder="1" applyAlignment="1" applyProtection="1">
      <alignment horizontal="right" vertical="center" indent="1"/>
      <protection locked="0"/>
    </xf>
    <xf numFmtId="192" fontId="144" fillId="10" borderId="33" xfId="6" applyNumberFormat="1" applyFont="1" applyFill="1" applyBorder="1" applyAlignment="1" applyProtection="1">
      <alignment horizontal="right" vertical="center" indent="1"/>
      <protection locked="0"/>
    </xf>
    <xf numFmtId="192" fontId="144" fillId="10" borderId="34" xfId="6" applyNumberFormat="1" applyFont="1" applyFill="1" applyBorder="1" applyAlignment="1" applyProtection="1">
      <alignment horizontal="right" vertical="center" indent="1"/>
      <protection locked="0"/>
    </xf>
    <xf numFmtId="49" fontId="144" fillId="0" borderId="32" xfId="9" applyNumberFormat="1" applyFont="1" applyFill="1" applyBorder="1" applyAlignment="1" applyProtection="1">
      <alignment horizontal="right" vertical="center" indent="1"/>
    </xf>
    <xf numFmtId="0" fontId="144" fillId="0" borderId="33" xfId="9" applyNumberFormat="1" applyFont="1" applyFill="1" applyBorder="1" applyAlignment="1" applyProtection="1">
      <alignment horizontal="right" vertical="center" indent="1"/>
    </xf>
    <xf numFmtId="0" fontId="144" fillId="0" borderId="34" xfId="9" applyNumberFormat="1" applyFont="1" applyFill="1" applyBorder="1" applyAlignment="1" applyProtection="1">
      <alignment horizontal="right" vertical="center" indent="1"/>
    </xf>
    <xf numFmtId="49" fontId="144" fillId="10" borderId="29" xfId="9" applyNumberFormat="1" applyFont="1" applyFill="1" applyBorder="1" applyAlignment="1" applyProtection="1">
      <alignment horizontal="left" vertical="center" indent="1"/>
      <protection locked="0"/>
    </xf>
    <xf numFmtId="0" fontId="144" fillId="0" borderId="32" xfId="9" applyNumberFormat="1" applyFont="1" applyFill="1" applyBorder="1" applyAlignment="1" applyProtection="1">
      <alignment horizontal="right" vertical="center" indent="1"/>
    </xf>
    <xf numFmtId="0" fontId="138" fillId="0" borderId="29" xfId="0" applyFont="1" applyFill="1" applyBorder="1" applyAlignment="1" applyProtection="1">
      <alignment horizontal="left" vertical="center" indent="1"/>
      <protection locked="0"/>
    </xf>
    <xf numFmtId="0" fontId="136" fillId="17" borderId="32" xfId="9" applyFont="1" applyFill="1" applyBorder="1" applyAlignment="1" applyProtection="1">
      <alignment horizontal="center" vertical="center"/>
    </xf>
    <xf numFmtId="0" fontId="136" fillId="17" borderId="33" xfId="9" applyFont="1" applyFill="1" applyBorder="1" applyAlignment="1" applyProtection="1">
      <alignment horizontal="center" vertical="center"/>
    </xf>
    <xf numFmtId="0" fontId="136" fillId="17" borderId="34" xfId="9" applyFont="1" applyFill="1" applyBorder="1" applyAlignment="1" applyProtection="1">
      <alignment horizontal="center" vertical="center"/>
    </xf>
    <xf numFmtId="0" fontId="109" fillId="18" borderId="29" xfId="9" applyFont="1" applyFill="1" applyBorder="1" applyAlignment="1" applyProtection="1">
      <alignment horizontal="center" vertical="center"/>
    </xf>
    <xf numFmtId="0" fontId="109" fillId="18" borderId="32" xfId="9" applyFont="1" applyFill="1" applyBorder="1" applyAlignment="1" applyProtection="1">
      <alignment horizontal="center" vertical="center"/>
    </xf>
    <xf numFmtId="0" fontId="109" fillId="18" borderId="33" xfId="9" applyFont="1" applyFill="1" applyBorder="1" applyAlignment="1" applyProtection="1">
      <alignment horizontal="center" vertical="center"/>
    </xf>
    <xf numFmtId="0" fontId="109" fillId="18" borderId="34" xfId="9" applyFont="1" applyFill="1" applyBorder="1" applyAlignment="1" applyProtection="1">
      <alignment horizontal="center" vertical="center"/>
    </xf>
    <xf numFmtId="0" fontId="138" fillId="4" borderId="29" xfId="9" quotePrefix="1" applyFont="1" applyFill="1" applyBorder="1" applyAlignment="1" applyProtection="1">
      <alignment horizontal="justify" vertical="center"/>
      <protection locked="0"/>
    </xf>
    <xf numFmtId="0" fontId="138" fillId="4" borderId="29" xfId="9" applyFont="1" applyFill="1" applyBorder="1" applyAlignment="1" applyProtection="1">
      <alignment horizontal="justify" vertical="center"/>
      <protection locked="0"/>
    </xf>
    <xf numFmtId="0" fontId="136" fillId="17" borderId="18" xfId="9" applyFont="1" applyFill="1" applyBorder="1" applyAlignment="1" applyProtection="1">
      <alignment horizontal="center" vertical="center"/>
    </xf>
    <xf numFmtId="0" fontId="136" fillId="17" borderId="88" xfId="9" applyFont="1" applyFill="1" applyBorder="1" applyAlignment="1" applyProtection="1">
      <alignment horizontal="center" vertical="center"/>
    </xf>
    <xf numFmtId="0" fontId="136" fillId="17" borderId="89" xfId="9" applyFont="1" applyFill="1" applyBorder="1" applyAlignment="1" applyProtection="1">
      <alignment horizontal="center" vertical="center"/>
    </xf>
    <xf numFmtId="0" fontId="138" fillId="0" borderId="29" xfId="9" applyFont="1" applyFill="1" applyBorder="1" applyAlignment="1" applyProtection="1">
      <alignment horizontal="left" vertical="center" indent="1"/>
      <protection locked="0"/>
    </xf>
    <xf numFmtId="15" fontId="138" fillId="0" borderId="29" xfId="9" applyNumberFormat="1" applyFont="1" applyFill="1" applyBorder="1" applyAlignment="1" applyProtection="1">
      <alignment horizontal="left" vertical="center" indent="1"/>
      <protection locked="0"/>
    </xf>
    <xf numFmtId="0" fontId="138" fillId="0" borderId="68" xfId="9" applyFont="1" applyFill="1" applyBorder="1" applyAlignment="1" applyProtection="1">
      <alignment horizontal="left" vertical="top" wrapText="1" indent="1"/>
      <protection locked="0"/>
    </xf>
    <xf numFmtId="0" fontId="138" fillId="0" borderId="69" xfId="9" applyFont="1" applyFill="1" applyBorder="1" applyAlignment="1" applyProtection="1">
      <alignment horizontal="left" vertical="top" wrapText="1" indent="1"/>
      <protection locked="0"/>
    </xf>
    <xf numFmtId="0" fontId="138" fillId="0" borderId="70" xfId="9" applyFont="1" applyFill="1" applyBorder="1" applyAlignment="1" applyProtection="1">
      <alignment horizontal="left" vertical="top" wrapText="1" indent="1"/>
      <protection locked="0"/>
    </xf>
    <xf numFmtId="0" fontId="138" fillId="0" borderId="2" xfId="9" applyFont="1" applyFill="1" applyBorder="1" applyAlignment="1" applyProtection="1">
      <alignment horizontal="left" vertical="top" wrapText="1" indent="1"/>
      <protection locked="0"/>
    </xf>
    <xf numFmtId="0" fontId="138" fillId="0" borderId="0" xfId="9" applyFont="1" applyFill="1" applyBorder="1" applyAlignment="1" applyProtection="1">
      <alignment horizontal="left" vertical="top" wrapText="1" indent="1"/>
      <protection locked="0"/>
    </xf>
    <xf numFmtId="0" fontId="138" fillId="0" borderId="3" xfId="9" applyFont="1" applyFill="1" applyBorder="1" applyAlignment="1" applyProtection="1">
      <alignment horizontal="left" vertical="top" wrapText="1" indent="1"/>
      <protection locked="0"/>
    </xf>
    <xf numFmtId="0" fontId="138" fillId="0" borderId="17" xfId="9" applyFont="1" applyFill="1" applyBorder="1" applyAlignment="1" applyProtection="1">
      <alignment horizontal="left" vertical="top" wrapText="1" indent="1"/>
      <protection locked="0"/>
    </xf>
    <xf numFmtId="0" fontId="138" fillId="0" borderId="4" xfId="9" applyFont="1" applyFill="1" applyBorder="1" applyAlignment="1" applyProtection="1">
      <alignment horizontal="left" vertical="top" wrapText="1" indent="1"/>
      <protection locked="0"/>
    </xf>
    <xf numFmtId="0" fontId="138" fillId="0" borderId="18" xfId="9" applyFont="1" applyFill="1" applyBorder="1" applyAlignment="1" applyProtection="1">
      <alignment horizontal="left" vertical="top" wrapText="1" indent="1"/>
      <protection locked="0"/>
    </xf>
    <xf numFmtId="0" fontId="139" fillId="4" borderId="29" xfId="9" applyFont="1" applyFill="1" applyBorder="1" applyAlignment="1" applyProtection="1">
      <alignment horizontal="left" vertical="top" indent="1"/>
      <protection locked="0"/>
    </xf>
    <xf numFmtId="0" fontId="138" fillId="0" borderId="29" xfId="9" applyFont="1" applyFill="1" applyBorder="1" applyAlignment="1" applyProtection="1">
      <alignment horizontal="left" vertical="center" wrapText="1" indent="1"/>
      <protection locked="0"/>
    </xf>
    <xf numFmtId="0" fontId="138" fillId="0" borderId="29" xfId="9" applyFont="1" applyBorder="1" applyAlignment="1" applyProtection="1">
      <alignment horizontal="left" vertical="center" indent="1"/>
      <protection locked="0"/>
    </xf>
    <xf numFmtId="49" fontId="138" fillId="4" borderId="29" xfId="9" applyNumberFormat="1" applyFont="1" applyFill="1" applyBorder="1" applyAlignment="1" applyProtection="1">
      <alignment horizontal="left" vertical="center" indent="1"/>
      <protection locked="0"/>
    </xf>
    <xf numFmtId="0" fontId="136" fillId="17" borderId="4" xfId="9" applyFont="1" applyFill="1" applyBorder="1" applyAlignment="1" applyProtection="1">
      <alignment horizontal="center" vertical="center"/>
    </xf>
    <xf numFmtId="0" fontId="138" fillId="0" borderId="29" xfId="9" applyFont="1" applyFill="1" applyBorder="1" applyAlignment="1" applyProtection="1">
      <alignment horizontal="left" vertical="top" indent="1"/>
      <protection locked="0"/>
    </xf>
    <xf numFmtId="0" fontId="138" fillId="0" borderId="29" xfId="9" applyNumberFormat="1" applyFont="1" applyFill="1" applyBorder="1" applyAlignment="1" applyProtection="1">
      <alignment horizontal="left" vertical="center" indent="1"/>
      <protection locked="0"/>
    </xf>
    <xf numFmtId="0" fontId="138" fillId="4" borderId="29" xfId="9" quotePrefix="1" applyFont="1" applyFill="1" applyBorder="1" applyAlignment="1" applyProtection="1">
      <alignment vertical="center"/>
      <protection locked="0"/>
    </xf>
    <xf numFmtId="0" fontId="138" fillId="4" borderId="29" xfId="9" applyFont="1" applyFill="1" applyBorder="1" applyAlignment="1" applyProtection="1">
      <alignment vertical="center"/>
      <protection locked="0"/>
    </xf>
    <xf numFmtId="0" fontId="139" fillId="0" borderId="88" xfId="9" applyFont="1" applyFill="1" applyBorder="1" applyAlignment="1" applyProtection="1">
      <alignment horizontal="left" vertical="center" indent="1"/>
      <protection locked="0"/>
    </xf>
    <xf numFmtId="49" fontId="138" fillId="0" borderId="29" xfId="9" applyNumberFormat="1" applyFont="1" applyFill="1" applyBorder="1" applyAlignment="1" applyProtection="1">
      <alignment horizontal="left" vertical="center" indent="1"/>
      <protection locked="0"/>
    </xf>
    <xf numFmtId="0" fontId="138" fillId="0" borderId="29" xfId="9" quotePrefix="1" applyFont="1" applyFill="1" applyBorder="1" applyAlignment="1" applyProtection="1">
      <alignment horizontal="left" vertical="center" wrapText="1" indent="1"/>
      <protection locked="0"/>
    </xf>
    <xf numFmtId="0" fontId="138" fillId="0" borderId="29" xfId="0" applyFont="1" applyFill="1" applyBorder="1" applyAlignment="1" applyProtection="1">
      <alignment horizontal="left" vertical="center" wrapText="1" indent="1"/>
      <protection locked="0"/>
    </xf>
    <xf numFmtId="223" fontId="138" fillId="0" borderId="29" xfId="9" applyNumberFormat="1" applyFont="1" applyFill="1" applyBorder="1" applyAlignment="1" applyProtection="1">
      <alignment horizontal="left" vertical="center" indent="1"/>
      <protection locked="0"/>
    </xf>
    <xf numFmtId="0" fontId="135" fillId="18" borderId="87" xfId="9" applyFont="1" applyFill="1" applyBorder="1" applyAlignment="1" applyProtection="1">
      <alignment horizontal="center" vertical="center"/>
    </xf>
    <xf numFmtId="0" fontId="230" fillId="16" borderId="32" xfId="9" applyFont="1" applyFill="1" applyBorder="1" applyAlignment="1" applyProtection="1">
      <alignment horizontal="left" vertical="top" indent="1"/>
      <protection locked="0"/>
    </xf>
    <xf numFmtId="0" fontId="230" fillId="16" borderId="33" xfId="9" applyFont="1" applyFill="1" applyBorder="1" applyAlignment="1" applyProtection="1">
      <alignment horizontal="left" vertical="top" indent="1"/>
      <protection locked="0"/>
    </xf>
    <xf numFmtId="0" fontId="230" fillId="16" borderId="34" xfId="9" applyFont="1" applyFill="1" applyBorder="1" applyAlignment="1" applyProtection="1">
      <alignment horizontal="left" vertical="top" indent="1"/>
      <protection locked="0"/>
    </xf>
    <xf numFmtId="0" fontId="138" fillId="0" borderId="32" xfId="9" applyFont="1" applyFill="1" applyBorder="1" applyAlignment="1" applyProtection="1">
      <alignment horizontal="left" vertical="center" indent="1"/>
      <protection locked="0"/>
    </xf>
    <xf numFmtId="0" fontId="138" fillId="0" borderId="33" xfId="9" applyFont="1" applyFill="1" applyBorder="1" applyAlignment="1" applyProtection="1">
      <alignment horizontal="left" vertical="center" indent="1"/>
      <protection locked="0"/>
    </xf>
    <xf numFmtId="0" fontId="138" fillId="0" borderId="34" xfId="9" applyFont="1" applyFill="1" applyBorder="1" applyAlignment="1" applyProtection="1">
      <alignment horizontal="left" vertical="center" indent="1"/>
      <protection locked="0"/>
    </xf>
    <xf numFmtId="0" fontId="95" fillId="18" borderId="84" xfId="9" applyFont="1" applyFill="1" applyBorder="1" applyAlignment="1" applyProtection="1">
      <alignment horizontal="right" vertical="center" indent="1"/>
    </xf>
    <xf numFmtId="0" fontId="95" fillId="18" borderId="83" xfId="9" applyFont="1" applyFill="1" applyBorder="1" applyAlignment="1" applyProtection="1">
      <alignment horizontal="right" vertical="center" indent="1"/>
    </xf>
    <xf numFmtId="38" fontId="95" fillId="18" borderId="83" xfId="9" applyNumberFormat="1" applyFont="1" applyFill="1" applyBorder="1" applyAlignment="1" applyProtection="1">
      <alignment horizontal="center" vertical="center"/>
    </xf>
    <xf numFmtId="38" fontId="95" fillId="18" borderId="82" xfId="9" applyNumberFormat="1" applyFont="1" applyFill="1" applyBorder="1" applyAlignment="1" applyProtection="1">
      <alignment horizontal="center" vertical="center"/>
    </xf>
    <xf numFmtId="10" fontId="171" fillId="0" borderId="0" xfId="18" applyNumberFormat="1" applyFont="1" applyFill="1" applyBorder="1" applyAlignment="1" applyProtection="1">
      <alignment horizontal="left" vertical="center"/>
    </xf>
    <xf numFmtId="0" fontId="121" fillId="17" borderId="86" xfId="9" applyFont="1" applyFill="1" applyBorder="1" applyAlignment="1" applyProtection="1">
      <alignment horizontal="right" vertical="center" indent="1"/>
    </xf>
    <xf numFmtId="0" fontId="121" fillId="17" borderId="37" xfId="9" applyFont="1" applyFill="1" applyBorder="1" applyAlignment="1" applyProtection="1">
      <alignment horizontal="right" vertical="center" indent="1"/>
    </xf>
    <xf numFmtId="38" fontId="121" fillId="17" borderId="37" xfId="9" applyNumberFormat="1" applyFont="1" applyFill="1" applyBorder="1" applyAlignment="1" applyProtection="1">
      <alignment horizontal="center" vertical="center"/>
    </xf>
    <xf numFmtId="38" fontId="121" fillId="17" borderId="38" xfId="9" applyNumberFormat="1" applyFont="1" applyFill="1" applyBorder="1" applyAlignment="1" applyProtection="1">
      <alignment horizontal="center" vertical="center"/>
    </xf>
    <xf numFmtId="9" fontId="104" fillId="11" borderId="25" xfId="17" applyNumberFormat="1" applyFont="1" applyFill="1" applyBorder="1" applyAlignment="1" applyProtection="1">
      <alignment horizontal="center" vertical="center"/>
      <protection locked="0"/>
    </xf>
    <xf numFmtId="9" fontId="104" fillId="11" borderId="46" xfId="17" applyFont="1" applyFill="1" applyBorder="1" applyAlignment="1" applyProtection="1">
      <alignment horizontal="center" vertical="center"/>
      <protection locked="0"/>
    </xf>
    <xf numFmtId="9" fontId="104" fillId="11" borderId="25" xfId="17" applyFont="1" applyFill="1" applyBorder="1" applyAlignment="1" applyProtection="1">
      <alignment horizontal="center" vertical="center"/>
      <protection locked="0"/>
    </xf>
    <xf numFmtId="38" fontId="93" fillId="0" borderId="75" xfId="9" applyNumberFormat="1" applyFont="1" applyBorder="1" applyAlignment="1" applyProtection="1">
      <alignment horizontal="right" vertical="center" indent="1"/>
    </xf>
    <xf numFmtId="38" fontId="93" fillId="0" borderId="116" xfId="9" applyNumberFormat="1" applyFont="1" applyBorder="1" applyAlignment="1" applyProtection="1">
      <alignment horizontal="right" vertical="center" indent="1"/>
    </xf>
    <xf numFmtId="168" fontId="150" fillId="0" borderId="0" xfId="15" applyNumberFormat="1" applyFont="1" applyFill="1" applyBorder="1" applyAlignment="1" applyProtection="1">
      <alignment horizontal="left" vertical="center"/>
    </xf>
    <xf numFmtId="0" fontId="121" fillId="17" borderId="47" xfId="9" applyFont="1" applyFill="1" applyBorder="1" applyAlignment="1" applyProtection="1">
      <alignment horizontal="center" vertical="center"/>
    </xf>
    <xf numFmtId="0" fontId="121" fillId="17" borderId="30" xfId="9" applyFont="1" applyFill="1" applyBorder="1" applyAlignment="1" applyProtection="1">
      <alignment horizontal="center" vertical="center"/>
    </xf>
    <xf numFmtId="38" fontId="121" fillId="17" borderId="30" xfId="9" applyNumberFormat="1" applyFont="1" applyFill="1" applyBorder="1" applyAlignment="1" applyProtection="1">
      <alignment horizontal="right" vertical="center" indent="1"/>
    </xf>
    <xf numFmtId="0" fontId="110" fillId="17" borderId="30" xfId="9" applyFont="1" applyFill="1" applyBorder="1" applyAlignment="1" applyProtection="1">
      <alignment horizontal="center" vertical="center"/>
    </xf>
    <xf numFmtId="38" fontId="121" fillId="17" borderId="30" xfId="9" applyNumberFormat="1" applyFont="1" applyFill="1" applyBorder="1" applyAlignment="1" applyProtection="1">
      <alignment horizontal="center" vertical="center"/>
    </xf>
    <xf numFmtId="38" fontId="121" fillId="17" borderId="31" xfId="9" applyNumberFormat="1" applyFont="1" applyFill="1" applyBorder="1" applyAlignment="1" applyProtection="1">
      <alignment horizontal="right" vertical="center" indent="1"/>
    </xf>
    <xf numFmtId="0" fontId="93" fillId="0" borderId="117" xfId="9" applyFont="1" applyFill="1" applyBorder="1" applyAlignment="1" applyProtection="1">
      <alignment horizontal="center" vertical="center"/>
    </xf>
    <xf numFmtId="0" fontId="93" fillId="0" borderId="75" xfId="9" applyFont="1" applyFill="1" applyBorder="1" applyAlignment="1" applyProtection="1">
      <alignment horizontal="center" vertical="center"/>
    </xf>
    <xf numFmtId="168" fontId="93" fillId="0" borderId="74" xfId="9" applyNumberFormat="1" applyFont="1" applyFill="1" applyBorder="1" applyAlignment="1" applyProtection="1">
      <alignment horizontal="center" vertical="center"/>
    </xf>
    <xf numFmtId="49" fontId="93" fillId="0" borderId="74" xfId="9" applyNumberFormat="1" applyFont="1" applyFill="1" applyBorder="1" applyAlignment="1" applyProtection="1">
      <alignment horizontal="center" vertical="center"/>
    </xf>
    <xf numFmtId="0" fontId="93" fillId="0" borderId="74" xfId="9" applyNumberFormat="1" applyFont="1" applyFill="1" applyBorder="1" applyAlignment="1" applyProtection="1">
      <alignment horizontal="center" vertical="center"/>
    </xf>
    <xf numFmtId="38" fontId="93" fillId="0" borderId="74" xfId="9" applyNumberFormat="1" applyFont="1" applyFill="1" applyBorder="1" applyAlignment="1" applyProtection="1">
      <alignment horizontal="right" vertical="center" indent="1"/>
    </xf>
    <xf numFmtId="0" fontId="93" fillId="0" borderId="74" xfId="9" applyNumberFormat="1" applyFont="1" applyFill="1" applyBorder="1" applyAlignment="1" applyProtection="1">
      <alignment horizontal="right" vertical="center" indent="1"/>
    </xf>
    <xf numFmtId="9" fontId="133" fillId="4" borderId="75" xfId="17" applyFont="1" applyFill="1" applyBorder="1" applyAlignment="1" applyProtection="1">
      <alignment horizontal="center" vertical="center"/>
      <protection locked="0"/>
    </xf>
    <xf numFmtId="38" fontId="93" fillId="0" borderId="75" xfId="9" applyNumberFormat="1" applyFont="1" applyBorder="1" applyAlignment="1" applyProtection="1">
      <alignment horizontal="center" vertical="center"/>
    </xf>
    <xf numFmtId="0" fontId="169" fillId="0" borderId="109" xfId="15" applyFont="1" applyFill="1" applyBorder="1" applyAlignment="1" applyProtection="1">
      <alignment horizontal="center" vertical="center" wrapText="1"/>
    </xf>
    <xf numFmtId="0" fontId="169" fillId="0" borderId="58" xfId="15" applyFont="1" applyFill="1" applyBorder="1" applyAlignment="1" applyProtection="1">
      <alignment horizontal="center" vertical="center" wrapText="1"/>
    </xf>
    <xf numFmtId="0" fontId="169" fillId="0" borderId="110" xfId="15" applyFont="1" applyFill="1" applyBorder="1" applyAlignment="1" applyProtection="1">
      <alignment horizontal="center" vertical="center" wrapText="1"/>
    </xf>
    <xf numFmtId="0" fontId="169" fillId="0" borderId="111" xfId="15" applyFont="1" applyFill="1" applyBorder="1" applyAlignment="1" applyProtection="1">
      <alignment horizontal="center" vertical="center" wrapText="1"/>
    </xf>
    <xf numFmtId="0" fontId="169" fillId="0" borderId="0" xfId="15" applyFont="1" applyFill="1" applyBorder="1" applyAlignment="1" applyProtection="1">
      <alignment horizontal="center" vertical="center" wrapText="1"/>
    </xf>
    <xf numFmtId="0" fontId="169" fillId="0" borderId="112" xfId="15" applyFont="1" applyFill="1" applyBorder="1" applyAlignment="1" applyProtection="1">
      <alignment horizontal="center" vertical="center" wrapText="1"/>
    </xf>
    <xf numFmtId="0" fontId="169" fillId="0" borderId="113" xfId="15" applyFont="1" applyFill="1" applyBorder="1" applyAlignment="1" applyProtection="1">
      <alignment horizontal="center" vertical="center" wrapText="1"/>
    </xf>
    <xf numFmtId="0" fontId="169" fillId="0" borderId="55" xfId="15" applyFont="1" applyFill="1" applyBorder="1" applyAlignment="1" applyProtection="1">
      <alignment horizontal="center" vertical="center" wrapText="1"/>
    </xf>
    <xf numFmtId="0" fontId="169" fillId="0" borderId="114" xfId="15" applyFont="1" applyFill="1" applyBorder="1" applyAlignment="1" applyProtection="1">
      <alignment horizontal="center" vertical="center" wrapText="1"/>
    </xf>
    <xf numFmtId="0" fontId="93" fillId="0" borderId="115" xfId="9" applyFont="1" applyFill="1" applyBorder="1" applyAlignment="1" applyProtection="1">
      <alignment horizontal="center" vertical="center"/>
    </xf>
    <xf numFmtId="0" fontId="93" fillId="0" borderId="74" xfId="9" applyFont="1" applyFill="1" applyBorder="1" applyAlignment="1" applyProtection="1">
      <alignment horizontal="center" vertical="center"/>
    </xf>
    <xf numFmtId="9" fontId="161" fillId="0" borderId="74" xfId="17" applyFont="1" applyFill="1" applyBorder="1" applyAlignment="1" applyProtection="1">
      <alignment horizontal="center" vertical="center"/>
      <protection locked="0"/>
    </xf>
    <xf numFmtId="0" fontId="93" fillId="0" borderId="108" xfId="9" applyFont="1" applyFill="1" applyBorder="1" applyAlignment="1" applyProtection="1">
      <alignment horizontal="center" vertical="center"/>
    </xf>
    <xf numFmtId="0" fontId="93" fillId="0" borderId="1" xfId="9" applyFont="1" applyFill="1" applyBorder="1" applyAlignment="1" applyProtection="1">
      <alignment horizontal="center" vertical="center"/>
    </xf>
    <xf numFmtId="38" fontId="93" fillId="0" borderId="1" xfId="9" applyNumberFormat="1" applyFont="1" applyBorder="1" applyAlignment="1" applyProtection="1">
      <alignment horizontal="right" vertical="center" indent="1"/>
    </xf>
    <xf numFmtId="38" fontId="93" fillId="0" borderId="104" xfId="9" applyNumberFormat="1" applyFont="1" applyBorder="1" applyAlignment="1" applyProtection="1">
      <alignment horizontal="right" vertical="center" indent="1"/>
    </xf>
    <xf numFmtId="9" fontId="133" fillId="4" borderId="1" xfId="17" applyFont="1" applyFill="1" applyBorder="1" applyAlignment="1" applyProtection="1">
      <alignment horizontal="center" vertical="center"/>
      <protection locked="0"/>
    </xf>
    <xf numFmtId="38" fontId="93" fillId="0" borderId="1" xfId="9" applyNumberFormat="1" applyFont="1" applyBorder="1" applyAlignment="1" applyProtection="1">
      <alignment horizontal="center" vertical="center"/>
    </xf>
    <xf numFmtId="196" fontId="92" fillId="0" borderId="107" xfId="6" applyNumberFormat="1" applyFont="1" applyFill="1" applyBorder="1" applyAlignment="1" applyProtection="1">
      <alignment vertical="top" wrapText="1"/>
    </xf>
    <xf numFmtId="196" fontId="92" fillId="0" borderId="72" xfId="6" applyNumberFormat="1" applyFont="1" applyFill="1" applyBorder="1" applyAlignment="1" applyProtection="1">
      <alignment vertical="top" wrapText="1"/>
    </xf>
    <xf numFmtId="0" fontId="121" fillId="17" borderId="47" xfId="9" applyFont="1" applyFill="1" applyBorder="1" applyAlignment="1" applyProtection="1">
      <alignment horizontal="center" vertical="center" wrapText="1"/>
    </xf>
    <xf numFmtId="0" fontId="121" fillId="17" borderId="30" xfId="9" applyFont="1" applyFill="1" applyBorder="1" applyAlignment="1" applyProtection="1">
      <alignment horizontal="center" vertical="center" wrapText="1"/>
    </xf>
    <xf numFmtId="0" fontId="121" fillId="17" borderId="31" xfId="9" applyFont="1" applyFill="1" applyBorder="1" applyAlignment="1" applyProtection="1">
      <alignment horizontal="center" vertical="center" wrapText="1"/>
    </xf>
    <xf numFmtId="38" fontId="93" fillId="0" borderId="74" xfId="9" applyNumberFormat="1" applyFont="1" applyBorder="1" applyAlignment="1" applyProtection="1">
      <alignment horizontal="center" vertical="center"/>
    </xf>
    <xf numFmtId="38" fontId="93" fillId="0" borderId="74" xfId="9" applyNumberFormat="1" applyFont="1" applyBorder="1" applyAlignment="1" applyProtection="1">
      <alignment horizontal="right" vertical="center" indent="1"/>
    </xf>
    <xf numFmtId="38" fontId="93" fillId="0" borderId="105" xfId="9" applyNumberFormat="1" applyFont="1" applyBorder="1" applyAlignment="1" applyProtection="1">
      <alignment horizontal="right" vertical="center" indent="1"/>
    </xf>
    <xf numFmtId="38" fontId="167" fillId="18" borderId="90" xfId="17" applyNumberFormat="1" applyFont="1" applyFill="1" applyBorder="1" applyAlignment="1" applyProtection="1">
      <alignment horizontal="right" vertical="center"/>
    </xf>
    <xf numFmtId="38" fontId="167" fillId="18" borderId="103" xfId="17" applyNumberFormat="1" applyFont="1" applyFill="1" applyBorder="1" applyAlignment="1" applyProtection="1">
      <alignment horizontal="right" vertical="center"/>
    </xf>
    <xf numFmtId="0" fontId="121" fillId="17" borderId="106" xfId="9" applyFont="1" applyFill="1" applyBorder="1" applyAlignment="1" applyProtection="1">
      <alignment horizontal="right" vertical="center" indent="3"/>
    </xf>
    <xf numFmtId="0" fontId="121" fillId="17" borderId="91" xfId="9" applyFont="1" applyFill="1" applyBorder="1" applyAlignment="1" applyProtection="1">
      <alignment horizontal="right" vertical="center" indent="3"/>
    </xf>
    <xf numFmtId="195" fontId="121" fillId="17" borderId="91" xfId="9" applyNumberFormat="1" applyFont="1" applyFill="1" applyBorder="1" applyAlignment="1" applyProtection="1">
      <alignment horizontal="left" vertical="center" indent="1"/>
    </xf>
    <xf numFmtId="195" fontId="121" fillId="17" borderId="92" xfId="9" applyNumberFormat="1" applyFont="1" applyFill="1" applyBorder="1" applyAlignment="1" applyProtection="1">
      <alignment horizontal="left" vertical="center" indent="1"/>
    </xf>
    <xf numFmtId="9" fontId="115" fillId="20" borderId="90" xfId="17" applyFont="1" applyFill="1" applyBorder="1" applyAlignment="1" applyProtection="1">
      <alignment horizontal="center" vertical="center"/>
    </xf>
    <xf numFmtId="38" fontId="166" fillId="18" borderId="90" xfId="17" applyNumberFormat="1" applyFont="1" applyFill="1" applyBorder="1" applyAlignment="1" applyProtection="1">
      <alignment horizontal="right" vertical="center"/>
    </xf>
    <xf numFmtId="9" fontId="115" fillId="20" borderId="101" xfId="17" applyFont="1" applyFill="1" applyBorder="1" applyAlignment="1" applyProtection="1">
      <alignment horizontal="center" vertical="center"/>
    </xf>
    <xf numFmtId="9" fontId="115" fillId="20" borderId="102" xfId="17" applyFont="1" applyFill="1" applyBorder="1" applyAlignment="1" applyProtection="1">
      <alignment horizontal="center" vertical="center"/>
    </xf>
    <xf numFmtId="9" fontId="104" fillId="0" borderId="25" xfId="17" applyFont="1" applyFill="1" applyBorder="1" applyAlignment="1" applyProtection="1">
      <alignment horizontal="center" vertical="center"/>
      <protection locked="0"/>
    </xf>
    <xf numFmtId="9" fontId="104" fillId="0" borderId="46" xfId="17" applyFont="1" applyFill="1" applyBorder="1" applyAlignment="1" applyProtection="1">
      <alignment horizontal="center" vertical="center"/>
      <protection locked="0"/>
    </xf>
    <xf numFmtId="38" fontId="165" fillId="0" borderId="93" xfId="17" applyNumberFormat="1" applyFont="1" applyFill="1" applyBorder="1" applyAlignment="1" applyProtection="1">
      <alignment horizontal="right" vertical="center"/>
    </xf>
    <xf numFmtId="38" fontId="165" fillId="0" borderId="94" xfId="17" applyNumberFormat="1" applyFont="1" applyFill="1" applyBorder="1" applyAlignment="1" applyProtection="1">
      <alignment horizontal="right" vertical="center"/>
    </xf>
    <xf numFmtId="38" fontId="165" fillId="0" borderId="95" xfId="17" applyNumberFormat="1" applyFont="1" applyFill="1" applyBorder="1" applyAlignment="1" applyProtection="1">
      <alignment horizontal="right" vertical="center"/>
    </xf>
    <xf numFmtId="9" fontId="104" fillId="0" borderId="25" xfId="17" applyNumberFormat="1" applyFont="1" applyFill="1" applyBorder="1" applyAlignment="1" applyProtection="1">
      <alignment horizontal="center" vertical="center"/>
      <protection locked="0"/>
    </xf>
    <xf numFmtId="0" fontId="164" fillId="0" borderId="93" xfId="17" applyNumberFormat="1" applyFont="1" applyFill="1" applyBorder="1" applyAlignment="1" applyProtection="1">
      <alignment horizontal="right" vertical="center"/>
    </xf>
    <xf numFmtId="38" fontId="164" fillId="0" borderId="94" xfId="17" applyNumberFormat="1" applyFont="1" applyFill="1" applyBorder="1" applyAlignment="1" applyProtection="1">
      <alignment horizontal="right" vertical="center"/>
    </xf>
    <xf numFmtId="38" fontId="164" fillId="0" borderId="95" xfId="17" applyNumberFormat="1" applyFont="1" applyFill="1" applyBorder="1" applyAlignment="1" applyProtection="1">
      <alignment horizontal="right" vertical="center"/>
    </xf>
    <xf numFmtId="0" fontId="95" fillId="0" borderId="48" xfId="9" applyFont="1" applyFill="1" applyBorder="1" applyAlignment="1" applyProtection="1">
      <alignment horizontal="left" vertical="center" indent="1"/>
      <protection locked="0"/>
    </xf>
    <xf numFmtId="9" fontId="95" fillId="0" borderId="48" xfId="9" applyNumberFormat="1" applyFont="1" applyFill="1" applyBorder="1" applyAlignment="1" applyProtection="1">
      <alignment horizontal="center" vertical="center" wrapText="1"/>
      <protection locked="0"/>
    </xf>
    <xf numFmtId="0" fontId="95" fillId="0" borderId="48" xfId="9" applyFont="1" applyFill="1" applyBorder="1" applyAlignment="1" applyProtection="1">
      <alignment horizontal="center" vertical="center" wrapText="1"/>
      <protection locked="0"/>
    </xf>
    <xf numFmtId="10" fontId="98" fillId="20" borderId="48" xfId="17" applyNumberFormat="1" applyFont="1" applyFill="1" applyBorder="1" applyAlignment="1" applyProtection="1">
      <alignment horizontal="center" vertical="center"/>
      <protection locked="0"/>
    </xf>
    <xf numFmtId="0" fontId="95" fillId="18" borderId="1" xfId="9" applyFont="1" applyFill="1" applyBorder="1" applyAlignment="1" applyProtection="1">
      <alignment horizontal="left" vertical="center" indent="1"/>
      <protection locked="0"/>
    </xf>
    <xf numFmtId="195" fontId="95" fillId="18" borderId="25" xfId="9" applyNumberFormat="1" applyFont="1" applyFill="1" applyBorder="1" applyAlignment="1" applyProtection="1">
      <alignment horizontal="left" vertical="center" indent="1"/>
      <protection locked="0"/>
    </xf>
    <xf numFmtId="195" fontId="28" fillId="0" borderId="45" xfId="9" applyNumberFormat="1" applyBorder="1" applyProtection="1">
      <protection locked="0"/>
    </xf>
    <xf numFmtId="195" fontId="28" fillId="0" borderId="46" xfId="9" applyNumberFormat="1" applyBorder="1" applyProtection="1">
      <protection locked="0"/>
    </xf>
    <xf numFmtId="195" fontId="95" fillId="0" borderId="1" xfId="9" applyNumberFormat="1" applyFont="1" applyFill="1" applyBorder="1" applyAlignment="1" applyProtection="1">
      <alignment horizontal="left" vertical="center" indent="1"/>
      <protection locked="0"/>
    </xf>
    <xf numFmtId="0" fontId="95" fillId="18" borderId="100" xfId="9" applyFont="1" applyFill="1" applyBorder="1" applyAlignment="1" applyProtection="1">
      <alignment horizontal="left" vertical="center" indent="1"/>
    </xf>
    <xf numFmtId="0" fontId="95" fillId="18" borderId="90" xfId="9" applyFont="1" applyFill="1" applyBorder="1" applyAlignment="1" applyProtection="1">
      <alignment horizontal="left" vertical="center" indent="1"/>
    </xf>
    <xf numFmtId="0" fontId="164" fillId="0" borderId="93" xfId="4" applyNumberFormat="1" applyFont="1" applyFill="1" applyBorder="1" applyAlignment="1" applyProtection="1">
      <alignment horizontal="right" vertical="center"/>
    </xf>
    <xf numFmtId="38" fontId="164" fillId="0" borderId="94" xfId="4" applyNumberFormat="1" applyFont="1" applyFill="1" applyBorder="1" applyAlignment="1" applyProtection="1">
      <alignment horizontal="right" vertical="center"/>
    </xf>
    <xf numFmtId="38" fontId="164" fillId="0" borderId="95" xfId="4" applyNumberFormat="1" applyFont="1" applyFill="1" applyBorder="1" applyAlignment="1" applyProtection="1">
      <alignment horizontal="right" vertical="center"/>
    </xf>
    <xf numFmtId="0" fontId="100" fillId="20" borderId="25" xfId="9" applyNumberFormat="1" applyFont="1" applyFill="1" applyBorder="1" applyAlignment="1" applyProtection="1">
      <alignment horizontal="right" vertical="center" wrapText="1" indent="1"/>
    </xf>
    <xf numFmtId="0" fontId="100" fillId="20" borderId="45" xfId="9" applyNumberFormat="1" applyFont="1" applyFill="1" applyBorder="1" applyAlignment="1" applyProtection="1">
      <alignment horizontal="right" vertical="center" wrapText="1" indent="1"/>
    </xf>
    <xf numFmtId="0" fontId="100" fillId="20" borderId="46" xfId="9" applyNumberFormat="1" applyFont="1" applyFill="1" applyBorder="1" applyAlignment="1" applyProtection="1">
      <alignment horizontal="right" vertical="center" wrapText="1" indent="1"/>
    </xf>
    <xf numFmtId="38" fontId="164" fillId="0" borderId="93" xfId="17" applyNumberFormat="1" applyFont="1" applyFill="1" applyBorder="1" applyAlignment="1" applyProtection="1">
      <alignment horizontal="right" vertical="center"/>
    </xf>
    <xf numFmtId="38" fontId="164" fillId="0" borderId="93" xfId="4" applyNumberFormat="1" applyFont="1" applyFill="1" applyBorder="1" applyAlignment="1" applyProtection="1">
      <alignment horizontal="right" vertical="center"/>
    </xf>
    <xf numFmtId="38" fontId="164" fillId="0" borderId="25" xfId="17" applyNumberFormat="1" applyFont="1" applyFill="1" applyBorder="1" applyAlignment="1" applyProtection="1">
      <alignment horizontal="right" vertical="center"/>
    </xf>
    <xf numFmtId="38" fontId="164" fillId="0" borderId="45" xfId="17" applyNumberFormat="1" applyFont="1" applyFill="1" applyBorder="1" applyAlignment="1" applyProtection="1">
      <alignment horizontal="right" vertical="center"/>
    </xf>
    <xf numFmtId="38" fontId="164" fillId="0" borderId="46" xfId="17" applyNumberFormat="1" applyFont="1" applyFill="1" applyBorder="1" applyAlignment="1" applyProtection="1">
      <alignment horizontal="right" vertical="center"/>
    </xf>
    <xf numFmtId="38" fontId="165" fillId="0" borderId="25" xfId="17" applyNumberFormat="1" applyFont="1" applyFill="1" applyBorder="1" applyAlignment="1" applyProtection="1">
      <alignment horizontal="right" vertical="center"/>
    </xf>
    <xf numFmtId="38" fontId="165" fillId="0" borderId="45" xfId="17" applyNumberFormat="1" applyFont="1" applyFill="1" applyBorder="1" applyAlignment="1" applyProtection="1">
      <alignment horizontal="right" vertical="center"/>
    </xf>
    <xf numFmtId="38" fontId="165" fillId="0" borderId="46" xfId="17" applyNumberFormat="1" applyFont="1" applyFill="1" applyBorder="1" applyAlignment="1" applyProtection="1">
      <alignment horizontal="right" vertical="center"/>
    </xf>
    <xf numFmtId="0" fontId="163" fillId="0" borderId="25" xfId="9" applyNumberFormat="1" applyFont="1" applyFill="1" applyBorder="1" applyAlignment="1" applyProtection="1">
      <alignment horizontal="right" vertical="center" indent="1"/>
    </xf>
    <xf numFmtId="0" fontId="163" fillId="0" borderId="45" xfId="9" applyNumberFormat="1" applyFont="1" applyFill="1" applyBorder="1" applyAlignment="1" applyProtection="1">
      <alignment horizontal="right" vertical="center" indent="1"/>
    </xf>
    <xf numFmtId="0" fontId="163" fillId="0" borderId="46" xfId="9" applyNumberFormat="1" applyFont="1" applyFill="1" applyBorder="1" applyAlignment="1" applyProtection="1">
      <alignment horizontal="right" vertical="center" indent="1"/>
    </xf>
    <xf numFmtId="38" fontId="164" fillId="0" borderId="25" xfId="4" applyNumberFormat="1" applyFont="1" applyFill="1" applyBorder="1" applyAlignment="1" applyProtection="1">
      <alignment horizontal="right" vertical="center"/>
    </xf>
    <xf numFmtId="38" fontId="164" fillId="0" borderId="45" xfId="4" applyNumberFormat="1" applyFont="1" applyFill="1" applyBorder="1" applyAlignment="1" applyProtection="1">
      <alignment horizontal="right" vertical="center"/>
    </xf>
    <xf numFmtId="38" fontId="164" fillId="0" borderId="46" xfId="4" applyNumberFormat="1" applyFont="1" applyFill="1" applyBorder="1" applyAlignment="1" applyProtection="1">
      <alignment horizontal="right" vertical="center"/>
    </xf>
    <xf numFmtId="0" fontId="104" fillId="0" borderId="25" xfId="9" applyNumberFormat="1" applyFont="1" applyFill="1" applyBorder="1" applyAlignment="1" applyProtection="1">
      <alignment horizontal="right" vertical="center"/>
    </xf>
    <xf numFmtId="0" fontId="104" fillId="0" borderId="45" xfId="9" applyNumberFormat="1" applyFont="1" applyFill="1" applyBorder="1" applyAlignment="1" applyProtection="1">
      <alignment horizontal="right" vertical="center"/>
    </xf>
    <xf numFmtId="0" fontId="104" fillId="0" borderId="46" xfId="9" applyNumberFormat="1" applyFont="1" applyFill="1" applyBorder="1" applyAlignment="1" applyProtection="1">
      <alignment horizontal="right" vertical="center"/>
    </xf>
    <xf numFmtId="0" fontId="163" fillId="20" borderId="25" xfId="9" applyNumberFormat="1" applyFont="1" applyFill="1" applyBorder="1" applyAlignment="1" applyProtection="1">
      <alignment horizontal="center" vertical="center"/>
    </xf>
    <xf numFmtId="0" fontId="163" fillId="20" borderId="45" xfId="9" applyNumberFormat="1" applyFont="1" applyFill="1" applyBorder="1" applyAlignment="1" applyProtection="1">
      <alignment horizontal="center" vertical="center"/>
    </xf>
    <xf numFmtId="0" fontId="153" fillId="17" borderId="99" xfId="9" applyFont="1" applyFill="1" applyBorder="1" applyAlignment="1" applyProtection="1">
      <alignment horizontal="left" vertical="center" indent="1"/>
    </xf>
    <xf numFmtId="0" fontId="153" fillId="17" borderId="96" xfId="9" applyFont="1" applyFill="1" applyBorder="1" applyAlignment="1" applyProtection="1">
      <alignment horizontal="left" vertical="center" indent="1"/>
    </xf>
    <xf numFmtId="49" fontId="153" fillId="17" borderId="96" xfId="9" applyNumberFormat="1" applyFont="1" applyFill="1" applyBorder="1" applyAlignment="1" applyProtection="1">
      <alignment horizontal="center" vertical="top" wrapText="1"/>
    </xf>
    <xf numFmtId="0" fontId="153" fillId="17" borderId="96" xfId="9" applyNumberFormat="1" applyFont="1" applyFill="1" applyBorder="1" applyAlignment="1" applyProtection="1">
      <alignment horizontal="center" vertical="top" wrapText="1"/>
    </xf>
    <xf numFmtId="0" fontId="153" fillId="17" borderId="97" xfId="9" applyNumberFormat="1" applyFont="1" applyFill="1" applyBorder="1" applyAlignment="1" applyProtection="1">
      <alignment horizontal="center" vertical="top" wrapText="1"/>
    </xf>
    <xf numFmtId="195" fontId="93" fillId="0" borderId="24" xfId="9" applyNumberFormat="1" applyFont="1" applyFill="1" applyBorder="1" applyAlignment="1" applyProtection="1">
      <alignment horizontal="left" vertical="center" indent="1"/>
    </xf>
    <xf numFmtId="0" fontId="95" fillId="18" borderId="99" xfId="9" applyFont="1" applyFill="1" applyBorder="1" applyAlignment="1" applyProtection="1">
      <alignment horizontal="right" vertical="center" indent="3"/>
    </xf>
    <xf numFmtId="0" fontId="95" fillId="18" borderId="96" xfId="9" applyFont="1" applyFill="1" applyBorder="1" applyAlignment="1" applyProtection="1">
      <alignment horizontal="right" vertical="center" indent="3"/>
    </xf>
    <xf numFmtId="195" fontId="95" fillId="18" borderId="96" xfId="9" applyNumberFormat="1" applyFont="1" applyFill="1" applyBorder="1" applyAlignment="1" applyProtection="1">
      <alignment horizontal="left" vertical="center" indent="1"/>
    </xf>
    <xf numFmtId="195" fontId="95" fillId="18" borderId="97" xfId="9" applyNumberFormat="1" applyFont="1" applyFill="1" applyBorder="1" applyAlignment="1" applyProtection="1">
      <alignment horizontal="left" vertical="center" indent="1"/>
    </xf>
    <xf numFmtId="195" fontId="93" fillId="0" borderId="1" xfId="9" applyNumberFormat="1" applyFont="1" applyFill="1" applyBorder="1" applyAlignment="1" applyProtection="1">
      <alignment horizontal="left" vertical="center" indent="1"/>
    </xf>
    <xf numFmtId="195" fontId="100" fillId="0" borderId="1" xfId="0" applyNumberFormat="1" applyFont="1" applyFill="1" applyBorder="1" applyAlignment="1" applyProtection="1">
      <alignment horizontal="left" vertical="center" indent="1"/>
      <protection locked="0"/>
    </xf>
    <xf numFmtId="9" fontId="161" fillId="4" borderId="25" xfId="17" applyFont="1" applyFill="1" applyBorder="1" applyAlignment="1" applyProtection="1">
      <alignment horizontal="center" vertical="center"/>
    </xf>
    <xf numFmtId="9" fontId="161" fillId="4" borderId="45" xfId="17" applyFont="1" applyFill="1" applyBorder="1" applyAlignment="1" applyProtection="1">
      <alignment horizontal="center" vertical="center"/>
    </xf>
    <xf numFmtId="9" fontId="161" fillId="4" borderId="46" xfId="17" applyFont="1" applyFill="1" applyBorder="1" applyAlignment="1" applyProtection="1">
      <alignment horizontal="center" vertical="center"/>
    </xf>
    <xf numFmtId="9" fontId="133" fillId="4" borderId="25" xfId="17" applyFont="1" applyFill="1" applyBorder="1" applyAlignment="1" applyProtection="1">
      <alignment horizontal="center" vertical="center"/>
      <protection locked="0"/>
    </xf>
    <xf numFmtId="9" fontId="133" fillId="4" borderId="45" xfId="17" applyFont="1" applyFill="1" applyBorder="1" applyAlignment="1" applyProtection="1">
      <alignment horizontal="center" vertical="center"/>
      <protection locked="0"/>
    </xf>
    <xf numFmtId="9" fontId="133" fillId="4" borderId="46" xfId="17" applyFont="1" applyFill="1" applyBorder="1" applyAlignment="1" applyProtection="1">
      <alignment horizontal="center" vertical="center"/>
      <protection locked="0"/>
    </xf>
    <xf numFmtId="195" fontId="93" fillId="20" borderId="1" xfId="9" applyNumberFormat="1" applyFont="1" applyFill="1" applyBorder="1" applyAlignment="1" applyProtection="1">
      <alignment horizontal="left" vertical="center" indent="1"/>
    </xf>
    <xf numFmtId="49" fontId="100" fillId="0" borderId="24" xfId="0" quotePrefix="1" applyNumberFormat="1" applyFont="1" applyFill="1" applyBorder="1" applyAlignment="1" applyProtection="1">
      <alignment horizontal="left" vertical="center" indent="1"/>
      <protection locked="0"/>
    </xf>
    <xf numFmtId="49" fontId="100" fillId="0" borderId="24" xfId="0" applyNumberFormat="1" applyFont="1" applyFill="1" applyBorder="1" applyAlignment="1" applyProtection="1">
      <alignment horizontal="left" vertical="center" indent="1"/>
      <protection locked="0"/>
    </xf>
    <xf numFmtId="49" fontId="153" fillId="17" borderId="96" xfId="0" applyNumberFormat="1" applyFont="1" applyFill="1" applyBorder="1" applyAlignment="1" applyProtection="1">
      <alignment horizontal="center" vertical="top" wrapText="1"/>
    </xf>
    <xf numFmtId="0" fontId="153" fillId="17" borderId="96" xfId="0" applyNumberFormat="1" applyFont="1" applyFill="1" applyBorder="1" applyAlignment="1" applyProtection="1">
      <alignment horizontal="center" vertical="top" wrapText="1"/>
    </xf>
    <xf numFmtId="0" fontId="153" fillId="17" borderId="97" xfId="0" applyNumberFormat="1" applyFont="1" applyFill="1" applyBorder="1" applyAlignment="1" applyProtection="1">
      <alignment horizontal="center" vertical="top" wrapText="1"/>
    </xf>
    <xf numFmtId="0" fontId="93" fillId="0" borderId="24" xfId="9" applyNumberFormat="1" applyFont="1" applyFill="1" applyBorder="1" applyAlignment="1" applyProtection="1">
      <alignment horizontal="left" vertical="center" indent="1"/>
    </xf>
    <xf numFmtId="0" fontId="100" fillId="0" borderId="1" xfId="0" quotePrefix="1" applyFont="1" applyFill="1" applyBorder="1" applyAlignment="1" applyProtection="1">
      <alignment horizontal="left" vertical="center" indent="1"/>
      <protection locked="0"/>
    </xf>
    <xf numFmtId="0" fontId="100" fillId="0" borderId="1" xfId="0" applyFont="1" applyFill="1" applyBorder="1" applyAlignment="1" applyProtection="1">
      <alignment horizontal="left" vertical="center" indent="1"/>
      <protection locked="0"/>
    </xf>
    <xf numFmtId="0" fontId="93" fillId="0" borderId="1" xfId="9" applyNumberFormat="1" applyFont="1" applyFill="1" applyBorder="1" applyAlignment="1" applyProtection="1">
      <alignment horizontal="left" vertical="center" indent="1"/>
    </xf>
    <xf numFmtId="49" fontId="100" fillId="0" borderId="1" xfId="0" quotePrefix="1" applyNumberFormat="1" applyFont="1" applyFill="1" applyBorder="1" applyAlignment="1" applyProtection="1">
      <alignment horizontal="left" vertical="center" indent="1"/>
      <protection locked="0"/>
    </xf>
    <xf numFmtId="49" fontId="100" fillId="0" borderId="1" xfId="0" applyNumberFormat="1" applyFont="1" applyFill="1" applyBorder="1" applyAlignment="1" applyProtection="1">
      <alignment horizontal="left" vertical="center" indent="1"/>
      <protection locked="0"/>
    </xf>
    <xf numFmtId="0" fontId="100" fillId="4" borderId="1" xfId="9" applyFont="1" applyFill="1" applyBorder="1" applyAlignment="1" applyProtection="1">
      <alignment horizontal="left" vertical="center" indent="1"/>
      <protection locked="0"/>
    </xf>
    <xf numFmtId="0" fontId="93" fillId="0" borderId="1" xfId="9" quotePrefix="1" applyNumberFormat="1" applyFont="1" applyFill="1" applyBorder="1" applyAlignment="1" applyProtection="1">
      <alignment horizontal="left" vertical="center" indent="1"/>
    </xf>
    <xf numFmtId="194" fontId="100" fillId="0" borderId="1" xfId="0" applyNumberFormat="1" applyFont="1" applyFill="1" applyBorder="1" applyAlignment="1" applyProtection="1">
      <alignment horizontal="left" vertical="center" indent="1"/>
      <protection locked="0"/>
    </xf>
    <xf numFmtId="49" fontId="100" fillId="4" borderId="1" xfId="9" applyNumberFormat="1" applyFont="1" applyFill="1" applyBorder="1" applyAlignment="1" applyProtection="1">
      <alignment horizontal="left" vertical="center" indent="1"/>
      <protection locked="0"/>
    </xf>
    <xf numFmtId="49" fontId="100" fillId="0" borderId="48" xfId="0" applyNumberFormat="1" applyFont="1" applyFill="1" applyBorder="1" applyAlignment="1" applyProtection="1">
      <alignment horizontal="left" vertical="center" indent="1"/>
      <protection locked="0"/>
    </xf>
    <xf numFmtId="0" fontId="98" fillId="20" borderId="32" xfId="0" applyNumberFormat="1" applyFont="1" applyFill="1" applyBorder="1" applyAlignment="1" applyProtection="1">
      <alignment horizontal="center" vertical="center"/>
      <protection locked="0"/>
    </xf>
    <xf numFmtId="0" fontId="133" fillId="20" borderId="34" xfId="0" applyNumberFormat="1" applyFont="1" applyFill="1" applyBorder="1"/>
    <xf numFmtId="184" fontId="100" fillId="0" borderId="32" xfId="0" applyNumberFormat="1" applyFont="1" applyFill="1" applyBorder="1" applyAlignment="1" applyProtection="1">
      <alignment horizontal="center" vertical="center"/>
      <protection locked="0"/>
    </xf>
    <xf numFmtId="0" fontId="0" fillId="0" borderId="33" xfId="0" applyBorder="1"/>
    <xf numFmtId="0" fontId="0" fillId="0" borderId="34" xfId="0" applyBorder="1"/>
    <xf numFmtId="194" fontId="93" fillId="0" borderId="1" xfId="9" applyNumberFormat="1" applyFont="1" applyFill="1" applyBorder="1" applyAlignment="1" applyProtection="1">
      <alignment horizontal="left" vertical="center" indent="1"/>
    </xf>
    <xf numFmtId="0" fontId="93" fillId="0" borderId="48" xfId="9" applyNumberFormat="1" applyFont="1" applyFill="1" applyBorder="1" applyAlignment="1" applyProtection="1">
      <alignment horizontal="left" vertical="center" indent="1"/>
    </xf>
    <xf numFmtId="184" fontId="93" fillId="0" borderId="24" xfId="9" applyNumberFormat="1" applyFont="1" applyFill="1" applyBorder="1" applyAlignment="1" applyProtection="1">
      <alignment horizontal="left" vertical="center" indent="1"/>
    </xf>
    <xf numFmtId="184" fontId="100" fillId="0" borderId="24" xfId="0" applyNumberFormat="1" applyFont="1" applyFill="1" applyBorder="1" applyAlignment="1" applyProtection="1">
      <alignment horizontal="left" vertical="center" indent="1"/>
      <protection locked="0"/>
    </xf>
    <xf numFmtId="0" fontId="95" fillId="20" borderId="32" xfId="9" applyNumberFormat="1" applyFont="1" applyFill="1" applyBorder="1" applyAlignment="1" applyProtection="1">
      <alignment horizontal="left" vertical="center" indent="1"/>
    </xf>
    <xf numFmtId="0" fontId="95" fillId="20" borderId="33" xfId="9" applyNumberFormat="1" applyFont="1" applyFill="1" applyBorder="1" applyAlignment="1" applyProtection="1">
      <alignment horizontal="left" vertical="center" indent="1"/>
    </xf>
    <xf numFmtId="0" fontId="95" fillId="20" borderId="34" xfId="9" applyNumberFormat="1" applyFont="1" applyFill="1" applyBorder="1" applyAlignment="1" applyProtection="1">
      <alignment horizontal="left" vertical="center" indent="1"/>
    </xf>
    <xf numFmtId="184" fontId="93" fillId="0" borderId="32" xfId="9" applyNumberFormat="1" applyFont="1" applyFill="1" applyBorder="1" applyAlignment="1" applyProtection="1">
      <alignment horizontal="center" vertical="center"/>
    </xf>
    <xf numFmtId="0" fontId="28" fillId="0" borderId="33" xfId="9" applyBorder="1"/>
    <xf numFmtId="0" fontId="28" fillId="0" borderId="34" xfId="9" applyBorder="1"/>
    <xf numFmtId="184" fontId="93" fillId="0" borderId="1" xfId="9" applyNumberFormat="1" applyFont="1" applyFill="1" applyBorder="1" applyAlignment="1" applyProtection="1">
      <alignment horizontal="left" vertical="center" indent="1"/>
    </xf>
    <xf numFmtId="184" fontId="100" fillId="0" borderId="1" xfId="0" applyNumberFormat="1" applyFont="1" applyFill="1" applyBorder="1" applyAlignment="1" applyProtection="1">
      <alignment horizontal="left" vertical="center" indent="1"/>
      <protection locked="0"/>
    </xf>
    <xf numFmtId="49" fontId="93" fillId="0" borderId="1" xfId="9" applyNumberFormat="1" applyFont="1" applyFill="1" applyBorder="1" applyAlignment="1" applyProtection="1">
      <alignment horizontal="left" vertical="center" indent="1"/>
    </xf>
    <xf numFmtId="0" fontId="100" fillId="0" borderId="24" xfId="9" quotePrefix="1" applyFont="1" applyFill="1" applyBorder="1" applyAlignment="1" applyProtection="1">
      <alignment horizontal="center" vertical="top"/>
      <protection locked="0"/>
    </xf>
    <xf numFmtId="0" fontId="95" fillId="18" borderId="25" xfId="9" applyFont="1" applyFill="1" applyBorder="1" applyAlignment="1" applyProtection="1">
      <alignment horizontal="left" vertical="center" indent="1"/>
    </xf>
    <xf numFmtId="0" fontId="95" fillId="18" borderId="45" xfId="9" applyFont="1" applyFill="1" applyBorder="1" applyAlignment="1" applyProtection="1">
      <alignment horizontal="left" vertical="center" indent="1"/>
    </xf>
    <xf numFmtId="49" fontId="95" fillId="18" borderId="45" xfId="9" applyNumberFormat="1" applyFont="1" applyFill="1" applyBorder="1" applyAlignment="1" applyProtection="1">
      <alignment horizontal="center" vertical="top" wrapText="1"/>
    </xf>
    <xf numFmtId="49" fontId="95" fillId="18" borderId="46" xfId="9" applyNumberFormat="1" applyFont="1" applyFill="1" applyBorder="1" applyAlignment="1" applyProtection="1">
      <alignment horizontal="center" vertical="top" wrapText="1"/>
    </xf>
    <xf numFmtId="0" fontId="104" fillId="0" borderId="24" xfId="9" applyNumberFormat="1" applyFont="1" applyFill="1" applyBorder="1" applyAlignment="1" applyProtection="1">
      <alignment horizontal="left" vertical="top" indent="1"/>
    </xf>
    <xf numFmtId="9" fontId="98" fillId="0" borderId="1" xfId="17" applyNumberFormat="1" applyFont="1" applyFill="1" applyBorder="1" applyAlignment="1" applyProtection="1">
      <alignment horizontal="center" vertical="center"/>
      <protection locked="0"/>
    </xf>
    <xf numFmtId="0" fontId="104" fillId="0" borderId="1" xfId="9" applyNumberFormat="1" applyFont="1" applyFill="1" applyBorder="1" applyAlignment="1" applyProtection="1">
      <alignment horizontal="left" vertical="center" indent="1"/>
    </xf>
    <xf numFmtId="9" fontId="98" fillId="0" borderId="25" xfId="17" applyNumberFormat="1" applyFont="1" applyFill="1" applyBorder="1" applyAlignment="1" applyProtection="1">
      <alignment horizontal="center" vertical="center"/>
      <protection locked="0"/>
    </xf>
    <xf numFmtId="9" fontId="98" fillId="0" borderId="45" xfId="17" applyNumberFormat="1" applyFont="1" applyFill="1" applyBorder="1" applyAlignment="1" applyProtection="1">
      <alignment horizontal="center" vertical="center"/>
      <protection locked="0"/>
    </xf>
    <xf numFmtId="9" fontId="98" fillId="0" borderId="46" xfId="17" applyNumberFormat="1" applyFont="1" applyFill="1" applyBorder="1" applyAlignment="1" applyProtection="1">
      <alignment horizontal="center" vertical="center"/>
      <protection locked="0"/>
    </xf>
    <xf numFmtId="195" fontId="100" fillId="0" borderId="25" xfId="0" applyNumberFormat="1" applyFont="1" applyFill="1" applyBorder="1" applyAlignment="1" applyProtection="1">
      <alignment horizontal="left" vertical="center" indent="1"/>
      <protection locked="0"/>
    </xf>
    <xf numFmtId="195" fontId="100" fillId="0" borderId="45" xfId="0" applyNumberFormat="1" applyFont="1" applyFill="1" applyBorder="1" applyAlignment="1" applyProtection="1">
      <alignment horizontal="left" vertical="center" indent="1"/>
      <protection locked="0"/>
    </xf>
    <xf numFmtId="195" fontId="100" fillId="0" borderId="46" xfId="0" applyNumberFormat="1" applyFont="1" applyFill="1" applyBorder="1" applyAlignment="1" applyProtection="1">
      <alignment horizontal="left" vertical="center" indent="1"/>
      <protection locked="0"/>
    </xf>
    <xf numFmtId="194" fontId="100" fillId="0" borderId="25" xfId="0" applyNumberFormat="1" applyFont="1" applyFill="1" applyBorder="1" applyAlignment="1" applyProtection="1">
      <alignment horizontal="left" vertical="center" indent="1"/>
      <protection locked="0"/>
    </xf>
    <xf numFmtId="194" fontId="100" fillId="0" borderId="45" xfId="0" applyNumberFormat="1" applyFont="1" applyFill="1" applyBorder="1" applyAlignment="1" applyProtection="1">
      <alignment horizontal="left" vertical="center" indent="1"/>
      <protection locked="0"/>
    </xf>
    <xf numFmtId="194" fontId="100" fillId="0" borderId="46" xfId="0" applyNumberFormat="1" applyFont="1" applyFill="1" applyBorder="1" applyAlignment="1" applyProtection="1">
      <alignment horizontal="left" vertical="center" indent="1"/>
      <protection locked="0"/>
    </xf>
    <xf numFmtId="0" fontId="104" fillId="0" borderId="1" xfId="9" applyNumberFormat="1" applyFont="1" applyFill="1" applyBorder="1" applyAlignment="1" applyProtection="1">
      <alignment horizontal="left" vertical="top" wrapText="1" indent="1"/>
    </xf>
    <xf numFmtId="0" fontId="100" fillId="0" borderId="25" xfId="0" applyFont="1" applyFill="1" applyBorder="1" applyAlignment="1" applyProtection="1">
      <alignment horizontal="left" vertical="top" wrapText="1" indent="1"/>
      <protection locked="0"/>
    </xf>
    <xf numFmtId="0" fontId="100" fillId="0" borderId="45" xfId="0" applyFont="1" applyFill="1" applyBorder="1" applyAlignment="1" applyProtection="1">
      <alignment horizontal="left" vertical="top" wrapText="1" indent="1"/>
      <protection locked="0"/>
    </xf>
    <xf numFmtId="0" fontId="100" fillId="0" borderId="46" xfId="0" applyFont="1" applyFill="1" applyBorder="1" applyAlignment="1" applyProtection="1">
      <alignment horizontal="left" vertical="top" wrapText="1" indent="1"/>
      <protection locked="0"/>
    </xf>
    <xf numFmtId="0" fontId="100" fillId="0" borderId="25" xfId="0" quotePrefix="1" applyFont="1" applyFill="1" applyBorder="1" applyAlignment="1" applyProtection="1">
      <alignment horizontal="left" vertical="center" indent="1"/>
      <protection locked="0"/>
    </xf>
    <xf numFmtId="0" fontId="100" fillId="0" borderId="45" xfId="0" quotePrefix="1" applyFont="1" applyFill="1" applyBorder="1" applyAlignment="1" applyProtection="1">
      <alignment horizontal="left" vertical="center" indent="1"/>
      <protection locked="0"/>
    </xf>
    <xf numFmtId="0" fontId="100" fillId="0" borderId="46" xfId="0" quotePrefix="1" applyFont="1" applyFill="1" applyBorder="1" applyAlignment="1" applyProtection="1">
      <alignment horizontal="left" vertical="center" indent="1"/>
      <protection locked="0"/>
    </xf>
    <xf numFmtId="0" fontId="100" fillId="0" borderId="1" xfId="0" applyFont="1" applyFill="1" applyBorder="1" applyAlignment="1" applyProtection="1">
      <alignment horizontal="left" vertical="top" wrapText="1" indent="1"/>
      <protection locked="0"/>
    </xf>
    <xf numFmtId="0" fontId="100" fillId="0" borderId="25" xfId="0" applyFont="1" applyFill="1" applyBorder="1" applyAlignment="1" applyProtection="1">
      <alignment horizontal="left" vertical="center" indent="1"/>
      <protection locked="0"/>
    </xf>
    <xf numFmtId="0" fontId="100" fillId="0" borderId="45" xfId="0" applyFont="1" applyFill="1" applyBorder="1" applyAlignment="1" applyProtection="1">
      <alignment horizontal="left" vertical="center" indent="1"/>
      <protection locked="0"/>
    </xf>
    <xf numFmtId="0" fontId="100" fillId="0" borderId="46" xfId="0" applyFont="1" applyFill="1" applyBorder="1" applyAlignment="1" applyProtection="1">
      <alignment horizontal="left" vertical="center" indent="1"/>
      <protection locked="0"/>
    </xf>
    <xf numFmtId="0" fontId="115" fillId="0" borderId="1" xfId="9" applyNumberFormat="1" applyFont="1" applyFill="1" applyBorder="1" applyAlignment="1" applyProtection="1">
      <alignment horizontal="left" vertical="center" indent="1"/>
    </xf>
    <xf numFmtId="49" fontId="104" fillId="0" borderId="1" xfId="9" applyNumberFormat="1" applyFont="1" applyFill="1" applyBorder="1" applyAlignment="1" applyProtection="1">
      <alignment horizontal="left" vertical="center" indent="1"/>
    </xf>
    <xf numFmtId="49" fontId="100" fillId="0" borderId="25" xfId="0" applyNumberFormat="1" applyFont="1" applyFill="1" applyBorder="1" applyAlignment="1" applyProtection="1">
      <alignment horizontal="left" vertical="center" indent="1"/>
      <protection locked="0"/>
    </xf>
    <xf numFmtId="49" fontId="100" fillId="0" borderId="45" xfId="0" applyNumberFormat="1" applyFont="1" applyFill="1" applyBorder="1" applyAlignment="1" applyProtection="1">
      <alignment horizontal="left" vertical="center" indent="1"/>
      <protection locked="0"/>
    </xf>
    <xf numFmtId="49" fontId="100" fillId="0" borderId="46" xfId="0" applyNumberFormat="1" applyFont="1" applyFill="1" applyBorder="1" applyAlignment="1" applyProtection="1">
      <alignment horizontal="left" vertical="center" indent="1"/>
      <protection locked="0"/>
    </xf>
    <xf numFmtId="49" fontId="156" fillId="10" borderId="25" xfId="9" applyNumberFormat="1" applyFont="1" applyFill="1" applyBorder="1" applyAlignment="1" applyProtection="1">
      <alignment horizontal="center" vertical="center" wrapText="1"/>
      <protection locked="0"/>
    </xf>
    <xf numFmtId="49" fontId="156" fillId="10" borderId="45" xfId="9" applyNumberFormat="1" applyFont="1" applyFill="1" applyBorder="1" applyAlignment="1" applyProtection="1">
      <alignment horizontal="center" vertical="center" wrapText="1"/>
      <protection locked="0"/>
    </xf>
    <xf numFmtId="49" fontId="156" fillId="10" borderId="46" xfId="9" applyNumberFormat="1" applyFont="1" applyFill="1" applyBorder="1" applyAlignment="1" applyProtection="1">
      <alignment horizontal="center" vertical="center" wrapText="1"/>
      <protection locked="0"/>
    </xf>
    <xf numFmtId="0" fontId="158" fillId="0" borderId="25" xfId="9" applyNumberFormat="1" applyFont="1" applyFill="1" applyBorder="1" applyAlignment="1" applyProtection="1">
      <alignment horizontal="center" vertical="center" wrapText="1"/>
      <protection locked="0"/>
    </xf>
    <xf numFmtId="0" fontId="133" fillId="0" borderId="45" xfId="9" applyNumberFormat="1" applyFont="1" applyFill="1" applyBorder="1" applyAlignment="1" applyProtection="1">
      <alignment horizontal="center" vertical="center" wrapText="1"/>
      <protection locked="0"/>
    </xf>
    <xf numFmtId="0" fontId="133" fillId="0" borderId="46" xfId="9" applyNumberFormat="1" applyFont="1" applyFill="1" applyBorder="1" applyAlignment="1" applyProtection="1">
      <alignment horizontal="center" vertical="center" wrapText="1"/>
      <protection locked="0"/>
    </xf>
    <xf numFmtId="0" fontId="159" fillId="0" borderId="1" xfId="8" quotePrefix="1" applyFill="1" applyBorder="1" applyAlignment="1" applyProtection="1">
      <alignment horizontal="left" vertical="center" wrapText="1" indent="1"/>
      <protection locked="0"/>
    </xf>
    <xf numFmtId="0" fontId="160" fillId="0" borderId="1" xfId="9" applyFont="1" applyFill="1" applyBorder="1" applyAlignment="1" applyProtection="1">
      <alignment horizontal="left" vertical="center" wrapText="1" indent="1"/>
      <protection locked="0"/>
    </xf>
    <xf numFmtId="0" fontId="159" fillId="0" borderId="1" xfId="8" applyFill="1" applyBorder="1" applyAlignment="1" applyProtection="1">
      <alignment horizontal="left" vertical="center" wrapText="1" indent="1"/>
      <protection locked="0"/>
    </xf>
    <xf numFmtId="49" fontId="155" fillId="24" borderId="25" xfId="9" applyNumberFormat="1" applyFont="1" applyFill="1" applyBorder="1" applyAlignment="1" applyProtection="1">
      <alignment horizontal="center" vertical="center" wrapText="1"/>
      <protection locked="0"/>
    </xf>
    <xf numFmtId="49" fontId="155" fillId="24" borderId="45" xfId="9" applyNumberFormat="1" applyFont="1" applyFill="1" applyBorder="1" applyAlignment="1" applyProtection="1">
      <alignment horizontal="center" vertical="center" wrapText="1"/>
      <protection locked="0"/>
    </xf>
    <xf numFmtId="49" fontId="155" fillId="24" borderId="46" xfId="9" applyNumberFormat="1" applyFont="1" applyFill="1" applyBorder="1" applyAlignment="1" applyProtection="1">
      <alignment horizontal="center" vertical="center" wrapText="1"/>
      <protection locked="0"/>
    </xf>
    <xf numFmtId="49" fontId="153" fillId="17" borderId="96" xfId="9" applyNumberFormat="1" applyFont="1" applyFill="1" applyBorder="1" applyAlignment="1" applyProtection="1">
      <alignment horizontal="center" vertical="top" wrapText="1"/>
      <protection locked="0"/>
    </xf>
    <xf numFmtId="49" fontId="153" fillId="17" borderId="97" xfId="9" applyNumberFormat="1" applyFont="1" applyFill="1" applyBorder="1" applyAlignment="1" applyProtection="1">
      <alignment horizontal="center" vertical="top" wrapText="1"/>
      <protection locked="0"/>
    </xf>
    <xf numFmtId="0" fontId="153" fillId="17" borderId="25" xfId="9" applyFont="1" applyFill="1" applyBorder="1" applyAlignment="1" applyProtection="1">
      <alignment horizontal="center" vertical="center"/>
      <protection locked="0"/>
    </xf>
    <xf numFmtId="0" fontId="153" fillId="17" borderId="45" xfId="9" applyFont="1" applyFill="1" applyBorder="1" applyAlignment="1" applyProtection="1">
      <alignment horizontal="center" vertical="center"/>
      <protection locked="0"/>
    </xf>
    <xf numFmtId="0" fontId="153" fillId="17" borderId="98" xfId="9" applyFont="1" applyFill="1" applyBorder="1" applyAlignment="1" applyProtection="1">
      <alignment horizontal="center" vertical="center"/>
      <protection locked="0"/>
    </xf>
    <xf numFmtId="0" fontId="154" fillId="0" borderId="73" xfId="9" applyFont="1" applyFill="1" applyBorder="1" applyAlignment="1" applyProtection="1">
      <alignment horizontal="center" vertical="center" wrapText="1"/>
      <protection locked="0"/>
    </xf>
    <xf numFmtId="0" fontId="154" fillId="0" borderId="72" xfId="9" applyFont="1" applyFill="1" applyBorder="1" applyAlignment="1" applyProtection="1">
      <alignment horizontal="center" vertical="center" wrapText="1"/>
      <protection locked="0"/>
    </xf>
    <xf numFmtId="0" fontId="154" fillId="0" borderId="67" xfId="9" applyFont="1" applyFill="1" applyBorder="1" applyAlignment="1" applyProtection="1">
      <alignment horizontal="center" vertical="center" wrapText="1"/>
      <protection locked="0"/>
    </xf>
    <xf numFmtId="0" fontId="154" fillId="0" borderId="27" xfId="9" applyFont="1" applyFill="1" applyBorder="1" applyAlignment="1" applyProtection="1">
      <alignment horizontal="center" vertical="center" wrapText="1"/>
      <protection locked="0"/>
    </xf>
    <xf numFmtId="0" fontId="154" fillId="0" borderId="65" xfId="9" applyFont="1" applyFill="1" applyBorder="1" applyAlignment="1" applyProtection="1">
      <alignment horizontal="center" vertical="center" wrapText="1"/>
      <protection locked="0"/>
    </xf>
    <xf numFmtId="0" fontId="154" fillId="0" borderId="66" xfId="9" applyFont="1" applyFill="1" applyBorder="1" applyAlignment="1" applyProtection="1">
      <alignment horizontal="center" vertical="center" wrapText="1"/>
      <protection locked="0"/>
    </xf>
    <xf numFmtId="0" fontId="104" fillId="11" borderId="25" xfId="17" applyNumberFormat="1" applyFont="1" applyFill="1" applyBorder="1" applyAlignment="1" applyProtection="1">
      <alignment horizontal="center" vertical="center"/>
      <protection locked="0"/>
    </xf>
    <xf numFmtId="0" fontId="245" fillId="15" borderId="65" xfId="9" applyFont="1" applyFill="1" applyBorder="1" applyAlignment="1" applyProtection="1">
      <alignment horizontal="center" vertical="top" wrapText="1"/>
    </xf>
    <xf numFmtId="10" fontId="98" fillId="20" borderId="48" xfId="16" applyNumberFormat="1" applyFont="1" applyFill="1" applyBorder="1" applyAlignment="1" applyProtection="1">
      <alignment horizontal="center" vertical="center"/>
      <protection locked="0"/>
    </xf>
    <xf numFmtId="0" fontId="5" fillId="2" borderId="118" xfId="0" applyFont="1" applyFill="1" applyBorder="1" applyAlignment="1">
      <alignment horizontal="left" vertical="center" indent="1"/>
    </xf>
    <xf numFmtId="0" fontId="64" fillId="18" borderId="118" xfId="0" applyFont="1" applyFill="1" applyBorder="1" applyAlignment="1">
      <alignment vertical="center"/>
    </xf>
    <xf numFmtId="0" fontId="10" fillId="9" borderId="118" xfId="0" quotePrefix="1" applyFont="1" applyFill="1" applyBorder="1" applyAlignment="1">
      <alignment horizontal="left" vertical="center"/>
    </xf>
    <xf numFmtId="0" fontId="10" fillId="9" borderId="118" xfId="0" applyFont="1" applyFill="1" applyBorder="1" applyAlignment="1">
      <alignment horizontal="left" vertical="center"/>
    </xf>
    <xf numFmtId="9" fontId="10" fillId="9" borderId="118" xfId="16" applyNumberFormat="1" applyFont="1" applyFill="1" applyBorder="1" applyAlignment="1">
      <alignment horizontal="center" vertical="center"/>
    </xf>
    <xf numFmtId="179" fontId="10" fillId="9" borderId="118" xfId="0" applyNumberFormat="1" applyFont="1" applyFill="1" applyBorder="1" applyAlignment="1">
      <alignment horizontal="right" vertical="center"/>
    </xf>
    <xf numFmtId="179" fontId="10" fillId="9" borderId="118" xfId="0" applyNumberFormat="1" applyFont="1" applyFill="1" applyBorder="1" applyAlignment="1">
      <alignment horizontal="right"/>
    </xf>
    <xf numFmtId="0" fontId="5" fillId="26" borderId="118" xfId="0" applyFont="1" applyFill="1" applyBorder="1" applyAlignment="1">
      <alignment horizontal="center" vertical="center" textRotation="90" wrapText="1"/>
    </xf>
    <xf numFmtId="178" fontId="10" fillId="3" borderId="119" xfId="0" applyNumberFormat="1" applyFont="1" applyFill="1" applyBorder="1" applyAlignment="1" applyProtection="1">
      <alignment horizontal="left" vertical="center"/>
      <protection locked="0"/>
    </xf>
    <xf numFmtId="178" fontId="10" fillId="3" borderId="120" xfId="0" applyNumberFormat="1" applyFont="1" applyFill="1" applyBorder="1" applyAlignment="1" applyProtection="1">
      <alignment horizontal="left" vertical="center"/>
      <protection locked="0"/>
    </xf>
    <xf numFmtId="178" fontId="10" fillId="3" borderId="121" xfId="0" applyNumberFormat="1" applyFont="1" applyFill="1" applyBorder="1" applyAlignment="1" applyProtection="1">
      <alignment horizontal="left" vertical="center"/>
      <protection locked="0"/>
    </xf>
    <xf numFmtId="176" fontId="10" fillId="9" borderId="118" xfId="16" applyNumberFormat="1" applyFont="1" applyFill="1" applyBorder="1" applyAlignment="1">
      <alignment vertical="center"/>
    </xf>
    <xf numFmtId="0" fontId="83" fillId="4" borderId="118" xfId="0" applyNumberFormat="1" applyFont="1" applyFill="1" applyBorder="1" applyAlignment="1">
      <alignment horizontal="center" vertical="center"/>
    </xf>
    <xf numFmtId="0" fontId="5" fillId="2" borderId="118" xfId="0" applyNumberFormat="1" applyFont="1" applyFill="1" applyBorder="1" applyAlignment="1">
      <alignment horizontal="center" vertical="center" wrapText="1"/>
    </xf>
    <xf numFmtId="0" fontId="5" fillId="2" borderId="118" xfId="0" applyNumberFormat="1" applyFont="1" applyFill="1" applyBorder="1" applyAlignment="1">
      <alignment horizontal="center" vertical="center"/>
    </xf>
    <xf numFmtId="40" fontId="10" fillId="9" borderId="118" xfId="0" applyNumberFormat="1" applyFont="1" applyFill="1" applyBorder="1" applyAlignment="1">
      <alignment horizontal="center" vertical="center"/>
    </xf>
    <xf numFmtId="38" fontId="5" fillId="25" borderId="118" xfId="0" applyNumberFormat="1" applyFont="1" applyFill="1" applyBorder="1" applyAlignment="1">
      <alignment horizontal="right" vertical="center" indent="1"/>
    </xf>
    <xf numFmtId="0" fontId="69" fillId="25" borderId="118" xfId="0" quotePrefix="1" applyFont="1" applyFill="1" applyBorder="1" applyAlignment="1">
      <alignment horizontal="center" vertical="center"/>
    </xf>
    <xf numFmtId="0" fontId="69" fillId="25" borderId="118" xfId="0" applyFont="1" applyFill="1" applyBorder="1" applyAlignment="1">
      <alignment horizontal="center" vertical="center"/>
    </xf>
    <xf numFmtId="0" fontId="5" fillId="26" borderId="118" xfId="0" applyFont="1" applyFill="1" applyBorder="1" applyAlignment="1">
      <alignment horizontal="center" vertical="center"/>
    </xf>
    <xf numFmtId="0" fontId="5" fillId="26" borderId="118" xfId="0" applyFont="1" applyFill="1" applyBorder="1" applyAlignment="1">
      <alignment horizontal="center" vertical="center" wrapText="1"/>
    </xf>
    <xf numFmtId="0" fontId="81" fillId="26" borderId="118" xfId="0" applyFont="1" applyFill="1" applyBorder="1" applyAlignment="1" applyProtection="1">
      <alignment horizontal="center" vertical="center" wrapText="1"/>
      <protection locked="0"/>
    </xf>
    <xf numFmtId="0" fontId="5" fillId="2" borderId="118" xfId="0" applyFont="1" applyFill="1" applyBorder="1" applyAlignment="1">
      <alignment horizontal="center" vertical="center"/>
    </xf>
    <xf numFmtId="179" fontId="10" fillId="11" borderId="118" xfId="0" applyNumberFormat="1" applyFont="1" applyFill="1" applyBorder="1" applyAlignment="1">
      <alignment horizontal="right" vertical="center"/>
    </xf>
    <xf numFmtId="179" fontId="10" fillId="11" borderId="118" xfId="0" applyNumberFormat="1" applyFont="1" applyFill="1" applyBorder="1" applyAlignment="1">
      <alignment horizontal="right"/>
    </xf>
    <xf numFmtId="9" fontId="10" fillId="11" borderId="118" xfId="16" applyNumberFormat="1" applyFont="1" applyFill="1" applyBorder="1" applyAlignment="1">
      <alignment horizontal="center" vertical="center"/>
    </xf>
    <xf numFmtId="0" fontId="10" fillId="11" borderId="118" xfId="0" applyFont="1" applyFill="1" applyBorder="1" applyAlignment="1" applyProtection="1">
      <alignment horizontal="left" vertical="center"/>
      <protection locked="0"/>
    </xf>
    <xf numFmtId="0" fontId="30" fillId="25" borderId="118" xfId="0" applyFont="1" applyFill="1" applyBorder="1" applyAlignment="1" applyProtection="1">
      <alignment horizontal="center" vertical="center" wrapText="1"/>
    </xf>
    <xf numFmtId="0" fontId="30" fillId="26" borderId="118" xfId="0" applyFont="1" applyFill="1" applyBorder="1" applyAlignment="1" applyProtection="1">
      <alignment horizontal="center" vertical="center" wrapText="1"/>
    </xf>
    <xf numFmtId="38" fontId="62" fillId="25" borderId="118" xfId="0" applyNumberFormat="1" applyFont="1" applyFill="1" applyBorder="1" applyAlignment="1">
      <alignment horizontal="right" vertical="center" indent="1"/>
    </xf>
    <xf numFmtId="38" fontId="13" fillId="18" borderId="118" xfId="0" applyNumberFormat="1" applyFont="1" applyFill="1" applyBorder="1" applyAlignment="1">
      <alignment horizontal="right" vertical="center" indent="1"/>
    </xf>
    <xf numFmtId="38" fontId="5" fillId="17" borderId="118" xfId="0" applyNumberFormat="1" applyFont="1" applyFill="1" applyBorder="1" applyAlignment="1">
      <alignment horizontal="right" vertical="center" indent="1"/>
    </xf>
    <xf numFmtId="179" fontId="5" fillId="17" borderId="118" xfId="0" applyNumberFormat="1" applyFont="1" applyFill="1" applyBorder="1" applyAlignment="1">
      <alignment horizontal="right" vertical="center"/>
    </xf>
    <xf numFmtId="179" fontId="5" fillId="17" borderId="118" xfId="0" applyNumberFormat="1" applyFont="1" applyFill="1" applyBorder="1" applyAlignment="1"/>
    <xf numFmtId="0" fontId="76" fillId="9" borderId="119" xfId="0" applyFont="1" applyFill="1" applyBorder="1" applyAlignment="1">
      <alignment horizontal="center" vertical="center"/>
    </xf>
    <xf numFmtId="0" fontId="76" fillId="9" borderId="120" xfId="0" applyFont="1" applyFill="1" applyBorder="1" applyAlignment="1">
      <alignment horizontal="center" vertical="center"/>
    </xf>
    <xf numFmtId="0" fontId="76" fillId="9" borderId="121" xfId="0" applyFont="1" applyFill="1" applyBorder="1" applyAlignment="1">
      <alignment horizontal="center" vertical="center"/>
    </xf>
    <xf numFmtId="38" fontId="13" fillId="9" borderId="123" xfId="0" applyNumberFormat="1" applyFont="1" applyFill="1" applyBorder="1" applyAlignment="1">
      <alignment horizontal="right" vertical="center" indent="1"/>
    </xf>
    <xf numFmtId="179" fontId="13" fillId="9" borderId="123" xfId="0" applyNumberFormat="1" applyFont="1" applyFill="1" applyBorder="1" applyAlignment="1">
      <alignment horizontal="right" vertical="center"/>
    </xf>
    <xf numFmtId="179" fontId="13" fillId="9" borderId="123" xfId="0" applyNumberFormat="1" applyFont="1" applyFill="1" applyBorder="1" applyAlignment="1">
      <alignment horizontal="right"/>
    </xf>
    <xf numFmtId="38" fontId="5" fillId="2" borderId="118" xfId="0" applyNumberFormat="1" applyFont="1" applyFill="1" applyBorder="1" applyAlignment="1">
      <alignment horizontal="right" vertical="center" indent="1"/>
    </xf>
    <xf numFmtId="179" fontId="5" fillId="2" borderId="118" xfId="0" applyNumberFormat="1" applyFont="1" applyFill="1" applyBorder="1" applyAlignment="1">
      <alignment horizontal="right" vertical="center"/>
    </xf>
    <xf numFmtId="179" fontId="5" fillId="2" borderId="118" xfId="0" applyNumberFormat="1" applyFont="1" applyFill="1" applyBorder="1" applyAlignment="1">
      <alignment horizontal="right"/>
    </xf>
    <xf numFmtId="179" fontId="10" fillId="18" borderId="118" xfId="0" applyNumberFormat="1" applyFont="1" applyFill="1" applyBorder="1" applyAlignment="1">
      <alignment horizontal="right" vertical="center"/>
    </xf>
    <xf numFmtId="179" fontId="10" fillId="18" borderId="118" xfId="0" applyNumberFormat="1" applyFont="1" applyFill="1" applyBorder="1" applyAlignment="1">
      <alignment horizontal="right"/>
    </xf>
    <xf numFmtId="38" fontId="13" fillId="9" borderId="118" xfId="0" applyNumberFormat="1" applyFont="1" applyFill="1" applyBorder="1" applyAlignment="1">
      <alignment horizontal="right" vertical="center" indent="1"/>
    </xf>
    <xf numFmtId="176" fontId="27" fillId="18" borderId="118" xfId="17" applyNumberFormat="1" applyFont="1" applyFill="1" applyBorder="1" applyAlignment="1" applyProtection="1">
      <alignment horizontal="center" vertical="center"/>
      <protection locked="0"/>
    </xf>
    <xf numFmtId="0" fontId="78" fillId="3" borderId="51" xfId="0" quotePrefix="1" applyFont="1" applyFill="1" applyBorder="1" applyAlignment="1" applyProtection="1">
      <alignment horizontal="center" vertical="center"/>
      <protection locked="0"/>
    </xf>
    <xf numFmtId="0" fontId="78" fillId="3" borderId="0" xfId="0" quotePrefix="1" applyFont="1" applyFill="1" applyBorder="1" applyAlignment="1" applyProtection="1">
      <alignment horizontal="center" vertical="center"/>
      <protection locked="0"/>
    </xf>
    <xf numFmtId="0" fontId="78" fillId="3" borderId="0" xfId="0" applyFont="1" applyFill="1" applyBorder="1" applyAlignment="1" applyProtection="1">
      <alignment horizontal="center" vertical="center"/>
      <protection locked="0"/>
    </xf>
    <xf numFmtId="38" fontId="13" fillId="18" borderId="119" xfId="0" applyNumberFormat="1" applyFont="1" applyFill="1" applyBorder="1" applyAlignment="1">
      <alignment horizontal="left" vertical="center" indent="1"/>
    </xf>
    <xf numFmtId="38" fontId="13" fillId="18" borderId="120" xfId="0" applyNumberFormat="1" applyFont="1" applyFill="1" applyBorder="1" applyAlignment="1">
      <alignment horizontal="left" vertical="center" indent="1"/>
    </xf>
    <xf numFmtId="38" fontId="13" fillId="18" borderId="121" xfId="0" applyNumberFormat="1" applyFont="1" applyFill="1" applyBorder="1" applyAlignment="1">
      <alignment horizontal="left" vertical="center" indent="1"/>
    </xf>
    <xf numFmtId="179" fontId="10" fillId="3" borderId="118" xfId="0" applyNumberFormat="1" applyFont="1" applyFill="1" applyBorder="1" applyAlignment="1">
      <alignment horizontal="right" vertical="center"/>
    </xf>
    <xf numFmtId="179" fontId="10" fillId="3" borderId="118" xfId="0" applyNumberFormat="1" applyFont="1" applyFill="1" applyBorder="1" applyAlignment="1">
      <alignment horizontal="right"/>
    </xf>
    <xf numFmtId="176" fontId="80" fillId="27" borderId="118" xfId="0" applyNumberFormat="1" applyFont="1" applyFill="1" applyBorder="1" applyAlignment="1" applyProtection="1">
      <alignment horizontal="center" vertical="center"/>
    </xf>
    <xf numFmtId="176" fontId="27" fillId="11" borderId="118" xfId="14" applyNumberFormat="1" applyFont="1" applyFill="1" applyBorder="1" applyAlignment="1" applyProtection="1">
      <alignment horizontal="center" vertical="center"/>
      <protection locked="0"/>
    </xf>
    <xf numFmtId="179" fontId="13" fillId="18" borderId="123" xfId="0" applyNumberFormat="1" applyFont="1" applyFill="1" applyBorder="1" applyAlignment="1">
      <alignment horizontal="right" vertical="center"/>
    </xf>
    <xf numFmtId="179" fontId="13" fillId="18" borderId="123" xfId="0" applyNumberFormat="1" applyFont="1" applyFill="1" applyBorder="1" applyAlignment="1">
      <alignment horizontal="right"/>
    </xf>
    <xf numFmtId="179" fontId="13" fillId="18" borderId="118" xfId="0" applyNumberFormat="1" applyFont="1" applyFill="1" applyBorder="1" applyAlignment="1">
      <alignment horizontal="right" vertical="center"/>
    </xf>
    <xf numFmtId="179" fontId="13" fillId="18" borderId="118" xfId="0" applyNumberFormat="1" applyFont="1" applyFill="1" applyBorder="1" applyAlignment="1"/>
    <xf numFmtId="179" fontId="62" fillId="25" borderId="118" xfId="0" applyNumberFormat="1" applyFont="1" applyFill="1" applyBorder="1" applyAlignment="1">
      <alignment horizontal="right" vertical="center"/>
    </xf>
    <xf numFmtId="179" fontId="62" fillId="25" borderId="118" xfId="0" applyNumberFormat="1" applyFont="1" applyFill="1" applyBorder="1" applyAlignment="1"/>
    <xf numFmtId="170" fontId="82" fillId="19" borderId="119" xfId="0" applyNumberFormat="1" applyFont="1" applyFill="1" applyBorder="1" applyAlignment="1" applyProtection="1">
      <alignment horizontal="center" vertical="center"/>
      <protection locked="0"/>
    </xf>
    <xf numFmtId="170" fontId="82" fillId="19" borderId="120" xfId="0" applyNumberFormat="1" applyFont="1" applyFill="1" applyBorder="1" applyAlignment="1" applyProtection="1">
      <alignment horizontal="center" vertical="center"/>
      <protection locked="0"/>
    </xf>
    <xf numFmtId="170" fontId="82" fillId="19" borderId="121" xfId="0" applyNumberFormat="1" applyFont="1" applyFill="1" applyBorder="1" applyAlignment="1" applyProtection="1">
      <alignment horizontal="center" vertical="center"/>
      <protection locked="0"/>
    </xf>
    <xf numFmtId="0" fontId="6" fillId="3" borderId="51" xfId="0" applyFont="1" applyFill="1" applyBorder="1" applyAlignment="1" applyProtection="1">
      <alignment horizontal="center" vertical="center"/>
      <protection locked="0"/>
    </xf>
    <xf numFmtId="0" fontId="6" fillId="3" borderId="0" xfId="0" applyFont="1" applyFill="1" applyBorder="1" applyAlignment="1" applyProtection="1">
      <alignment horizontal="center" vertical="center"/>
      <protection locked="0"/>
    </xf>
    <xf numFmtId="0" fontId="6" fillId="3" borderId="133" xfId="0" applyFont="1" applyFill="1" applyBorder="1" applyAlignment="1" applyProtection="1">
      <alignment horizontal="center" vertical="center"/>
      <protection locked="0"/>
    </xf>
    <xf numFmtId="0" fontId="6" fillId="3" borderId="53" xfId="0" applyFont="1" applyFill="1" applyBorder="1" applyAlignment="1" applyProtection="1">
      <alignment horizontal="center" vertical="center"/>
      <protection locked="0"/>
    </xf>
    <xf numFmtId="0" fontId="79" fillId="3" borderId="53" xfId="0" applyFont="1" applyFill="1" applyBorder="1" applyAlignment="1" applyProtection="1">
      <alignment horizontal="center" vertical="center"/>
      <protection locked="0"/>
    </xf>
    <xf numFmtId="0" fontId="5" fillId="2" borderId="118" xfId="0" applyFont="1" applyFill="1" applyBorder="1" applyAlignment="1">
      <alignment horizontal="right" vertical="center" indent="1"/>
    </xf>
    <xf numFmtId="176" fontId="5" fillId="2" borderId="118" xfId="16" applyNumberFormat="1" applyFont="1" applyFill="1" applyBorder="1" applyAlignment="1">
      <alignment vertical="center"/>
    </xf>
    <xf numFmtId="180" fontId="13" fillId="11" borderId="119" xfId="0" quotePrefix="1" applyNumberFormat="1" applyFont="1" applyFill="1" applyBorder="1" applyAlignment="1" applyProtection="1">
      <alignment horizontal="left" vertical="center" indent="1"/>
      <protection locked="0"/>
    </xf>
    <xf numFmtId="180" fontId="13" fillId="11" borderId="120" xfId="0" quotePrefix="1" applyNumberFormat="1" applyFont="1" applyFill="1" applyBorder="1" applyAlignment="1" applyProtection="1">
      <alignment horizontal="left" vertical="center" indent="1"/>
      <protection locked="0"/>
    </xf>
    <xf numFmtId="180" fontId="13" fillId="11" borderId="121" xfId="0" quotePrefix="1" applyNumberFormat="1" applyFont="1" applyFill="1" applyBorder="1" applyAlignment="1" applyProtection="1">
      <alignment horizontal="left" vertical="center" indent="1"/>
      <protection locked="0"/>
    </xf>
    <xf numFmtId="179" fontId="5" fillId="25" borderId="118" xfId="0" applyNumberFormat="1" applyFont="1" applyFill="1" applyBorder="1" applyAlignment="1">
      <alignment horizontal="right" vertical="center"/>
    </xf>
    <xf numFmtId="179" fontId="5" fillId="25" borderId="118" xfId="0" applyNumberFormat="1" applyFont="1" applyFill="1" applyBorder="1" applyAlignment="1">
      <alignment horizontal="right"/>
    </xf>
    <xf numFmtId="0" fontId="59" fillId="9" borderId="118" xfId="0" applyNumberFormat="1" applyFont="1" applyFill="1" applyBorder="1" applyAlignment="1">
      <alignment horizontal="center" vertical="center" wrapText="1"/>
    </xf>
    <xf numFmtId="0" fontId="5" fillId="2" borderId="118" xfId="0" applyNumberFormat="1" applyFont="1" applyFill="1" applyBorder="1" applyAlignment="1">
      <alignment horizontal="center" vertical="center" textRotation="90" wrapText="1"/>
    </xf>
    <xf numFmtId="174" fontId="27" fillId="27" borderId="118" xfId="0" applyNumberFormat="1" applyFont="1" applyFill="1" applyBorder="1" applyAlignment="1" applyProtection="1">
      <alignment horizontal="right" vertical="center" indent="1"/>
      <protection locked="0"/>
    </xf>
    <xf numFmtId="38" fontId="27" fillId="11" borderId="118" xfId="0" applyNumberFormat="1" applyFont="1" applyFill="1" applyBorder="1" applyAlignment="1" applyProtection="1">
      <alignment horizontal="center" vertical="center"/>
      <protection locked="0"/>
    </xf>
    <xf numFmtId="0" fontId="63" fillId="2" borderId="118" xfId="0" applyNumberFormat="1" applyFont="1" applyFill="1" applyBorder="1" applyAlignment="1">
      <alignment horizontal="center" vertical="center"/>
    </xf>
    <xf numFmtId="0" fontId="27" fillId="21" borderId="118" xfId="0" applyFont="1" applyFill="1" applyBorder="1" applyAlignment="1" applyProtection="1">
      <alignment horizontal="left" vertical="center" indent="1"/>
      <protection locked="0"/>
    </xf>
    <xf numFmtId="0" fontId="8" fillId="18" borderId="118" xfId="0" applyFont="1" applyFill="1" applyBorder="1" applyAlignment="1">
      <alignment horizontal="center" vertical="center" wrapText="1"/>
    </xf>
    <xf numFmtId="174" fontId="27" fillId="25" borderId="118" xfId="0" applyNumberFormat="1" applyFont="1" applyFill="1" applyBorder="1" applyAlignment="1" applyProtection="1">
      <alignment horizontal="right" vertical="center" indent="1"/>
      <protection locked="0"/>
    </xf>
    <xf numFmtId="0" fontId="70" fillId="22" borderId="68" xfId="0" applyFont="1" applyFill="1" applyBorder="1" applyAlignment="1" applyProtection="1">
      <alignment horizontal="center" vertical="center"/>
    </xf>
    <xf numFmtId="0" fontId="70" fillId="22" borderId="69" xfId="0" applyFont="1" applyFill="1" applyBorder="1" applyAlignment="1" applyProtection="1">
      <alignment horizontal="center" vertical="center"/>
    </xf>
    <xf numFmtId="0" fontId="70" fillId="22" borderId="126" xfId="0" applyFont="1" applyFill="1" applyBorder="1" applyAlignment="1" applyProtection="1">
      <alignment horizontal="center" vertical="center"/>
    </xf>
    <xf numFmtId="0" fontId="70" fillId="22" borderId="127" xfId="0" applyFont="1" applyFill="1" applyBorder="1" applyAlignment="1" applyProtection="1">
      <alignment horizontal="center" vertical="center"/>
    </xf>
    <xf numFmtId="0" fontId="70" fillId="22" borderId="128" xfId="0" applyFont="1" applyFill="1" applyBorder="1" applyAlignment="1" applyProtection="1">
      <alignment horizontal="center" vertical="center"/>
    </xf>
    <xf numFmtId="0" fontId="70" fillId="22" borderId="129" xfId="0" applyFont="1" applyFill="1" applyBorder="1" applyAlignment="1" applyProtection="1">
      <alignment horizontal="center" vertical="center"/>
    </xf>
    <xf numFmtId="49" fontId="80" fillId="4" borderId="124" xfId="0" applyNumberFormat="1" applyFont="1" applyFill="1" applyBorder="1" applyAlignment="1" applyProtection="1">
      <alignment horizontal="left" vertical="center" indent="1"/>
      <protection locked="0"/>
    </xf>
    <xf numFmtId="49" fontId="80" fillId="4" borderId="125" xfId="0" applyNumberFormat="1" applyFont="1" applyFill="1" applyBorder="1" applyAlignment="1" applyProtection="1">
      <alignment horizontal="left" vertical="center" indent="1"/>
      <protection locked="0"/>
    </xf>
    <xf numFmtId="0" fontId="15" fillId="0" borderId="124" xfId="0" applyFont="1" applyFill="1" applyBorder="1" applyAlignment="1" applyProtection="1">
      <alignment horizontal="left" vertical="center"/>
      <protection locked="0"/>
    </xf>
    <xf numFmtId="0" fontId="15" fillId="0" borderId="125" xfId="0" applyFont="1" applyFill="1" applyBorder="1" applyAlignment="1" applyProtection="1">
      <alignment horizontal="left" vertical="center"/>
      <protection locked="0"/>
    </xf>
    <xf numFmtId="0" fontId="21" fillId="0" borderId="124" xfId="0" applyFont="1" applyFill="1" applyBorder="1" applyAlignment="1" applyProtection="1">
      <alignment horizontal="left" vertical="center"/>
      <protection locked="0"/>
    </xf>
    <xf numFmtId="0" fontId="21" fillId="0" borderId="125" xfId="0" applyFont="1" applyFill="1" applyBorder="1" applyAlignment="1" applyProtection="1">
      <alignment horizontal="left" vertical="center"/>
      <protection locked="0"/>
    </xf>
    <xf numFmtId="0" fontId="27" fillId="27" borderId="118" xfId="0" applyFont="1" applyFill="1" applyBorder="1" applyAlignment="1" applyProtection="1">
      <alignment horizontal="right" vertical="center" indent="1"/>
      <protection locked="0"/>
    </xf>
    <xf numFmtId="0" fontId="27" fillId="27" borderId="123" xfId="0" applyFont="1" applyFill="1" applyBorder="1" applyAlignment="1" applyProtection="1">
      <alignment horizontal="right" vertical="center" indent="1"/>
      <protection locked="0"/>
    </xf>
    <xf numFmtId="38" fontId="27" fillId="4" borderId="29" xfId="0" applyNumberFormat="1" applyFont="1" applyFill="1" applyBorder="1" applyAlignment="1" applyProtection="1">
      <alignment horizontal="center" vertical="center"/>
      <protection locked="0"/>
    </xf>
    <xf numFmtId="178" fontId="21" fillId="0" borderId="124" xfId="0" applyNumberFormat="1" applyFont="1" applyFill="1" applyBorder="1" applyAlignment="1" applyProtection="1">
      <alignment horizontal="left" vertical="center"/>
      <protection locked="0"/>
    </xf>
    <xf numFmtId="178" fontId="21" fillId="0" borderId="125" xfId="0" applyNumberFormat="1" applyFont="1" applyFill="1" applyBorder="1" applyAlignment="1" applyProtection="1">
      <alignment horizontal="left" vertical="center"/>
      <protection locked="0"/>
    </xf>
    <xf numFmtId="0" fontId="40" fillId="2" borderId="132" xfId="0" applyFont="1" applyFill="1" applyBorder="1" applyAlignment="1" applyProtection="1">
      <alignment horizontal="center" vertical="center"/>
      <protection locked="0"/>
    </xf>
    <xf numFmtId="0" fontId="40" fillId="2" borderId="19" xfId="0" applyFont="1" applyFill="1" applyBorder="1" applyAlignment="1" applyProtection="1">
      <alignment horizontal="center" vertical="center"/>
      <protection locked="0"/>
    </xf>
    <xf numFmtId="0" fontId="61" fillId="25" borderId="118" xfId="0" applyFont="1" applyFill="1" applyBorder="1" applyAlignment="1">
      <alignment horizontal="center" vertical="center" wrapText="1"/>
    </xf>
    <xf numFmtId="0" fontId="61" fillId="2" borderId="118" xfId="0" applyNumberFormat="1" applyFont="1" applyFill="1" applyBorder="1" applyAlignment="1">
      <alignment horizontal="center" vertical="center" wrapText="1"/>
    </xf>
    <xf numFmtId="0" fontId="1" fillId="3" borderId="0" xfId="0" applyFont="1" applyFill="1" applyBorder="1" applyAlignment="1" applyProtection="1">
      <alignment horizontal="center" vertical="center"/>
      <protection locked="0"/>
    </xf>
    <xf numFmtId="38" fontId="30" fillId="26" borderId="118" xfId="0" applyNumberFormat="1" applyFont="1" applyFill="1" applyBorder="1" applyAlignment="1" applyProtection="1">
      <alignment horizontal="center" vertical="center"/>
      <protection locked="0"/>
    </xf>
    <xf numFmtId="174" fontId="30" fillId="25" borderId="118" xfId="0" applyNumberFormat="1" applyFont="1" applyFill="1" applyBorder="1" applyAlignment="1" applyProtection="1">
      <alignment horizontal="right" vertical="center" indent="1"/>
      <protection locked="0"/>
    </xf>
    <xf numFmtId="0" fontId="27" fillId="25" borderId="118" xfId="0" applyFont="1" applyFill="1" applyBorder="1" applyAlignment="1" applyProtection="1">
      <alignment horizontal="right" vertical="center" indent="1"/>
      <protection locked="0"/>
    </xf>
    <xf numFmtId="38" fontId="21" fillId="18" borderId="119" xfId="0" applyNumberFormat="1" applyFont="1" applyFill="1" applyBorder="1" applyAlignment="1" applyProtection="1">
      <alignment horizontal="center" vertical="center"/>
      <protection locked="0"/>
    </xf>
    <xf numFmtId="0" fontId="0" fillId="0" borderId="120" xfId="0" applyBorder="1"/>
    <xf numFmtId="0" fontId="0" fillId="0" borderId="121" xfId="0" applyBorder="1"/>
    <xf numFmtId="0" fontId="70" fillId="23" borderId="68" xfId="0" applyFont="1" applyFill="1" applyBorder="1" applyAlignment="1" applyProtection="1">
      <alignment horizontal="center" vertical="center"/>
      <protection locked="0"/>
    </xf>
    <xf numFmtId="0" fontId="70" fillId="23" borderId="69" xfId="0" applyFont="1" applyFill="1" applyBorder="1" applyAlignment="1" applyProtection="1">
      <alignment horizontal="center" vertical="center"/>
      <protection locked="0"/>
    </xf>
    <xf numFmtId="0" fontId="70" fillId="23" borderId="126" xfId="0" applyFont="1" applyFill="1" applyBorder="1" applyAlignment="1" applyProtection="1">
      <alignment horizontal="center" vertical="center"/>
      <protection locked="0"/>
    </xf>
    <xf numFmtId="0" fontId="70" fillId="23" borderId="127" xfId="0" applyFont="1" applyFill="1" applyBorder="1" applyAlignment="1" applyProtection="1">
      <alignment horizontal="center" vertical="center"/>
      <protection locked="0"/>
    </xf>
    <xf numFmtId="0" fontId="70" fillId="23" borderId="128" xfId="0" applyFont="1" applyFill="1" applyBorder="1" applyAlignment="1" applyProtection="1">
      <alignment horizontal="center" vertical="center"/>
      <protection locked="0"/>
    </xf>
    <xf numFmtId="0" fontId="70" fillId="23" borderId="129" xfId="0" applyFont="1" applyFill="1" applyBorder="1" applyAlignment="1" applyProtection="1">
      <alignment horizontal="center" vertical="center"/>
      <protection locked="0"/>
    </xf>
    <xf numFmtId="0" fontId="67" fillId="3" borderId="13" xfId="0" applyFont="1" applyFill="1" applyBorder="1" applyAlignment="1" applyProtection="1">
      <alignment horizontal="center" vertical="top" wrapText="1"/>
      <protection locked="0"/>
    </xf>
    <xf numFmtId="0" fontId="67" fillId="3" borderId="0" xfId="0" applyFont="1" applyFill="1" applyBorder="1" applyAlignment="1" applyProtection="1">
      <alignment horizontal="center" vertical="top" wrapText="1"/>
      <protection locked="0"/>
    </xf>
    <xf numFmtId="0" fontId="26" fillId="15" borderId="124" xfId="0" applyFont="1" applyFill="1" applyBorder="1" applyAlignment="1" applyProtection="1">
      <alignment horizontal="center" vertical="center" wrapText="1"/>
      <protection locked="0"/>
    </xf>
    <xf numFmtId="0" fontId="26" fillId="15" borderId="125" xfId="0" applyFont="1" applyFill="1" applyBorder="1" applyAlignment="1" applyProtection="1">
      <alignment horizontal="center" vertical="center" wrapText="1"/>
      <protection locked="0"/>
    </xf>
    <xf numFmtId="0" fontId="26" fillId="15" borderId="130" xfId="0" applyFont="1" applyFill="1" applyBorder="1" applyAlignment="1" applyProtection="1">
      <alignment horizontal="center" vertical="center" wrapText="1"/>
      <protection locked="0"/>
    </xf>
    <xf numFmtId="0" fontId="26" fillId="15" borderId="0" xfId="0" applyFont="1" applyFill="1" applyBorder="1" applyAlignment="1" applyProtection="1">
      <alignment horizontal="center" vertical="center" wrapText="1"/>
      <protection locked="0"/>
    </xf>
    <xf numFmtId="0" fontId="90" fillId="3" borderId="0" xfId="0" applyFont="1" applyFill="1" applyBorder="1" applyAlignment="1" applyProtection="1">
      <alignment horizontal="left"/>
      <protection locked="0"/>
    </xf>
    <xf numFmtId="0" fontId="11" fillId="3" borderId="6" xfId="0" applyFont="1" applyFill="1" applyBorder="1" applyAlignment="1" applyProtection="1">
      <alignment horizontal="center" vertical="center"/>
      <protection locked="0"/>
    </xf>
    <xf numFmtId="0" fontId="11" fillId="3" borderId="0" xfId="0" applyFont="1" applyFill="1" applyBorder="1" applyAlignment="1" applyProtection="1">
      <alignment horizontal="center" vertical="center"/>
      <protection locked="0"/>
    </xf>
    <xf numFmtId="0" fontId="11" fillId="3" borderId="5" xfId="0" applyFont="1" applyFill="1" applyBorder="1" applyAlignment="1" applyProtection="1">
      <alignment horizontal="center" vertical="center"/>
      <protection locked="0"/>
    </xf>
    <xf numFmtId="171" fontId="66" fillId="4" borderId="0" xfId="0" applyNumberFormat="1" applyFont="1" applyFill="1" applyBorder="1" applyAlignment="1" applyProtection="1">
      <alignment horizontal="center"/>
      <protection locked="0"/>
    </xf>
    <xf numFmtId="0" fontId="11" fillId="3" borderId="6" xfId="0" applyFont="1" applyFill="1" applyBorder="1" applyAlignment="1" applyProtection="1">
      <alignment horizontal="center"/>
      <protection locked="0"/>
    </xf>
    <xf numFmtId="0" fontId="11" fillId="3" borderId="0" xfId="0" applyFont="1" applyFill="1" applyBorder="1" applyAlignment="1" applyProtection="1">
      <alignment horizontal="center"/>
      <protection locked="0"/>
    </xf>
    <xf numFmtId="0" fontId="11" fillId="3" borderId="5" xfId="0" applyFont="1" applyFill="1" applyBorder="1" applyAlignment="1" applyProtection="1">
      <alignment horizontal="center"/>
      <protection locked="0"/>
    </xf>
    <xf numFmtId="0" fontId="38" fillId="3" borderId="0" xfId="0" applyFont="1" applyFill="1" applyBorder="1" applyAlignment="1" applyProtection="1">
      <alignment horizontal="center"/>
      <protection locked="0"/>
    </xf>
    <xf numFmtId="0" fontId="38" fillId="3" borderId="131" xfId="0" applyFont="1" applyFill="1" applyBorder="1" applyAlignment="1" applyProtection="1">
      <alignment horizontal="center"/>
      <protection locked="0"/>
    </xf>
    <xf numFmtId="0" fontId="17" fillId="3" borderId="6" xfId="0" applyFont="1" applyFill="1" applyBorder="1" applyAlignment="1" applyProtection="1">
      <alignment horizontal="center" vertical="top"/>
      <protection locked="0"/>
    </xf>
    <xf numFmtId="0" fontId="17" fillId="3" borderId="0" xfId="0" applyFont="1" applyFill="1" applyBorder="1" applyAlignment="1" applyProtection="1">
      <alignment horizontal="center" vertical="top"/>
      <protection locked="0"/>
    </xf>
    <xf numFmtId="0" fontId="17" fillId="3" borderId="5" xfId="0" applyFont="1" applyFill="1" applyBorder="1" applyAlignment="1" applyProtection="1">
      <alignment horizontal="center" vertical="top"/>
      <protection locked="0"/>
    </xf>
    <xf numFmtId="0" fontId="21" fillId="5" borderId="124" xfId="0" applyNumberFormat="1" applyFont="1" applyFill="1" applyBorder="1" applyAlignment="1" applyProtection="1">
      <alignment horizontal="left" vertical="center"/>
      <protection locked="0"/>
    </xf>
    <xf numFmtId="0" fontId="21" fillId="5" borderId="125" xfId="0" applyNumberFormat="1" applyFont="1" applyFill="1" applyBorder="1" applyAlignment="1" applyProtection="1">
      <alignment horizontal="left" vertical="center"/>
      <protection locked="0"/>
    </xf>
    <xf numFmtId="0" fontId="1" fillId="0" borderId="124" xfId="0" applyFont="1" applyFill="1" applyBorder="1" applyAlignment="1" applyProtection="1">
      <alignment horizontal="left" vertical="center"/>
      <protection locked="0"/>
    </xf>
    <xf numFmtId="0" fontId="1" fillId="0" borderId="125" xfId="0" applyFont="1" applyFill="1" applyBorder="1" applyAlignment="1" applyProtection="1">
      <alignment horizontal="left" vertical="center"/>
      <protection locked="0"/>
    </xf>
    <xf numFmtId="0" fontId="27" fillId="4" borderId="124" xfId="0" applyNumberFormat="1" applyFont="1" applyFill="1" applyBorder="1" applyAlignment="1" applyProtection="1">
      <alignment horizontal="left" vertical="center"/>
      <protection locked="0"/>
    </xf>
    <xf numFmtId="0" fontId="27" fillId="4" borderId="125" xfId="0" applyNumberFormat="1" applyFont="1" applyFill="1" applyBorder="1" applyAlignment="1" applyProtection="1">
      <alignment horizontal="left" vertical="center"/>
      <protection locked="0"/>
    </xf>
    <xf numFmtId="0" fontId="27" fillId="27" borderId="118" xfId="0" applyFont="1" applyFill="1" applyBorder="1" applyAlignment="1" applyProtection="1">
      <alignment horizontal="center" vertical="center" wrapText="1"/>
      <protection locked="0"/>
    </xf>
    <xf numFmtId="173" fontId="21" fillId="0" borderId="124" xfId="0" applyNumberFormat="1" applyFont="1" applyFill="1" applyBorder="1" applyAlignment="1" applyProtection="1">
      <alignment horizontal="center" vertical="center"/>
      <protection locked="0"/>
    </xf>
    <xf numFmtId="173" fontId="21" fillId="0" borderId="125" xfId="0" applyNumberFormat="1" applyFont="1" applyFill="1" applyBorder="1" applyAlignment="1" applyProtection="1">
      <alignment horizontal="center" vertical="center"/>
      <protection locked="0"/>
    </xf>
    <xf numFmtId="0" fontId="30" fillId="25" borderId="118" xfId="0" applyFont="1" applyFill="1" applyBorder="1" applyAlignment="1" applyProtection="1">
      <alignment horizontal="center" vertical="center" wrapText="1"/>
      <protection locked="0"/>
    </xf>
    <xf numFmtId="182" fontId="21" fillId="0" borderId="124" xfId="0" applyNumberFormat="1" applyFont="1" applyFill="1" applyBorder="1" applyAlignment="1" applyProtection="1">
      <alignment horizontal="center" vertical="center"/>
      <protection locked="0"/>
    </xf>
    <xf numFmtId="182" fontId="21" fillId="0" borderId="125" xfId="0" applyNumberFormat="1" applyFont="1" applyFill="1" applyBorder="1" applyAlignment="1" applyProtection="1">
      <alignment horizontal="center" vertical="center"/>
      <protection locked="0"/>
    </xf>
    <xf numFmtId="38" fontId="21" fillId="11" borderId="118" xfId="0" applyNumberFormat="1" applyFont="1" applyFill="1" applyBorder="1" applyAlignment="1" applyProtection="1">
      <alignment horizontal="center" vertical="center"/>
      <protection locked="0"/>
    </xf>
    <xf numFmtId="0" fontId="30" fillId="26" borderId="118" xfId="0" applyFont="1" applyFill="1" applyBorder="1" applyAlignment="1" applyProtection="1">
      <alignment horizontal="center" vertical="center" wrapText="1"/>
      <protection locked="0"/>
    </xf>
    <xf numFmtId="0" fontId="40" fillId="25" borderId="118" xfId="0" applyFont="1" applyFill="1" applyBorder="1" applyAlignment="1" applyProtection="1">
      <alignment horizontal="center" vertical="center"/>
      <protection locked="0"/>
    </xf>
    <xf numFmtId="0" fontId="30" fillId="25" borderId="29" xfId="0" applyFont="1" applyFill="1" applyBorder="1" applyAlignment="1" applyProtection="1">
      <alignment horizontal="center" vertical="center" wrapText="1"/>
      <protection locked="0"/>
    </xf>
    <xf numFmtId="0" fontId="27" fillId="10" borderId="29" xfId="0" applyFont="1" applyFill="1" applyBorder="1" applyAlignment="1" applyProtection="1">
      <alignment horizontal="center" vertical="center" wrapText="1"/>
      <protection locked="0"/>
    </xf>
    <xf numFmtId="0" fontId="80" fillId="27" borderId="118" xfId="0" applyFont="1" applyFill="1" applyBorder="1" applyAlignment="1" applyProtection="1">
      <alignment horizontal="right" vertical="center" indent="1"/>
      <protection locked="0"/>
    </xf>
    <xf numFmtId="174" fontId="40" fillId="25" borderId="118" xfId="0" applyNumberFormat="1" applyFont="1" applyFill="1" applyBorder="1" applyAlignment="1" applyProtection="1">
      <alignment horizontal="right" vertical="center" indent="1"/>
      <protection locked="0"/>
    </xf>
    <xf numFmtId="0" fontId="80" fillId="27" borderId="119" xfId="0" applyFont="1" applyFill="1" applyBorder="1" applyAlignment="1" applyProtection="1">
      <alignment horizontal="center" vertical="center" wrapText="1"/>
      <protection locked="0"/>
    </xf>
    <xf numFmtId="0" fontId="80" fillId="27" borderId="120" xfId="0" applyFont="1" applyFill="1" applyBorder="1" applyAlignment="1" applyProtection="1">
      <alignment horizontal="center" vertical="center" wrapText="1"/>
      <protection locked="0"/>
    </xf>
    <xf numFmtId="0" fontId="80" fillId="27" borderId="121" xfId="0" applyFont="1" applyFill="1" applyBorder="1" applyAlignment="1" applyProtection="1">
      <alignment horizontal="center" vertical="center" wrapText="1"/>
      <protection locked="0"/>
    </xf>
    <xf numFmtId="0" fontId="5" fillId="2" borderId="118" xfId="0" applyFont="1" applyFill="1" applyBorder="1" applyAlignment="1">
      <alignment horizontal="center" vertical="center" textRotation="90" wrapText="1"/>
    </xf>
    <xf numFmtId="38" fontId="21" fillId="12" borderId="29" xfId="0" applyNumberFormat="1" applyFont="1" applyFill="1" applyBorder="1" applyAlignment="1" applyProtection="1">
      <alignment horizontal="center" vertical="center"/>
      <protection locked="0"/>
    </xf>
    <xf numFmtId="38" fontId="21" fillId="27" borderId="29" xfId="0" applyNumberFormat="1" applyFont="1" applyFill="1" applyBorder="1" applyAlignment="1" applyProtection="1">
      <alignment horizontal="center" vertical="center"/>
      <protection locked="0"/>
    </xf>
    <xf numFmtId="0" fontId="57" fillId="18" borderId="118" xfId="0" applyFont="1" applyFill="1" applyBorder="1" applyAlignment="1" applyProtection="1">
      <alignment horizontal="center" vertical="center" wrapText="1"/>
      <protection locked="0"/>
    </xf>
    <xf numFmtId="0" fontId="5" fillId="25" borderId="118" xfId="0" applyFont="1" applyFill="1" applyBorder="1" applyAlignment="1">
      <alignment horizontal="center" vertical="center" wrapText="1"/>
    </xf>
    <xf numFmtId="179" fontId="69" fillId="25" borderId="118" xfId="0" applyNumberFormat="1" applyFont="1" applyFill="1" applyBorder="1" applyAlignment="1">
      <alignment horizontal="right"/>
    </xf>
    <xf numFmtId="0" fontId="21" fillId="3" borderId="122" xfId="0" applyFont="1" applyFill="1" applyBorder="1" applyAlignment="1" applyProtection="1">
      <alignment horizontal="center" vertical="center"/>
    </xf>
    <xf numFmtId="0" fontId="21" fillId="3" borderId="0" xfId="0" applyFont="1" applyFill="1" applyBorder="1" applyAlignment="1" applyProtection="1">
      <alignment horizontal="center" vertical="center"/>
    </xf>
    <xf numFmtId="0" fontId="21" fillId="3" borderId="53" xfId="0" applyFont="1" applyFill="1" applyBorder="1" applyAlignment="1" applyProtection="1">
      <alignment horizontal="center" vertical="center"/>
    </xf>
    <xf numFmtId="3" fontId="75" fillId="17" borderId="118" xfId="0" applyNumberFormat="1" applyFont="1" applyFill="1" applyBorder="1" applyAlignment="1">
      <alignment horizontal="center" vertical="center" wrapText="1"/>
    </xf>
    <xf numFmtId="9" fontId="73" fillId="18" borderId="118" xfId="16" applyNumberFormat="1" applyFont="1" applyFill="1" applyBorder="1" applyAlignment="1">
      <alignment horizontal="center" vertical="center" wrapText="1"/>
    </xf>
    <xf numFmtId="3" fontId="74" fillId="18" borderId="118" xfId="0" applyNumberFormat="1" applyFont="1" applyFill="1" applyBorder="1" applyAlignment="1">
      <alignment horizontal="center" vertical="center" wrapText="1"/>
    </xf>
    <xf numFmtId="0" fontId="72" fillId="17" borderId="118" xfId="0" applyFont="1" applyFill="1" applyBorder="1" applyAlignment="1">
      <alignment horizontal="center" vertical="center"/>
    </xf>
    <xf numFmtId="179" fontId="13" fillId="9" borderId="118" xfId="0" applyNumberFormat="1" applyFont="1" applyFill="1" applyBorder="1" applyAlignment="1">
      <alignment horizontal="right" vertical="center"/>
    </xf>
    <xf numFmtId="179" fontId="13" fillId="9" borderId="118" xfId="0" applyNumberFormat="1" applyFont="1" applyFill="1" applyBorder="1" applyAlignment="1"/>
    <xf numFmtId="38" fontId="13" fillId="18" borderId="123" xfId="0" applyNumberFormat="1" applyFont="1" applyFill="1" applyBorder="1" applyAlignment="1">
      <alignment horizontal="right" vertical="center" indent="1"/>
    </xf>
    <xf numFmtId="0" fontId="57" fillId="18" borderId="118" xfId="0" applyFont="1" applyFill="1" applyBorder="1" applyAlignment="1">
      <alignment horizontal="left" vertical="center" indent="1"/>
    </xf>
    <xf numFmtId="0" fontId="62" fillId="25" borderId="118" xfId="0" applyFont="1" applyFill="1" applyBorder="1" applyAlignment="1">
      <alignment horizontal="left" vertical="center" indent="1"/>
    </xf>
    <xf numFmtId="168" fontId="57" fillId="18" borderId="118" xfId="0" applyNumberFormat="1" applyFont="1" applyFill="1" applyBorder="1" applyAlignment="1">
      <alignment horizontal="center" vertical="center"/>
    </xf>
    <xf numFmtId="168" fontId="62" fillId="25" borderId="118" xfId="0" applyNumberFormat="1" applyFont="1" applyFill="1" applyBorder="1" applyAlignment="1">
      <alignment horizontal="center" vertical="center"/>
    </xf>
    <xf numFmtId="0" fontId="5" fillId="25" borderId="120" xfId="0" applyFont="1" applyFill="1" applyBorder="1" applyAlignment="1">
      <alignment horizontal="right" vertical="center" indent="1"/>
    </xf>
    <xf numFmtId="0" fontId="5" fillId="25" borderId="121" xfId="0" applyFont="1" applyFill="1" applyBorder="1" applyAlignment="1">
      <alignment horizontal="right" vertical="center" indent="1"/>
    </xf>
    <xf numFmtId="38" fontId="62" fillId="2" borderId="118" xfId="0" applyNumberFormat="1" applyFont="1" applyFill="1" applyBorder="1" applyAlignment="1">
      <alignment horizontal="right" vertical="center" indent="1"/>
    </xf>
    <xf numFmtId="179" fontId="62" fillId="2" borderId="118" xfId="0" applyNumberFormat="1" applyFont="1" applyFill="1" applyBorder="1" applyAlignment="1">
      <alignment horizontal="right" vertical="center"/>
    </xf>
    <xf numFmtId="179" fontId="62" fillId="2" borderId="118" xfId="0" applyNumberFormat="1" applyFont="1" applyFill="1" applyBorder="1" applyAlignment="1"/>
    <xf numFmtId="37" fontId="104" fillId="0" borderId="69" xfId="9" applyNumberFormat="1" applyFont="1" applyFill="1" applyBorder="1" applyAlignment="1">
      <alignment horizontal="center" vertical="center"/>
    </xf>
    <xf numFmtId="0" fontId="104" fillId="0" borderId="69" xfId="9" applyFont="1" applyFill="1" applyBorder="1" applyAlignment="1">
      <alignment horizontal="center" vertical="center"/>
    </xf>
    <xf numFmtId="37" fontId="104" fillId="0" borderId="32" xfId="6" applyNumberFormat="1" applyFont="1" applyFill="1" applyBorder="1" applyAlignment="1">
      <alignment horizontal="right" vertical="center"/>
    </xf>
    <xf numFmtId="37" fontId="104" fillId="0" borderId="33" xfId="6" applyNumberFormat="1" applyFont="1" applyFill="1" applyBorder="1" applyAlignment="1">
      <alignment horizontal="right" vertical="center"/>
    </xf>
    <xf numFmtId="37" fontId="104" fillId="0" borderId="34" xfId="6" applyNumberFormat="1" applyFont="1" applyFill="1" applyBorder="1" applyAlignment="1">
      <alignment horizontal="right" vertical="center"/>
    </xf>
    <xf numFmtId="0" fontId="161" fillId="9" borderId="68" xfId="9" applyFont="1" applyFill="1" applyBorder="1" applyAlignment="1">
      <alignment horizontal="right" vertical="center" indent="2"/>
    </xf>
    <xf numFmtId="0" fontId="161" fillId="9" borderId="69" xfId="9" applyFont="1" applyFill="1" applyBorder="1" applyAlignment="1">
      <alignment horizontal="right" vertical="center" indent="2"/>
    </xf>
    <xf numFmtId="0" fontId="161" fillId="9" borderId="70" xfId="9" applyFont="1" applyFill="1" applyBorder="1" applyAlignment="1">
      <alignment horizontal="right" vertical="center" indent="2"/>
    </xf>
    <xf numFmtId="0" fontId="161" fillId="9" borderId="17" xfId="9" applyFont="1" applyFill="1" applyBorder="1" applyAlignment="1">
      <alignment horizontal="right" vertical="center" indent="2"/>
    </xf>
    <xf numFmtId="0" fontId="161" fillId="9" borderId="4" xfId="9" applyFont="1" applyFill="1" applyBorder="1" applyAlignment="1">
      <alignment horizontal="right" vertical="center" indent="2"/>
    </xf>
    <xf numFmtId="0" fontId="161" fillId="9" borderId="18" xfId="9" applyFont="1" applyFill="1" applyBorder="1" applyAlignment="1">
      <alignment horizontal="right" vertical="center" indent="2"/>
    </xf>
    <xf numFmtId="37" fontId="109" fillId="18" borderId="68" xfId="6" applyNumberFormat="1" applyFont="1" applyFill="1" applyBorder="1" applyAlignment="1">
      <alignment horizontal="right" vertical="center"/>
    </xf>
    <xf numFmtId="37" fontId="109" fillId="18" borderId="69" xfId="6" applyNumberFormat="1" applyFont="1" applyFill="1" applyBorder="1" applyAlignment="1">
      <alignment horizontal="right" vertical="center"/>
    </xf>
    <xf numFmtId="37" fontId="109" fillId="18" borderId="70" xfId="6" applyNumberFormat="1" applyFont="1" applyFill="1" applyBorder="1" applyAlignment="1">
      <alignment horizontal="right" vertical="center"/>
    </xf>
    <xf numFmtId="37" fontId="109" fillId="18" borderId="17" xfId="6" applyNumberFormat="1" applyFont="1" applyFill="1" applyBorder="1" applyAlignment="1">
      <alignment horizontal="right" vertical="center"/>
    </xf>
    <xf numFmtId="37" fontId="109" fillId="18" borderId="4" xfId="6" applyNumberFormat="1" applyFont="1" applyFill="1" applyBorder="1" applyAlignment="1">
      <alignment horizontal="right" vertical="center"/>
    </xf>
    <xf numFmtId="37" fontId="109" fillId="18" borderId="18" xfId="6" applyNumberFormat="1" applyFont="1" applyFill="1" applyBorder="1" applyAlignment="1">
      <alignment horizontal="right" vertical="center"/>
    </xf>
    <xf numFmtId="0" fontId="104" fillId="0" borderId="33" xfId="9" applyFont="1" applyFill="1" applyBorder="1" applyAlignment="1">
      <alignment horizontal="left" vertical="center"/>
    </xf>
    <xf numFmtId="0" fontId="104" fillId="0" borderId="34" xfId="9" applyFont="1" applyFill="1" applyBorder="1" applyAlignment="1">
      <alignment horizontal="left" vertical="center"/>
    </xf>
    <xf numFmtId="211" fontId="163" fillId="4" borderId="33" xfId="9" applyNumberFormat="1" applyFont="1" applyFill="1" applyBorder="1" applyAlignment="1" applyProtection="1">
      <alignment horizontal="left" vertical="center"/>
      <protection locked="0"/>
    </xf>
    <xf numFmtId="211" fontId="163" fillId="4" borderId="34" xfId="9" applyNumberFormat="1" applyFont="1" applyFill="1" applyBorder="1" applyAlignment="1" applyProtection="1">
      <alignment horizontal="left" vertical="center"/>
      <protection locked="0"/>
    </xf>
    <xf numFmtId="38" fontId="104" fillId="0" borderId="32" xfId="6" applyNumberFormat="1" applyFont="1" applyFill="1" applyBorder="1" applyAlignment="1">
      <alignment horizontal="center" vertical="center"/>
    </xf>
    <xf numFmtId="38" fontId="104" fillId="0" borderId="33" xfId="6" applyNumberFormat="1" applyFont="1" applyFill="1" applyBorder="1" applyAlignment="1">
      <alignment horizontal="center" vertical="center"/>
    </xf>
    <xf numFmtId="38" fontId="104" fillId="0" borderId="34" xfId="6" applyNumberFormat="1" applyFont="1" applyFill="1" applyBorder="1" applyAlignment="1">
      <alignment horizontal="center" vertical="center"/>
    </xf>
    <xf numFmtId="37" fontId="163" fillId="0" borderId="32" xfId="6" applyNumberFormat="1" applyFont="1" applyFill="1" applyBorder="1" applyAlignment="1" applyProtection="1">
      <alignment horizontal="right" vertical="center"/>
      <protection locked="0"/>
    </xf>
    <xf numFmtId="37" fontId="163" fillId="0" borderId="33" xfId="6" applyNumberFormat="1" applyFont="1" applyFill="1" applyBorder="1" applyAlignment="1" applyProtection="1">
      <alignment horizontal="right" vertical="center"/>
      <protection locked="0"/>
    </xf>
    <xf numFmtId="37" fontId="163" fillId="0" borderId="34" xfId="6" applyNumberFormat="1" applyFont="1" applyFill="1" applyBorder="1" applyAlignment="1" applyProtection="1">
      <alignment horizontal="right" vertical="center"/>
      <protection locked="0"/>
    </xf>
    <xf numFmtId="9" fontId="163" fillId="24" borderId="32" xfId="6" applyNumberFormat="1" applyFont="1" applyFill="1" applyBorder="1" applyAlignment="1" applyProtection="1">
      <alignment horizontal="center" vertical="center"/>
      <protection locked="0"/>
    </xf>
    <xf numFmtId="9" fontId="163" fillId="24" borderId="34" xfId="6" applyNumberFormat="1" applyFont="1" applyFill="1" applyBorder="1" applyAlignment="1" applyProtection="1">
      <alignment horizontal="center" vertical="center"/>
      <protection locked="0"/>
    </xf>
    <xf numFmtId="210" fontId="163" fillId="4" borderId="33" xfId="9" applyNumberFormat="1" applyFont="1" applyFill="1" applyBorder="1" applyAlignment="1" applyProtection="1">
      <alignment horizontal="left" vertical="center"/>
      <protection locked="0"/>
    </xf>
    <xf numFmtId="210" fontId="163" fillId="4" borderId="34" xfId="9" applyNumberFormat="1" applyFont="1" applyFill="1" applyBorder="1" applyAlignment="1" applyProtection="1">
      <alignment horizontal="left" vertical="center"/>
      <protection locked="0"/>
    </xf>
    <xf numFmtId="0" fontId="109" fillId="18" borderId="68" xfId="9" applyFont="1" applyFill="1" applyBorder="1" applyAlignment="1">
      <alignment horizontal="right" vertical="center" indent="2"/>
    </xf>
    <xf numFmtId="0" fontId="109" fillId="18" borderId="69" xfId="9" applyFont="1" applyFill="1" applyBorder="1" applyAlignment="1">
      <alignment horizontal="right" vertical="center" indent="2"/>
    </xf>
    <xf numFmtId="0" fontId="109" fillId="18" borderId="70" xfId="9" applyFont="1" applyFill="1" applyBorder="1" applyAlignment="1">
      <alignment horizontal="right" vertical="center" indent="2"/>
    </xf>
    <xf numFmtId="0" fontId="109" fillId="18" borderId="17" xfId="9" applyFont="1" applyFill="1" applyBorder="1" applyAlignment="1">
      <alignment horizontal="right" vertical="center" indent="2"/>
    </xf>
    <xf numFmtId="0" fontId="109" fillId="18" borderId="4" xfId="9" applyFont="1" applyFill="1" applyBorder="1" applyAlignment="1">
      <alignment horizontal="right" vertical="center" indent="2"/>
    </xf>
    <xf numFmtId="0" fontId="109" fillId="18" borderId="18" xfId="9" applyFont="1" applyFill="1" applyBorder="1" applyAlignment="1">
      <alignment horizontal="right" vertical="center" indent="2"/>
    </xf>
    <xf numFmtId="203" fontId="163" fillId="0" borderId="32" xfId="9" applyNumberFormat="1" applyFont="1" applyFill="1" applyBorder="1" applyAlignment="1">
      <alignment horizontal="left" vertical="center" indent="1"/>
    </xf>
    <xf numFmtId="203" fontId="163" fillId="0" borderId="33" xfId="9" applyNumberFormat="1" applyFont="1" applyFill="1" applyBorder="1" applyAlignment="1">
      <alignment horizontal="left" vertical="center" indent="1"/>
    </xf>
    <xf numFmtId="209" fontId="163" fillId="4" borderId="33" xfId="9" applyNumberFormat="1" applyFont="1" applyFill="1" applyBorder="1" applyAlignment="1" applyProtection="1">
      <alignment horizontal="left" vertical="center"/>
      <protection locked="0"/>
    </xf>
    <xf numFmtId="209" fontId="163" fillId="4" borderId="34" xfId="9" applyNumberFormat="1" applyFont="1" applyFill="1" applyBorder="1" applyAlignment="1" applyProtection="1">
      <alignment horizontal="left" vertical="center"/>
      <protection locked="0"/>
    </xf>
    <xf numFmtId="208" fontId="163" fillId="0" borderId="32" xfId="9" applyNumberFormat="1" applyFont="1" applyFill="1" applyBorder="1" applyAlignment="1">
      <alignment horizontal="left" vertical="center" indent="1"/>
    </xf>
    <xf numFmtId="208" fontId="163" fillId="0" borderId="33" xfId="9" applyNumberFormat="1" applyFont="1" applyFill="1" applyBorder="1" applyAlignment="1">
      <alignment horizontal="left" vertical="center" indent="1"/>
    </xf>
    <xf numFmtId="208" fontId="163" fillId="0" borderId="34" xfId="9" applyNumberFormat="1" applyFont="1" applyFill="1" applyBorder="1" applyAlignment="1">
      <alignment horizontal="left" vertical="center" indent="1"/>
    </xf>
    <xf numFmtId="38" fontId="104" fillId="0" borderId="32" xfId="6" applyNumberFormat="1" applyFont="1" applyFill="1" applyBorder="1" applyAlignment="1" applyProtection="1">
      <alignment horizontal="center" vertical="center"/>
      <protection locked="0"/>
    </xf>
    <xf numFmtId="38" fontId="104" fillId="0" borderId="33" xfId="6" applyNumberFormat="1" applyFont="1" applyFill="1" applyBorder="1" applyAlignment="1" applyProtection="1">
      <alignment horizontal="center" vertical="center"/>
      <protection locked="0"/>
    </xf>
    <xf numFmtId="38" fontId="104" fillId="0" borderId="34" xfId="6" applyNumberFormat="1" applyFont="1" applyFill="1" applyBorder="1" applyAlignment="1" applyProtection="1">
      <alignment horizontal="center" vertical="center"/>
      <protection locked="0"/>
    </xf>
    <xf numFmtId="207" fontId="163" fillId="0" borderId="32" xfId="9" applyNumberFormat="1" applyFont="1" applyFill="1" applyBorder="1" applyAlignment="1">
      <alignment horizontal="left" vertical="center" indent="1"/>
    </xf>
    <xf numFmtId="207" fontId="163" fillId="0" borderId="33" xfId="9" applyNumberFormat="1" applyFont="1" applyFill="1" applyBorder="1" applyAlignment="1">
      <alignment horizontal="left" vertical="center" indent="1"/>
    </xf>
    <xf numFmtId="207" fontId="163" fillId="0" borderId="34" xfId="9" applyNumberFormat="1" applyFont="1" applyFill="1" applyBorder="1" applyAlignment="1">
      <alignment horizontal="left" vertical="center" indent="1"/>
    </xf>
    <xf numFmtId="40" fontId="104" fillId="0" borderId="32" xfId="6" applyNumberFormat="1" applyFont="1" applyFill="1" applyBorder="1" applyAlignment="1" applyProtection="1">
      <alignment horizontal="center" vertical="center"/>
      <protection locked="0"/>
    </xf>
    <xf numFmtId="40" fontId="104" fillId="0" borderId="33" xfId="6" applyNumberFormat="1" applyFont="1" applyFill="1" applyBorder="1" applyAlignment="1" applyProtection="1">
      <alignment horizontal="center" vertical="center"/>
      <protection locked="0"/>
    </xf>
    <xf numFmtId="40" fontId="104" fillId="0" borderId="34" xfId="6" applyNumberFormat="1" applyFont="1" applyFill="1" applyBorder="1" applyAlignment="1" applyProtection="1">
      <alignment horizontal="center" vertical="center"/>
      <protection locked="0"/>
    </xf>
    <xf numFmtId="201" fontId="163" fillId="0" borderId="32" xfId="9" applyNumberFormat="1" applyFont="1" applyFill="1" applyBorder="1" applyAlignment="1">
      <alignment horizontal="left" vertical="center" indent="1"/>
    </xf>
    <xf numFmtId="201" fontId="163" fillId="0" borderId="33" xfId="9" applyNumberFormat="1" applyFont="1" applyFill="1" applyBorder="1" applyAlignment="1">
      <alignment horizontal="left" vertical="center" indent="1"/>
    </xf>
    <xf numFmtId="201" fontId="163" fillId="0" borderId="34" xfId="9" applyNumberFormat="1" applyFont="1" applyFill="1" applyBorder="1" applyAlignment="1">
      <alignment horizontal="left" vertical="center" indent="1"/>
    </xf>
    <xf numFmtId="38" fontId="163" fillId="4" borderId="32" xfId="6" applyNumberFormat="1" applyFont="1" applyFill="1" applyBorder="1" applyAlignment="1" applyProtection="1">
      <alignment horizontal="center" vertical="center"/>
      <protection locked="0"/>
    </xf>
    <xf numFmtId="38" fontId="163" fillId="4" borderId="33" xfId="6" applyNumberFormat="1" applyFont="1" applyFill="1" applyBorder="1" applyAlignment="1" applyProtection="1">
      <alignment horizontal="center" vertical="center"/>
      <protection locked="0"/>
    </xf>
    <xf numFmtId="38" fontId="163" fillId="4" borderId="34" xfId="6" applyNumberFormat="1" applyFont="1" applyFill="1" applyBorder="1" applyAlignment="1" applyProtection="1">
      <alignment horizontal="center" vertical="center"/>
      <protection locked="0"/>
    </xf>
    <xf numFmtId="205" fontId="163" fillId="4" borderId="33" xfId="9" applyNumberFormat="1" applyFont="1" applyFill="1" applyBorder="1" applyAlignment="1" applyProtection="1">
      <alignment horizontal="left" vertical="center"/>
      <protection locked="0"/>
    </xf>
    <xf numFmtId="206" fontId="163" fillId="0" borderId="33" xfId="9" applyNumberFormat="1" applyFont="1" applyFill="1" applyBorder="1" applyAlignment="1" applyProtection="1">
      <alignment horizontal="left" vertical="center"/>
      <protection locked="0"/>
    </xf>
    <xf numFmtId="206" fontId="163" fillId="0" borderId="34" xfId="9" applyNumberFormat="1" applyFont="1" applyFill="1" applyBorder="1" applyAlignment="1" applyProtection="1">
      <alignment horizontal="left" vertical="center"/>
      <protection locked="0"/>
    </xf>
    <xf numFmtId="196" fontId="132" fillId="0" borderId="0" xfId="6" applyNumberFormat="1" applyFont="1" applyFill="1" applyBorder="1" applyAlignment="1">
      <alignment horizontal="center" vertical="center"/>
    </xf>
    <xf numFmtId="203" fontId="163" fillId="4" borderId="33" xfId="9" applyNumberFormat="1" applyFont="1" applyFill="1" applyBorder="1" applyAlignment="1" applyProtection="1">
      <alignment horizontal="left" vertical="center"/>
      <protection locked="0"/>
    </xf>
    <xf numFmtId="203" fontId="163" fillId="4" borderId="34" xfId="9" applyNumberFormat="1" applyFont="1" applyFill="1" applyBorder="1" applyAlignment="1" applyProtection="1">
      <alignment horizontal="left" vertical="center"/>
      <protection locked="0"/>
    </xf>
    <xf numFmtId="38" fontId="163" fillId="0" borderId="32" xfId="6" applyNumberFormat="1" applyFont="1" applyFill="1" applyBorder="1" applyAlignment="1" applyProtection="1">
      <alignment horizontal="center" vertical="center"/>
      <protection locked="0"/>
    </xf>
    <xf numFmtId="38" fontId="163" fillId="0" borderId="33" xfId="6" applyNumberFormat="1" applyFont="1" applyFill="1" applyBorder="1" applyAlignment="1" applyProtection="1">
      <alignment horizontal="center" vertical="center"/>
      <protection locked="0"/>
    </xf>
    <xf numFmtId="38" fontId="163" fillId="0" borderId="34" xfId="6" applyNumberFormat="1" applyFont="1" applyFill="1" applyBorder="1" applyAlignment="1" applyProtection="1">
      <alignment horizontal="center" vertical="center"/>
      <protection locked="0"/>
    </xf>
    <xf numFmtId="200" fontId="163" fillId="0" borderId="32" xfId="9" applyNumberFormat="1" applyFont="1" applyFill="1" applyBorder="1" applyAlignment="1">
      <alignment horizontal="left" vertical="center" indent="1"/>
    </xf>
    <xf numFmtId="200" fontId="163" fillId="0" borderId="33" xfId="9" applyNumberFormat="1" applyFont="1" applyFill="1" applyBorder="1" applyAlignment="1">
      <alignment horizontal="left" vertical="center" indent="1"/>
    </xf>
    <xf numFmtId="200" fontId="163" fillId="0" borderId="34" xfId="9" applyNumberFormat="1" applyFont="1" applyFill="1" applyBorder="1" applyAlignment="1">
      <alignment horizontal="left" vertical="center" indent="1"/>
    </xf>
    <xf numFmtId="0" fontId="163" fillId="0" borderId="33" xfId="9" applyFont="1" applyFill="1" applyBorder="1" applyAlignment="1">
      <alignment horizontal="left" vertical="center"/>
    </xf>
    <xf numFmtId="0" fontId="163" fillId="0" borderId="34" xfId="9" applyFont="1" applyFill="1" applyBorder="1" applyAlignment="1">
      <alignment horizontal="left" vertical="center"/>
    </xf>
    <xf numFmtId="0" fontId="184" fillId="17" borderId="68" xfId="9" applyFont="1" applyFill="1" applyBorder="1" applyAlignment="1">
      <alignment horizontal="center" vertical="center" wrapText="1"/>
    </xf>
    <xf numFmtId="0" fontId="184" fillId="17" borderId="69" xfId="9" applyFont="1" applyFill="1" applyBorder="1" applyAlignment="1">
      <alignment horizontal="center" vertical="center" wrapText="1"/>
    </xf>
    <xf numFmtId="0" fontId="184" fillId="17" borderId="70" xfId="9" applyFont="1" applyFill="1" applyBorder="1" applyAlignment="1">
      <alignment horizontal="center" vertical="center" wrapText="1"/>
    </xf>
    <xf numFmtId="0" fontId="184" fillId="17" borderId="17" xfId="9" applyFont="1" applyFill="1" applyBorder="1" applyAlignment="1">
      <alignment horizontal="center" vertical="center" wrapText="1"/>
    </xf>
    <xf numFmtId="0" fontId="184" fillId="17" borderId="4" xfId="9" applyFont="1" applyFill="1" applyBorder="1" applyAlignment="1">
      <alignment horizontal="center" vertical="center" wrapText="1"/>
    </xf>
    <xf numFmtId="0" fontId="184" fillId="17" borderId="18" xfId="9" applyFont="1" applyFill="1" applyBorder="1" applyAlignment="1">
      <alignment horizontal="center" vertical="center" wrapText="1"/>
    </xf>
    <xf numFmtId="168" fontId="115" fillId="0" borderId="69" xfId="9" applyNumberFormat="1" applyFont="1" applyFill="1" applyBorder="1" applyAlignment="1">
      <alignment horizontal="center" vertical="center" wrapText="1"/>
    </xf>
    <xf numFmtId="0" fontId="115" fillId="0" borderId="69" xfId="9" applyFont="1" applyFill="1" applyBorder="1" applyAlignment="1">
      <alignment horizontal="center" vertical="center" wrapText="1"/>
    </xf>
    <xf numFmtId="0" fontId="182" fillId="5" borderId="68" xfId="9" applyFont="1" applyFill="1" applyBorder="1" applyAlignment="1">
      <alignment horizontal="center" vertical="center"/>
    </xf>
    <xf numFmtId="0" fontId="182" fillId="5" borderId="69" xfId="9" applyFont="1" applyFill="1" applyBorder="1" applyAlignment="1">
      <alignment horizontal="center" vertical="center"/>
    </xf>
    <xf numFmtId="0" fontId="182" fillId="5" borderId="17" xfId="9" applyFont="1" applyFill="1" applyBorder="1" applyAlignment="1">
      <alignment horizontal="center" vertical="center"/>
    </xf>
    <xf numFmtId="0" fontId="182" fillId="5" borderId="4" xfId="9" applyFont="1" applyFill="1" applyBorder="1" applyAlignment="1">
      <alignment horizontal="center" vertical="center"/>
    </xf>
    <xf numFmtId="9" fontId="183" fillId="4" borderId="134" xfId="17" applyFont="1" applyFill="1" applyBorder="1" applyAlignment="1">
      <alignment horizontal="center" vertical="center"/>
    </xf>
    <xf numFmtId="9" fontId="183" fillId="4" borderId="135" xfId="17" applyFont="1" applyFill="1" applyBorder="1" applyAlignment="1">
      <alignment horizontal="center" vertical="center"/>
    </xf>
    <xf numFmtId="9" fontId="183" fillId="4" borderId="136" xfId="17" applyFont="1" applyFill="1" applyBorder="1" applyAlignment="1">
      <alignment horizontal="center" vertical="center"/>
    </xf>
    <xf numFmtId="9" fontId="183" fillId="4" borderId="137" xfId="17" applyFont="1" applyFill="1" applyBorder="1" applyAlignment="1">
      <alignment horizontal="center" vertical="center"/>
    </xf>
    <xf numFmtId="0" fontId="244" fillId="0" borderId="0" xfId="9" applyFont="1" applyFill="1" applyAlignment="1" applyProtection="1">
      <alignment horizontal="center"/>
      <protection locked="0"/>
    </xf>
    <xf numFmtId="0" fontId="107" fillId="0" borderId="0" xfId="9" applyFont="1" applyFill="1" applyBorder="1" applyAlignment="1" applyProtection="1">
      <alignment horizontal="justify" vertical="top" wrapText="1"/>
      <protection locked="0"/>
    </xf>
    <xf numFmtId="0" fontId="93" fillId="0" borderId="0" xfId="9" applyFont="1" applyFill="1" applyBorder="1" applyAlignment="1" applyProtection="1">
      <alignment horizontal="justify" vertical="top" wrapText="1"/>
      <protection locked="0"/>
    </xf>
    <xf numFmtId="0" fontId="177" fillId="18" borderId="0" xfId="9" applyFont="1" applyFill="1" applyBorder="1" applyAlignment="1" applyProtection="1">
      <alignment horizontal="left" vertical="center"/>
      <protection locked="0"/>
    </xf>
    <xf numFmtId="0" fontId="95" fillId="0" borderId="0" xfId="9" applyFont="1" applyBorder="1" applyAlignment="1" applyProtection="1">
      <alignment horizontal="left"/>
      <protection locked="0"/>
    </xf>
    <xf numFmtId="0" fontId="121" fillId="0" borderId="138" xfId="9" applyFont="1" applyBorder="1" applyAlignment="1" applyProtection="1">
      <alignment horizontal="center" vertical="center"/>
      <protection locked="0"/>
    </xf>
    <xf numFmtId="0" fontId="121" fillId="0" borderId="139" xfId="9" applyFont="1" applyBorder="1" applyAlignment="1" applyProtection="1">
      <alignment horizontal="center" vertical="center"/>
      <protection locked="0"/>
    </xf>
    <xf numFmtId="0" fontId="95" fillId="0" borderId="0" xfId="9" applyFont="1" applyBorder="1" applyAlignment="1">
      <alignment horizontal="left"/>
    </xf>
    <xf numFmtId="0" fontId="93" fillId="0" borderId="0" xfId="9" applyFont="1" applyBorder="1" applyAlignment="1" applyProtection="1">
      <alignment horizontal="justify" vertical="top" wrapText="1"/>
      <protection locked="0"/>
    </xf>
    <xf numFmtId="0" fontId="95" fillId="0" borderId="0" xfId="9" applyFont="1" applyFill="1" applyBorder="1" applyAlignment="1">
      <alignment horizontal="left"/>
    </xf>
    <xf numFmtId="0" fontId="93" fillId="0" borderId="65" xfId="9" applyFont="1" applyBorder="1" applyAlignment="1" applyProtection="1">
      <alignment horizontal="justify" vertical="top" wrapText="1"/>
      <protection locked="0"/>
    </xf>
    <xf numFmtId="0" fontId="93" fillId="0" borderId="0" xfId="9" quotePrefix="1" applyFont="1" applyFill="1" applyBorder="1" applyAlignment="1" applyProtection="1">
      <alignment horizontal="justify" vertical="top" wrapText="1"/>
      <protection locked="0"/>
    </xf>
    <xf numFmtId="49" fontId="95" fillId="0" borderId="0" xfId="9" applyNumberFormat="1" applyFont="1" applyFill="1" applyBorder="1" applyAlignment="1" applyProtection="1">
      <alignment horizontal="left" vertical="center" wrapText="1"/>
      <protection locked="0"/>
    </xf>
    <xf numFmtId="0" fontId="95" fillId="0" borderId="0" xfId="9" applyNumberFormat="1" applyFont="1" applyFill="1" applyBorder="1" applyAlignment="1" applyProtection="1">
      <alignment horizontal="left" vertical="center" wrapText="1"/>
      <protection locked="0"/>
    </xf>
    <xf numFmtId="49" fontId="93" fillId="0" borderId="0" xfId="9" applyNumberFormat="1" applyFont="1" applyFill="1" applyBorder="1" applyAlignment="1" applyProtection="1">
      <alignment horizontal="left" vertical="center" wrapText="1"/>
      <protection locked="0"/>
    </xf>
    <xf numFmtId="0" fontId="93" fillId="31" borderId="0" xfId="9" applyNumberFormat="1" applyFont="1" applyFill="1" applyBorder="1" applyAlignment="1" applyProtection="1">
      <alignment horizontal="left" vertical="top" wrapText="1"/>
    </xf>
    <xf numFmtId="0" fontId="231" fillId="0" borderId="65" xfId="9" applyFont="1" applyFill="1" applyBorder="1" applyAlignment="1" applyProtection="1">
      <alignment horizontal="left" vertical="center" wrapText="1"/>
      <protection locked="0"/>
    </xf>
    <xf numFmtId="0" fontId="118" fillId="21" borderId="25" xfId="9" applyFont="1" applyFill="1" applyBorder="1" applyAlignment="1" applyProtection="1">
      <alignment horizontal="left" vertical="center" wrapText="1"/>
    </xf>
    <xf numFmtId="0" fontId="118" fillId="21" borderId="45" xfId="9" applyFont="1" applyFill="1" applyBorder="1" applyAlignment="1" applyProtection="1">
      <alignment horizontal="left" vertical="center" wrapText="1"/>
    </xf>
    <xf numFmtId="0" fontId="118" fillId="21" borderId="46" xfId="9" applyFont="1" applyFill="1" applyBorder="1" applyAlignment="1" applyProtection="1">
      <alignment horizontal="left" vertical="center" wrapText="1"/>
    </xf>
    <xf numFmtId="0" fontId="121" fillId="22" borderId="157" xfId="9" applyFont="1" applyFill="1" applyBorder="1" applyAlignment="1" applyProtection="1">
      <alignment horizontal="left" vertical="center" indent="1"/>
    </xf>
    <xf numFmtId="0" fontId="121" fillId="22" borderId="149" xfId="9" applyFont="1" applyFill="1" applyBorder="1" applyAlignment="1" applyProtection="1">
      <alignment horizontal="left" vertical="center" indent="1"/>
    </xf>
    <xf numFmtId="214" fontId="93" fillId="0" borderId="63" xfId="9" applyNumberFormat="1" applyFont="1" applyFill="1" applyBorder="1" applyAlignment="1" applyProtection="1">
      <alignment horizontal="center" vertical="center"/>
    </xf>
    <xf numFmtId="214" fontId="93" fillId="0" borderId="0" xfId="9" applyNumberFormat="1" applyFont="1" applyFill="1" applyBorder="1" applyAlignment="1" applyProtection="1">
      <alignment horizontal="center" vertical="center"/>
    </xf>
    <xf numFmtId="184" fontId="93" fillId="0" borderId="63" xfId="9" applyNumberFormat="1" applyFont="1" applyFill="1" applyBorder="1" applyAlignment="1" applyProtection="1">
      <alignment horizontal="center" vertical="center"/>
    </xf>
    <xf numFmtId="184" fontId="93" fillId="0" borderId="0" xfId="9" applyNumberFormat="1" applyFont="1" applyFill="1" applyBorder="1" applyAlignment="1" applyProtection="1">
      <alignment horizontal="center" vertical="center"/>
    </xf>
    <xf numFmtId="37" fontId="93" fillId="0" borderId="63" xfId="6" quotePrefix="1" applyNumberFormat="1" applyFont="1" applyFill="1" applyBorder="1" applyAlignment="1" applyProtection="1">
      <alignment horizontal="right" vertical="center" indent="6"/>
    </xf>
    <xf numFmtId="37" fontId="93" fillId="0" borderId="0" xfId="6" quotePrefix="1" applyNumberFormat="1" applyFont="1" applyFill="1" applyBorder="1" applyAlignment="1" applyProtection="1">
      <alignment horizontal="right" vertical="center" indent="6"/>
    </xf>
    <xf numFmtId="37" fontId="93" fillId="0" borderId="26" xfId="6" quotePrefix="1" applyNumberFormat="1" applyFont="1" applyFill="1" applyBorder="1" applyAlignment="1" applyProtection="1">
      <alignment horizontal="right" vertical="center" indent="6"/>
    </xf>
    <xf numFmtId="37" fontId="121" fillId="17" borderId="152" xfId="6" applyNumberFormat="1" applyFont="1" applyFill="1" applyBorder="1" applyAlignment="1" applyProtection="1">
      <alignment horizontal="right" vertical="center" indent="5"/>
    </xf>
    <xf numFmtId="37" fontId="121" fillId="17" borderId="78" xfId="6" applyNumberFormat="1" applyFont="1" applyFill="1" applyBorder="1" applyAlignment="1" applyProtection="1">
      <alignment horizontal="right" vertical="center" indent="5"/>
    </xf>
    <xf numFmtId="37" fontId="121" fillId="17" borderId="79" xfId="6" applyNumberFormat="1" applyFont="1" applyFill="1" applyBorder="1" applyAlignment="1" applyProtection="1">
      <alignment horizontal="right" vertical="center" indent="5"/>
    </xf>
    <xf numFmtId="37" fontId="121" fillId="17" borderId="153" xfId="6" applyNumberFormat="1" applyFont="1" applyFill="1" applyBorder="1" applyAlignment="1" applyProtection="1">
      <alignment horizontal="right" vertical="center" indent="5"/>
    </xf>
    <xf numFmtId="37" fontId="121" fillId="17" borderId="160" xfId="6" quotePrefix="1" applyNumberFormat="1" applyFont="1" applyFill="1" applyBorder="1" applyAlignment="1" applyProtection="1">
      <alignment horizontal="right" vertical="center" indent="5"/>
    </xf>
    <xf numFmtId="37" fontId="121" fillId="17" borderId="72" xfId="6" quotePrefix="1" applyNumberFormat="1" applyFont="1" applyFill="1" applyBorder="1" applyAlignment="1" applyProtection="1">
      <alignment horizontal="right" vertical="center" indent="5"/>
    </xf>
    <xf numFmtId="37" fontId="121" fillId="17" borderId="76" xfId="6" quotePrefix="1" applyNumberFormat="1" applyFont="1" applyFill="1" applyBorder="1" applyAlignment="1" applyProtection="1">
      <alignment horizontal="right" vertical="center" indent="5"/>
    </xf>
    <xf numFmtId="37" fontId="121" fillId="17" borderId="67" xfId="6" quotePrefix="1" applyNumberFormat="1" applyFont="1" applyFill="1" applyBorder="1" applyAlignment="1" applyProtection="1">
      <alignment horizontal="right" vertical="center" indent="5"/>
    </xf>
    <xf numFmtId="184" fontId="93" fillId="0" borderId="25" xfId="9" applyNumberFormat="1" applyFont="1" applyFill="1" applyBorder="1" applyAlignment="1" applyProtection="1">
      <alignment horizontal="center" vertical="center"/>
    </xf>
    <xf numFmtId="184" fontId="93" fillId="0" borderId="45" xfId="9" applyNumberFormat="1" applyFont="1" applyFill="1" applyBorder="1" applyAlignment="1" applyProtection="1">
      <alignment horizontal="center" vertical="center"/>
    </xf>
    <xf numFmtId="37" fontId="93" fillId="0" borderId="25" xfId="6" quotePrefix="1" applyNumberFormat="1" applyFont="1" applyFill="1" applyBorder="1" applyAlignment="1" applyProtection="1">
      <alignment horizontal="right" vertical="center" indent="6"/>
    </xf>
    <xf numFmtId="37" fontId="93" fillId="0" borderId="45" xfId="6" quotePrefix="1" applyNumberFormat="1" applyFont="1" applyFill="1" applyBorder="1" applyAlignment="1" applyProtection="1">
      <alignment horizontal="right" vertical="center" indent="6"/>
    </xf>
    <xf numFmtId="37" fontId="93" fillId="0" borderId="46" xfId="6" quotePrefix="1" applyNumberFormat="1" applyFont="1" applyFill="1" applyBorder="1" applyAlignment="1" applyProtection="1">
      <alignment horizontal="right" vertical="center" indent="6"/>
    </xf>
    <xf numFmtId="37" fontId="95" fillId="4" borderId="148" xfId="6" applyNumberFormat="1" applyFont="1" applyFill="1" applyBorder="1" applyAlignment="1" applyProtection="1">
      <alignment horizontal="right" vertical="center" indent="6"/>
    </xf>
    <xf numFmtId="37" fontId="95" fillId="4" borderId="149" xfId="6" applyNumberFormat="1" applyFont="1" applyFill="1" applyBorder="1" applyAlignment="1" applyProtection="1">
      <alignment horizontal="right" vertical="center" indent="6"/>
    </xf>
    <xf numFmtId="37" fontId="95" fillId="4" borderId="158" xfId="6" applyNumberFormat="1" applyFont="1" applyFill="1" applyBorder="1" applyAlignment="1" applyProtection="1">
      <alignment horizontal="right" vertical="center" indent="6"/>
    </xf>
    <xf numFmtId="0" fontId="225" fillId="22" borderId="151" xfId="9" applyFont="1" applyFill="1" applyBorder="1" applyAlignment="1" applyProtection="1">
      <alignment horizontal="center" vertical="center" wrapText="1"/>
    </xf>
    <xf numFmtId="0" fontId="225" fillId="22" borderId="149" xfId="9" applyFont="1" applyFill="1" applyBorder="1" applyAlignment="1" applyProtection="1">
      <alignment horizontal="center" vertical="center" wrapText="1"/>
    </xf>
    <xf numFmtId="0" fontId="225" fillId="22" borderId="159" xfId="9" applyFont="1" applyFill="1" applyBorder="1" applyAlignment="1" applyProtection="1">
      <alignment horizontal="center" vertical="center" wrapText="1"/>
    </xf>
    <xf numFmtId="0" fontId="177" fillId="0" borderId="25" xfId="9" applyFont="1" applyFill="1" applyBorder="1" applyAlignment="1" applyProtection="1">
      <alignment horizontal="left" vertical="center" wrapText="1"/>
      <protection locked="0"/>
    </xf>
    <xf numFmtId="0" fontId="177" fillId="0" borderId="45" xfId="9" applyFont="1" applyFill="1" applyBorder="1" applyAlignment="1" applyProtection="1">
      <alignment horizontal="left" vertical="center" wrapText="1"/>
      <protection locked="0"/>
    </xf>
    <xf numFmtId="0" fontId="177" fillId="0" borderId="46" xfId="9" applyFont="1" applyFill="1" applyBorder="1" applyAlignment="1" applyProtection="1">
      <alignment horizontal="left" vertical="center" wrapText="1"/>
      <protection locked="0"/>
    </xf>
    <xf numFmtId="9" fontId="98" fillId="4" borderId="144" xfId="17" applyFont="1" applyFill="1" applyBorder="1" applyAlignment="1" applyProtection="1">
      <alignment horizontal="center" vertical="center"/>
      <protection locked="0"/>
    </xf>
    <xf numFmtId="9" fontId="98" fillId="4" borderId="145" xfId="17" applyFont="1" applyFill="1" applyBorder="1" applyAlignment="1" applyProtection="1">
      <alignment horizontal="center" vertical="center"/>
      <protection locked="0"/>
    </xf>
    <xf numFmtId="0" fontId="95" fillId="0" borderId="143" xfId="9" applyFont="1" applyFill="1" applyBorder="1" applyAlignment="1" applyProtection="1">
      <alignment horizontal="center" vertical="center"/>
      <protection locked="0"/>
    </xf>
    <xf numFmtId="0" fontId="95" fillId="0" borderId="0" xfId="9" applyFont="1" applyFill="1" applyAlignment="1" applyProtection="1">
      <alignment horizontal="center" vertical="center"/>
      <protection locked="0"/>
    </xf>
    <xf numFmtId="9" fontId="98" fillId="0" borderId="29" xfId="17" applyFont="1" applyBorder="1" applyAlignment="1" applyProtection="1">
      <alignment horizontal="center" vertical="center"/>
      <protection locked="0"/>
    </xf>
    <xf numFmtId="9" fontId="95" fillId="0" borderId="32" xfId="9" applyNumberFormat="1" applyFont="1" applyFill="1" applyBorder="1" applyAlignment="1" applyProtection="1">
      <alignment horizontal="right" vertical="center"/>
      <protection locked="0"/>
    </xf>
    <xf numFmtId="9" fontId="95" fillId="0" borderId="33" xfId="9" applyNumberFormat="1" applyFont="1" applyFill="1" applyBorder="1" applyAlignment="1" applyProtection="1">
      <alignment horizontal="right" vertical="center"/>
      <protection locked="0"/>
    </xf>
    <xf numFmtId="9" fontId="95" fillId="0" borderId="33" xfId="9" applyNumberFormat="1" applyFont="1" applyFill="1" applyBorder="1" applyAlignment="1" applyProtection="1">
      <alignment horizontal="left" vertical="center"/>
      <protection locked="0"/>
    </xf>
    <xf numFmtId="9" fontId="95" fillId="0" borderId="34" xfId="9" applyNumberFormat="1" applyFont="1" applyFill="1" applyBorder="1" applyAlignment="1" applyProtection="1">
      <alignment horizontal="left" vertical="center"/>
      <protection locked="0"/>
    </xf>
    <xf numFmtId="0" fontId="93" fillId="0" borderId="33" xfId="9" applyFont="1" applyFill="1" applyBorder="1" applyAlignment="1" applyProtection="1">
      <alignment horizontal="center" vertical="center"/>
      <protection locked="0"/>
    </xf>
    <xf numFmtId="0" fontId="93" fillId="0" borderId="33" xfId="9" quotePrefix="1" applyFont="1" applyFill="1" applyBorder="1" applyAlignment="1" applyProtection="1">
      <alignment horizontal="center" vertical="center"/>
      <protection locked="0"/>
    </xf>
    <xf numFmtId="37" fontId="95" fillId="4" borderId="152" xfId="6" quotePrefix="1" applyNumberFormat="1" applyFont="1" applyFill="1" applyBorder="1" applyAlignment="1" applyProtection="1">
      <alignment horizontal="right" vertical="center" indent="6"/>
    </xf>
    <xf numFmtId="37" fontId="95" fillId="4" borderId="78" xfId="6" quotePrefix="1" applyNumberFormat="1" applyFont="1" applyFill="1" applyBorder="1" applyAlignment="1" applyProtection="1">
      <alignment horizontal="right" vertical="center" indent="6"/>
    </xf>
    <xf numFmtId="37" fontId="95" fillId="4" borderId="79" xfId="6" quotePrefix="1" applyNumberFormat="1" applyFont="1" applyFill="1" applyBorder="1" applyAlignment="1" applyProtection="1">
      <alignment horizontal="right" vertical="center" indent="6"/>
    </xf>
    <xf numFmtId="0" fontId="191" fillId="0" borderId="0" xfId="9" applyFont="1" applyAlignment="1" applyProtection="1">
      <alignment horizontal="left" vertical="top"/>
      <protection locked="0"/>
    </xf>
    <xf numFmtId="0" fontId="190" fillId="0" borderId="0" xfId="9" applyFont="1" applyAlignment="1" applyProtection="1">
      <alignment horizontal="left" vertical="top"/>
      <protection locked="0"/>
    </xf>
    <xf numFmtId="0" fontId="192" fillId="0" borderId="0" xfId="9" applyFont="1" applyBorder="1" applyAlignment="1" applyProtection="1">
      <alignment horizontal="left" vertical="top"/>
      <protection locked="0"/>
    </xf>
    <xf numFmtId="0" fontId="193" fillId="0" borderId="0" xfId="9" applyFont="1" applyBorder="1" applyAlignment="1" applyProtection="1">
      <alignment horizontal="left" vertical="top" wrapText="1"/>
      <protection locked="0"/>
    </xf>
    <xf numFmtId="0" fontId="93" fillId="0" borderId="0" xfId="9" applyFont="1" applyFill="1" applyBorder="1" applyAlignment="1" applyProtection="1">
      <alignment horizontal="justify" vertical="center" wrapText="1"/>
      <protection locked="0"/>
    </xf>
    <xf numFmtId="0" fontId="93" fillId="0" borderId="0" xfId="9" applyFont="1" applyBorder="1" applyAlignment="1" applyProtection="1">
      <alignment horizontal="justify" vertical="top" wrapText="1"/>
    </xf>
    <xf numFmtId="0" fontId="121" fillId="17" borderId="77" xfId="9" applyFont="1" applyFill="1" applyBorder="1" applyAlignment="1" applyProtection="1">
      <alignment horizontal="left" vertical="center" indent="1"/>
    </xf>
    <xf numFmtId="0" fontId="121" fillId="17" borderId="78" xfId="9" applyFont="1" applyFill="1" applyBorder="1" applyAlignment="1" applyProtection="1">
      <alignment horizontal="left" vertical="center" indent="1"/>
    </xf>
    <xf numFmtId="0" fontId="93" fillId="0" borderId="63" xfId="9" applyFont="1" applyFill="1" applyBorder="1" applyAlignment="1" applyProtection="1">
      <alignment horizontal="left" vertical="center" indent="1"/>
    </xf>
    <xf numFmtId="0" fontId="93" fillId="0" borderId="0" xfId="9" applyFont="1" applyFill="1" applyBorder="1" applyAlignment="1" applyProtection="1">
      <alignment horizontal="left" vertical="center" indent="1"/>
    </xf>
    <xf numFmtId="0" fontId="93" fillId="0" borderId="26" xfId="9" applyFont="1" applyFill="1" applyBorder="1" applyAlignment="1" applyProtection="1">
      <alignment horizontal="left" vertical="center" indent="1"/>
    </xf>
    <xf numFmtId="184" fontId="93" fillId="4" borderId="63" xfId="9" applyNumberFormat="1" applyFont="1" applyFill="1" applyBorder="1" applyAlignment="1" applyProtection="1">
      <alignment horizontal="center" vertical="center"/>
    </xf>
    <xf numFmtId="184" fontId="93" fillId="4" borderId="0" xfId="9" applyNumberFormat="1" applyFont="1" applyFill="1" applyBorder="1" applyAlignment="1" applyProtection="1">
      <alignment horizontal="center" vertical="center"/>
    </xf>
    <xf numFmtId="0" fontId="121" fillId="22" borderId="154" xfId="9" applyFont="1" applyFill="1" applyBorder="1" applyAlignment="1" applyProtection="1">
      <alignment horizontal="center" vertical="center" wrapText="1"/>
    </xf>
    <xf numFmtId="0" fontId="121" fillId="22" borderId="65" xfId="9" applyFont="1" applyFill="1" applyBorder="1" applyAlignment="1" applyProtection="1">
      <alignment horizontal="center" vertical="center" wrapText="1"/>
    </xf>
    <xf numFmtId="0" fontId="121" fillId="22" borderId="155" xfId="9" applyFont="1" applyFill="1" applyBorder="1" applyAlignment="1" applyProtection="1">
      <alignment horizontal="center" vertical="center" wrapText="1"/>
    </xf>
    <xf numFmtId="0" fontId="121" fillId="22" borderId="156" xfId="9" applyFont="1" applyFill="1" applyBorder="1" applyAlignment="1" applyProtection="1">
      <alignment horizontal="center" vertical="center" wrapText="1"/>
    </xf>
    <xf numFmtId="0" fontId="121" fillId="22" borderId="0" xfId="9" applyFont="1" applyFill="1" applyBorder="1" applyAlignment="1" applyProtection="1">
      <alignment horizontal="center" vertical="center" wrapText="1"/>
    </xf>
    <xf numFmtId="0" fontId="121" fillId="22" borderId="26" xfId="9" applyFont="1" applyFill="1" applyBorder="1" applyAlignment="1" applyProtection="1">
      <alignment horizontal="center" vertical="center" wrapText="1"/>
    </xf>
    <xf numFmtId="37" fontId="93" fillId="4" borderId="25" xfId="6" quotePrefix="1" applyNumberFormat="1" applyFont="1" applyFill="1" applyBorder="1" applyAlignment="1" applyProtection="1">
      <alignment horizontal="right" vertical="center" indent="6"/>
    </xf>
    <xf numFmtId="37" fontId="93" fillId="4" borderId="45" xfId="6" quotePrefix="1" applyNumberFormat="1" applyFont="1" applyFill="1" applyBorder="1" applyAlignment="1" applyProtection="1">
      <alignment horizontal="right" vertical="center" indent="6"/>
    </xf>
    <xf numFmtId="37" fontId="93" fillId="4" borderId="46" xfId="6" quotePrefix="1" applyNumberFormat="1" applyFont="1" applyFill="1" applyBorder="1" applyAlignment="1" applyProtection="1">
      <alignment horizontal="right" vertical="center" indent="6"/>
    </xf>
    <xf numFmtId="37" fontId="95" fillId="4" borderId="153" xfId="6" quotePrefix="1" applyNumberFormat="1" applyFont="1" applyFill="1" applyBorder="1" applyAlignment="1" applyProtection="1">
      <alignment horizontal="right" vertical="center" indent="6"/>
    </xf>
    <xf numFmtId="184" fontId="93" fillId="4" borderId="25" xfId="9" applyNumberFormat="1" applyFont="1" applyFill="1" applyBorder="1" applyAlignment="1" applyProtection="1">
      <alignment horizontal="center" vertical="center"/>
    </xf>
    <xf numFmtId="184" fontId="93" fillId="4" borderId="45" xfId="9" applyNumberFormat="1" applyFont="1" applyFill="1" applyBorder="1" applyAlignment="1" applyProtection="1">
      <alignment horizontal="center" vertical="center"/>
    </xf>
    <xf numFmtId="0" fontId="177" fillId="18" borderId="0" xfId="9" applyFont="1" applyFill="1" applyBorder="1" applyAlignment="1">
      <alignment horizontal="left" vertical="center"/>
    </xf>
    <xf numFmtId="0" fontId="93" fillId="4" borderId="25" xfId="9" applyFont="1" applyFill="1" applyBorder="1" applyAlignment="1" applyProtection="1">
      <alignment horizontal="left" vertical="center" indent="1"/>
    </xf>
    <xf numFmtId="0" fontId="93" fillId="4" borderId="45" xfId="9" applyFont="1" applyFill="1" applyBorder="1" applyAlignment="1" applyProtection="1">
      <alignment horizontal="left" vertical="center" indent="1"/>
    </xf>
    <xf numFmtId="0" fontId="93" fillId="4" borderId="46" xfId="9" applyFont="1" applyFill="1" applyBorder="1" applyAlignment="1" applyProtection="1">
      <alignment horizontal="left" vertical="center" indent="1"/>
    </xf>
    <xf numFmtId="0" fontId="93" fillId="0" borderId="0" xfId="9" applyFont="1" applyAlignment="1" applyProtection="1">
      <alignment horizontal="center" vertical="top"/>
      <protection locked="0"/>
    </xf>
    <xf numFmtId="0" fontId="121" fillId="22" borderId="25" xfId="9" applyFont="1" applyFill="1" applyBorder="1" applyAlignment="1" applyProtection="1">
      <alignment horizontal="center" vertical="center" wrapText="1"/>
    </xf>
    <xf numFmtId="0" fontId="121" fillId="22" borderId="45" xfId="9" applyFont="1" applyFill="1" applyBorder="1" applyAlignment="1" applyProtection="1">
      <alignment horizontal="center" vertical="center" wrapText="1"/>
    </xf>
    <xf numFmtId="0" fontId="121" fillId="22" borderId="98" xfId="9" applyFont="1" applyFill="1" applyBorder="1" applyAlignment="1" applyProtection="1">
      <alignment horizontal="center" vertical="center" wrapText="1"/>
    </xf>
    <xf numFmtId="0" fontId="121" fillId="22" borderId="147" xfId="9" applyFont="1" applyFill="1" applyBorder="1" applyAlignment="1" applyProtection="1">
      <alignment horizontal="center" vertical="center" wrapText="1"/>
    </xf>
    <xf numFmtId="0" fontId="95" fillId="18" borderId="29" xfId="9" applyFont="1" applyFill="1" applyBorder="1" applyAlignment="1" applyProtection="1">
      <alignment horizontal="center" vertical="center" wrapText="1"/>
      <protection locked="0"/>
    </xf>
    <xf numFmtId="0" fontId="95" fillId="4" borderId="29" xfId="9" applyFont="1" applyFill="1" applyBorder="1" applyAlignment="1" applyProtection="1">
      <alignment horizontal="center" vertical="center" wrapText="1"/>
      <protection locked="0"/>
    </xf>
    <xf numFmtId="0" fontId="95" fillId="0" borderId="29" xfId="9" applyFont="1" applyFill="1" applyBorder="1" applyAlignment="1" applyProtection="1">
      <alignment horizontal="center" vertical="center" wrapText="1"/>
      <protection locked="0"/>
    </xf>
    <xf numFmtId="0" fontId="93" fillId="4" borderId="63" xfId="9" applyFont="1" applyFill="1" applyBorder="1" applyAlignment="1" applyProtection="1">
      <alignment horizontal="left" vertical="center" indent="1"/>
    </xf>
    <xf numFmtId="0" fontId="93" fillId="4" borderId="0" xfId="9" applyFont="1" applyFill="1" applyBorder="1" applyAlignment="1" applyProtection="1">
      <alignment horizontal="left" vertical="center" indent="1"/>
    </xf>
    <xf numFmtId="0" fontId="93" fillId="4" borderId="26" xfId="9" applyFont="1" applyFill="1" applyBorder="1" applyAlignment="1" applyProtection="1">
      <alignment horizontal="left" vertical="center" indent="1"/>
    </xf>
    <xf numFmtId="3" fontId="121" fillId="22" borderId="141" xfId="6" applyNumberFormat="1" applyFont="1" applyFill="1" applyBorder="1" applyAlignment="1" applyProtection="1">
      <alignment horizontal="right" vertical="center" indent="1"/>
    </xf>
    <xf numFmtId="3" fontId="93" fillId="0" borderId="1" xfId="9" applyNumberFormat="1" applyFont="1" applyFill="1" applyBorder="1" applyAlignment="1" applyProtection="1">
      <alignment horizontal="center" vertical="center"/>
    </xf>
    <xf numFmtId="3" fontId="93" fillId="0" borderId="1" xfId="6" quotePrefix="1" applyNumberFormat="1" applyFont="1" applyFill="1" applyBorder="1" applyAlignment="1" applyProtection="1">
      <alignment horizontal="right" vertical="center" indent="1"/>
    </xf>
    <xf numFmtId="3" fontId="121" fillId="17" borderId="146" xfId="6" quotePrefix="1" applyNumberFormat="1" applyFont="1" applyFill="1" applyBorder="1" applyAlignment="1" applyProtection="1">
      <alignment horizontal="right" vertical="center" indent="1"/>
    </xf>
    <xf numFmtId="37" fontId="95" fillId="4" borderId="150" xfId="6" applyNumberFormat="1" applyFont="1" applyFill="1" applyBorder="1" applyAlignment="1" applyProtection="1">
      <alignment horizontal="right" vertical="center" indent="6"/>
    </xf>
    <xf numFmtId="0" fontId="121" fillId="22" borderId="151" xfId="9" applyFont="1" applyFill="1" applyBorder="1" applyAlignment="1" applyProtection="1">
      <alignment horizontal="center" vertical="center" wrapText="1"/>
    </xf>
    <xf numFmtId="0" fontId="225" fillId="22" borderId="150" xfId="9" applyFont="1" applyFill="1" applyBorder="1" applyAlignment="1" applyProtection="1">
      <alignment horizontal="center" vertical="center" wrapText="1"/>
    </xf>
    <xf numFmtId="196" fontId="98" fillId="4" borderId="0" xfId="1" applyNumberFormat="1" applyFont="1" applyFill="1" applyBorder="1" applyAlignment="1" applyProtection="1">
      <alignment horizontal="center" vertical="center"/>
      <protection locked="0"/>
    </xf>
    <xf numFmtId="3" fontId="121" fillId="22" borderId="140" xfId="6" applyNumberFormat="1" applyFont="1" applyFill="1" applyBorder="1" applyAlignment="1" applyProtection="1">
      <alignment horizontal="right" vertical="center" indent="1"/>
    </xf>
    <xf numFmtId="3" fontId="121" fillId="22" borderId="142" xfId="6" applyNumberFormat="1" applyFont="1" applyFill="1" applyBorder="1" applyAlignment="1" applyProtection="1">
      <alignment horizontal="right" vertical="center" indent="1"/>
    </xf>
    <xf numFmtId="0" fontId="93" fillId="0" borderId="63" xfId="9" applyFont="1" applyBorder="1" applyAlignment="1">
      <alignment horizontal="center"/>
    </xf>
    <xf numFmtId="0" fontId="93" fillId="0" borderId="26" xfId="9" applyFont="1" applyBorder="1" applyAlignment="1">
      <alignment horizontal="center"/>
    </xf>
    <xf numFmtId="0" fontId="93" fillId="0" borderId="63" xfId="9" quotePrefix="1" applyFont="1" applyBorder="1" applyAlignment="1">
      <alignment horizontal="center"/>
    </xf>
    <xf numFmtId="0" fontId="227" fillId="0" borderId="63" xfId="9" applyFont="1" applyBorder="1" applyAlignment="1">
      <alignment horizontal="right" vertical="top"/>
    </xf>
    <xf numFmtId="0" fontId="227" fillId="0" borderId="0" xfId="9" applyFont="1" applyBorder="1" applyAlignment="1">
      <alignment horizontal="right" vertical="top"/>
    </xf>
    <xf numFmtId="0" fontId="227" fillId="0" borderId="0" xfId="9" applyFont="1" applyBorder="1" applyAlignment="1">
      <alignment horizontal="justify" vertical="top" wrapText="1"/>
    </xf>
    <xf numFmtId="0" fontId="93" fillId="0" borderId="63" xfId="9" applyFont="1" applyBorder="1" applyAlignment="1">
      <alignment horizontal="center" vertical="top"/>
    </xf>
    <xf numFmtId="0" fontId="93" fillId="0" borderId="26" xfId="9" applyFont="1" applyBorder="1" applyAlignment="1">
      <alignment horizontal="center" vertical="top"/>
    </xf>
    <xf numFmtId="0" fontId="93" fillId="0" borderId="0" xfId="9" applyFont="1" applyBorder="1" applyAlignment="1">
      <alignment horizontal="center" vertical="top"/>
    </xf>
    <xf numFmtId="0" fontId="121" fillId="22" borderId="161" xfId="9" applyFont="1" applyFill="1" applyBorder="1" applyAlignment="1">
      <alignment horizontal="center" vertical="center"/>
    </xf>
    <xf numFmtId="0" fontId="121" fillId="22" borderId="162" xfId="9" applyFont="1" applyFill="1" applyBorder="1" applyAlignment="1">
      <alignment horizontal="center" vertical="center"/>
    </xf>
    <xf numFmtId="0" fontId="121" fillId="22" borderId="163" xfId="9" applyFont="1" applyFill="1" applyBorder="1" applyAlignment="1">
      <alignment horizontal="center" vertical="center"/>
    </xf>
    <xf numFmtId="0" fontId="177" fillId="18" borderId="25" xfId="9" applyFont="1" applyFill="1" applyBorder="1" applyAlignment="1">
      <alignment horizontal="center" vertical="center"/>
    </xf>
    <xf numFmtId="0" fontId="177" fillId="18" borderId="45" xfId="9" applyFont="1" applyFill="1" applyBorder="1" applyAlignment="1">
      <alignment horizontal="center" vertical="center"/>
    </xf>
    <xf numFmtId="0" fontId="177" fillId="18" borderId="46" xfId="9" applyFont="1" applyFill="1" applyBorder="1" applyAlignment="1">
      <alignment horizontal="center" vertical="center"/>
    </xf>
    <xf numFmtId="0" fontId="227" fillId="0" borderId="0" xfId="9" applyFont="1" applyBorder="1" applyAlignment="1">
      <alignment horizontal="left" vertical="top" wrapText="1"/>
    </xf>
    <xf numFmtId="0" fontId="93" fillId="0" borderId="63" xfId="9" quotePrefix="1" applyFont="1" applyBorder="1" applyAlignment="1">
      <alignment horizontal="right" vertical="top"/>
    </xf>
    <xf numFmtId="0" fontId="93" fillId="0" borderId="0" xfId="9" applyFont="1" applyBorder="1" applyAlignment="1">
      <alignment horizontal="right" vertical="top"/>
    </xf>
    <xf numFmtId="0" fontId="93" fillId="0" borderId="27" xfId="9" quotePrefix="1" applyFont="1" applyBorder="1" applyAlignment="1">
      <alignment horizontal="right" vertical="top"/>
    </xf>
    <xf numFmtId="0" fontId="93" fillId="0" borderId="65" xfId="9" applyFont="1" applyBorder="1" applyAlignment="1">
      <alignment horizontal="right" vertical="top"/>
    </xf>
    <xf numFmtId="0" fontId="227" fillId="0" borderId="65" xfId="9" applyFont="1" applyBorder="1" applyAlignment="1">
      <alignment horizontal="justify" vertical="top" wrapText="1"/>
    </xf>
    <xf numFmtId="0" fontId="93" fillId="0" borderId="0" xfId="9" applyFont="1" applyBorder="1" applyAlignment="1">
      <alignment horizontal="justify" vertical="top" wrapText="1"/>
    </xf>
    <xf numFmtId="0" fontId="93" fillId="0" borderId="0" xfId="9" applyFont="1" applyAlignment="1">
      <alignment horizontal="justify" vertical="top" wrapText="1"/>
    </xf>
    <xf numFmtId="0" fontId="180" fillId="0" borderId="0" xfId="9" applyFont="1" applyBorder="1" applyAlignment="1">
      <alignment horizontal="left" vertical="top"/>
    </xf>
    <xf numFmtId="0" fontId="131" fillId="18" borderId="181" xfId="9" applyFont="1" applyFill="1" applyBorder="1" applyAlignment="1" applyProtection="1">
      <alignment horizontal="center" vertical="center" wrapText="1"/>
    </xf>
    <xf numFmtId="0" fontId="131" fillId="18" borderId="167" xfId="9" applyFont="1" applyFill="1" applyBorder="1" applyAlignment="1" applyProtection="1">
      <alignment horizontal="center" vertical="center" wrapText="1"/>
    </xf>
    <xf numFmtId="0" fontId="131" fillId="18" borderId="182" xfId="9" applyFont="1" applyFill="1" applyBorder="1" applyAlignment="1" applyProtection="1">
      <alignment horizontal="center" vertical="center" wrapText="1"/>
    </xf>
    <xf numFmtId="0" fontId="131" fillId="18" borderId="169" xfId="9" applyFont="1" applyFill="1" applyBorder="1" applyAlignment="1" applyProtection="1">
      <alignment horizontal="center" vertical="center" wrapText="1"/>
    </xf>
    <xf numFmtId="49" fontId="93" fillId="0" borderId="1" xfId="9" applyNumberFormat="1" applyFont="1" applyFill="1" applyBorder="1" applyAlignment="1" applyProtection="1">
      <alignment horizontal="center" vertical="center" wrapText="1"/>
    </xf>
    <xf numFmtId="0" fontId="93" fillId="0" borderId="1" xfId="9" quotePrefix="1" applyFont="1" applyFill="1" applyBorder="1" applyAlignment="1" applyProtection="1">
      <alignment horizontal="center" vertical="center"/>
    </xf>
    <xf numFmtId="49" fontId="93" fillId="4" borderId="1" xfId="9" applyNumberFormat="1" applyFont="1" applyFill="1" applyBorder="1" applyAlignment="1" applyProtection="1">
      <alignment horizontal="center" vertical="center" wrapText="1"/>
    </xf>
    <xf numFmtId="0" fontId="96" fillId="17" borderId="173" xfId="9" applyFont="1" applyFill="1" applyBorder="1" applyAlignment="1" applyProtection="1">
      <alignment horizontal="center" vertical="center"/>
    </xf>
    <xf numFmtId="0" fontId="96" fillId="17" borderId="146" xfId="9" applyFont="1" applyFill="1" applyBorder="1" applyAlignment="1" applyProtection="1">
      <alignment horizontal="center" vertical="center"/>
    </xf>
    <xf numFmtId="0" fontId="96" fillId="17" borderId="174" xfId="9" applyFont="1" applyFill="1" applyBorder="1" applyAlignment="1" applyProtection="1">
      <alignment horizontal="center" vertical="center"/>
    </xf>
    <xf numFmtId="0" fontId="95" fillId="18" borderId="183" xfId="9" applyFont="1" applyFill="1" applyBorder="1" applyAlignment="1" applyProtection="1">
      <alignment horizontal="center" vertical="center" wrapText="1"/>
    </xf>
    <xf numFmtId="0" fontId="95" fillId="18" borderId="178" xfId="9" applyFont="1" applyFill="1" applyBorder="1" applyAlignment="1" applyProtection="1">
      <alignment horizontal="center" vertical="center" wrapText="1"/>
    </xf>
    <xf numFmtId="0" fontId="95" fillId="18" borderId="184" xfId="9" applyFont="1" applyFill="1" applyBorder="1" applyAlignment="1" applyProtection="1">
      <alignment horizontal="center" vertical="center" wrapText="1"/>
    </xf>
    <xf numFmtId="0" fontId="95" fillId="18" borderId="141" xfId="9" applyFont="1" applyFill="1" applyBorder="1" applyAlignment="1" applyProtection="1">
      <alignment horizontal="center" vertical="center" wrapText="1"/>
    </xf>
    <xf numFmtId="49" fontId="93" fillId="0" borderId="1" xfId="9" applyNumberFormat="1" applyFont="1" applyFill="1" applyBorder="1" applyAlignment="1" applyProtection="1">
      <alignment horizontal="center" vertical="center" wrapText="1"/>
      <protection locked="0"/>
    </xf>
    <xf numFmtId="0" fontId="104" fillId="0" borderId="0" xfId="0" applyFont="1" applyBorder="1" applyAlignment="1" applyProtection="1">
      <alignment horizontal="left" vertical="center"/>
    </xf>
    <xf numFmtId="38" fontId="95" fillId="0" borderId="1" xfId="9" applyNumberFormat="1" applyFont="1" applyFill="1" applyBorder="1" applyAlignment="1" applyProtection="1">
      <alignment horizontal="center" vertical="center"/>
      <protection locked="0"/>
    </xf>
    <xf numFmtId="0" fontId="95" fillId="18" borderId="25" xfId="9" applyFont="1" applyFill="1" applyBorder="1" applyAlignment="1">
      <alignment horizontal="right" vertical="center" indent="1"/>
    </xf>
    <xf numFmtId="0" fontId="95" fillId="18" borderId="45" xfId="9" applyFont="1" applyFill="1" applyBorder="1" applyAlignment="1">
      <alignment horizontal="right" vertical="center" indent="1"/>
    </xf>
    <xf numFmtId="0" fontId="95" fillId="18" borderId="98" xfId="9" applyFont="1" applyFill="1" applyBorder="1" applyAlignment="1">
      <alignment horizontal="right" vertical="center" indent="1"/>
    </xf>
    <xf numFmtId="38" fontId="95" fillId="18" borderId="96" xfId="9" applyNumberFormat="1" applyFont="1" applyFill="1" applyBorder="1" applyAlignment="1" applyProtection="1">
      <alignment horizontal="center" vertical="center"/>
      <protection locked="0"/>
    </xf>
    <xf numFmtId="38" fontId="95" fillId="18" borderId="97" xfId="9" applyNumberFormat="1" applyFont="1" applyFill="1" applyBorder="1" applyAlignment="1" applyProtection="1">
      <alignment horizontal="center" vertical="center"/>
      <protection locked="0"/>
    </xf>
    <xf numFmtId="185" fontId="93" fillId="0" borderId="0" xfId="9" applyNumberFormat="1" applyFont="1" applyFill="1" applyBorder="1" applyAlignment="1" applyProtection="1">
      <alignment horizontal="left" vertical="center" indent="1"/>
      <protection locked="0"/>
    </xf>
    <xf numFmtId="185" fontId="93" fillId="0" borderId="26" xfId="9" applyNumberFormat="1" applyFont="1" applyFill="1" applyBorder="1" applyAlignment="1" applyProtection="1">
      <alignment horizontal="left" vertical="center" indent="1"/>
      <protection locked="0"/>
    </xf>
    <xf numFmtId="216" fontId="93" fillId="0" borderId="0" xfId="17" applyNumberFormat="1" applyFont="1" applyFill="1" applyBorder="1" applyAlignment="1" applyProtection="1">
      <alignment horizontal="center" vertical="center"/>
      <protection locked="0"/>
    </xf>
    <xf numFmtId="216" fontId="93" fillId="0" borderId="26" xfId="17" applyNumberFormat="1" applyFont="1" applyFill="1" applyBorder="1" applyAlignment="1" applyProtection="1">
      <alignment horizontal="center" vertical="center"/>
      <protection locked="0"/>
    </xf>
    <xf numFmtId="0" fontId="93" fillId="0" borderId="63" xfId="9" applyFont="1" applyBorder="1" applyAlignment="1" applyProtection="1">
      <alignment horizontal="left" vertical="center" indent="1"/>
    </xf>
    <xf numFmtId="0" fontId="93" fillId="0" borderId="0" xfId="9" applyFont="1" applyBorder="1" applyAlignment="1" applyProtection="1">
      <alignment horizontal="left" vertical="center" indent="1"/>
    </xf>
    <xf numFmtId="0" fontId="93" fillId="0" borderId="25" xfId="9" quotePrefix="1" applyFont="1" applyFill="1" applyBorder="1" applyAlignment="1" applyProtection="1">
      <alignment horizontal="center" vertical="center"/>
    </xf>
    <xf numFmtId="0" fontId="93" fillId="0" borderId="46" xfId="9" quotePrefix="1" applyFont="1" applyFill="1" applyBorder="1" applyAlignment="1" applyProtection="1">
      <alignment horizontal="center" vertical="center"/>
    </xf>
    <xf numFmtId="49" fontId="93" fillId="0" borderId="1" xfId="9" quotePrefix="1" applyNumberFormat="1" applyFont="1" applyFill="1" applyBorder="1" applyAlignment="1" applyProtection="1">
      <alignment horizontal="center" vertical="center" wrapText="1"/>
      <protection locked="0"/>
    </xf>
    <xf numFmtId="0" fontId="114" fillId="0" borderId="0" xfId="0" applyFont="1" applyBorder="1" applyAlignment="1" applyProtection="1">
      <alignment horizontal="right" vertical="center"/>
    </xf>
    <xf numFmtId="191" fontId="235" fillId="0" borderId="0" xfId="6" applyNumberFormat="1" applyFont="1" applyFill="1" applyBorder="1" applyAlignment="1" applyProtection="1">
      <alignment horizontal="left" vertical="top"/>
      <protection locked="0"/>
    </xf>
    <xf numFmtId="191" fontId="235" fillId="0" borderId="0" xfId="6" quotePrefix="1" applyNumberFormat="1" applyFont="1" applyFill="1" applyBorder="1" applyAlignment="1" applyProtection="1">
      <alignment horizontal="left" vertical="top"/>
      <protection locked="0"/>
    </xf>
    <xf numFmtId="196" fontId="92" fillId="0" borderId="0" xfId="1" applyNumberFormat="1" applyFont="1" applyBorder="1" applyAlignment="1" applyProtection="1">
      <alignment horizontal="left" vertical="center"/>
    </xf>
    <xf numFmtId="0" fontId="95" fillId="18" borderId="178" xfId="9" quotePrefix="1" applyFont="1" applyFill="1" applyBorder="1" applyAlignment="1" applyProtection="1">
      <alignment horizontal="center" vertical="center" wrapText="1"/>
    </xf>
    <xf numFmtId="0" fontId="95" fillId="18" borderId="179" xfId="9" applyFont="1" applyFill="1" applyBorder="1" applyAlignment="1" applyProtection="1">
      <alignment horizontal="center" vertical="center" wrapText="1"/>
    </xf>
    <xf numFmtId="0" fontId="95" fillId="18" borderId="180" xfId="9" applyFont="1" applyFill="1" applyBorder="1" applyAlignment="1" applyProtection="1">
      <alignment horizontal="center" vertical="center" wrapText="1"/>
    </xf>
    <xf numFmtId="0" fontId="107" fillId="0" borderId="0" xfId="9" applyFont="1" applyBorder="1" applyAlignment="1" applyProtection="1">
      <alignment horizontal="justify" vertical="top"/>
      <protection locked="0"/>
    </xf>
    <xf numFmtId="0" fontId="96" fillId="17" borderId="25" xfId="9" applyFont="1" applyFill="1" applyBorder="1" applyAlignment="1" applyProtection="1">
      <alignment horizontal="center" vertical="center"/>
    </xf>
    <xf numFmtId="0" fontId="96" fillId="17" borderId="45" xfId="9" applyFont="1" applyFill="1" applyBorder="1" applyAlignment="1" applyProtection="1">
      <alignment horizontal="center" vertical="center"/>
    </xf>
    <xf numFmtId="0" fontId="96" fillId="17" borderId="46" xfId="9" applyFont="1" applyFill="1" applyBorder="1" applyAlignment="1" applyProtection="1">
      <alignment horizontal="center" vertical="center"/>
    </xf>
    <xf numFmtId="0" fontId="107" fillId="15" borderId="0" xfId="9" applyFont="1" applyFill="1" applyBorder="1" applyAlignment="1" applyProtection="1">
      <alignment horizontal="justify" vertical="top" wrapText="1"/>
      <protection locked="0"/>
    </xf>
    <xf numFmtId="190" fontId="95" fillId="0" borderId="72" xfId="6" quotePrefix="1" applyNumberFormat="1" applyFont="1" applyFill="1" applyBorder="1" applyAlignment="1" applyProtection="1">
      <alignment horizontal="left" vertical="center"/>
    </xf>
    <xf numFmtId="190" fontId="95" fillId="0" borderId="65" xfId="6" quotePrefix="1" applyNumberFormat="1" applyFont="1" applyFill="1" applyBorder="1" applyAlignment="1" applyProtection="1">
      <alignment horizontal="left" vertical="center"/>
    </xf>
    <xf numFmtId="0" fontId="96" fillId="17" borderId="1" xfId="9" applyFont="1" applyFill="1" applyBorder="1" applyAlignment="1" applyProtection="1">
      <alignment horizontal="center" vertical="center"/>
    </xf>
    <xf numFmtId="184" fontId="95" fillId="0" borderId="0" xfId="9" applyNumberFormat="1" applyFont="1" applyFill="1" applyBorder="1" applyAlignment="1" applyProtection="1">
      <alignment horizontal="left" vertical="center" indent="1"/>
    </xf>
    <xf numFmtId="184" fontId="95" fillId="0" borderId="26" xfId="9" applyNumberFormat="1" applyFont="1" applyFill="1" applyBorder="1" applyAlignment="1" applyProtection="1">
      <alignment horizontal="left" vertical="center" indent="1"/>
    </xf>
    <xf numFmtId="0" fontId="93" fillId="0" borderId="25" xfId="9" applyFont="1" applyFill="1" applyBorder="1" applyAlignment="1" applyProtection="1">
      <alignment horizontal="center" vertical="center"/>
    </xf>
    <xf numFmtId="0" fontId="93" fillId="0" borderId="46" xfId="9" applyFont="1" applyFill="1" applyBorder="1" applyAlignment="1" applyProtection="1">
      <alignment horizontal="center" vertical="center"/>
    </xf>
    <xf numFmtId="49" fontId="93" fillId="4" borderId="1" xfId="9" quotePrefix="1" applyNumberFormat="1" applyFont="1" applyFill="1" applyBorder="1" applyAlignment="1" applyProtection="1">
      <alignment horizontal="center" vertical="center" wrapText="1"/>
      <protection locked="0"/>
    </xf>
    <xf numFmtId="49" fontId="93" fillId="4" borderId="1" xfId="9" applyNumberFormat="1" applyFont="1" applyFill="1" applyBorder="1" applyAlignment="1" applyProtection="1">
      <alignment horizontal="center" vertical="center" wrapText="1"/>
      <protection locked="0"/>
    </xf>
    <xf numFmtId="0" fontId="93" fillId="0" borderId="73" xfId="9" applyFont="1" applyBorder="1" applyAlignment="1" applyProtection="1">
      <alignment horizontal="center" vertical="center"/>
    </xf>
    <xf numFmtId="0" fontId="93" fillId="0" borderId="67" xfId="9" applyFont="1" applyBorder="1" applyAlignment="1" applyProtection="1">
      <alignment horizontal="center" vertical="center"/>
    </xf>
    <xf numFmtId="0" fontId="93" fillId="0" borderId="63" xfId="9" applyFont="1" applyBorder="1" applyAlignment="1" applyProtection="1">
      <alignment horizontal="center" vertical="center"/>
    </xf>
    <xf numFmtId="0" fontId="93" fillId="0" borderId="26" xfId="9" applyFont="1" applyBorder="1" applyAlignment="1" applyProtection="1">
      <alignment horizontal="center" vertical="center"/>
    </xf>
    <xf numFmtId="0" fontId="93" fillId="0" borderId="27" xfId="9" applyFont="1" applyBorder="1" applyAlignment="1" applyProtection="1">
      <alignment horizontal="center" vertical="center"/>
    </xf>
    <xf numFmtId="0" fontId="93" fillId="0" borderId="66" xfId="9" applyFont="1" applyBorder="1" applyAlignment="1" applyProtection="1">
      <alignment horizontal="center" vertical="center"/>
    </xf>
    <xf numFmtId="49" fontId="93" fillId="0" borderId="73" xfId="9" applyNumberFormat="1" applyFont="1" applyFill="1" applyBorder="1" applyAlignment="1" applyProtection="1">
      <alignment horizontal="center" vertical="center" wrapText="1"/>
      <protection locked="0"/>
    </xf>
    <xf numFmtId="49" fontId="93" fillId="0" borderId="72" xfId="9" applyNumberFormat="1" applyFont="1" applyFill="1" applyBorder="1" applyAlignment="1" applyProtection="1">
      <alignment horizontal="center" vertical="center" wrapText="1"/>
      <protection locked="0"/>
    </xf>
    <xf numFmtId="49" fontId="93" fillId="0" borderId="67" xfId="9" applyNumberFormat="1" applyFont="1" applyFill="1" applyBorder="1" applyAlignment="1" applyProtection="1">
      <alignment horizontal="center" vertical="center" wrapText="1"/>
      <protection locked="0"/>
    </xf>
    <xf numFmtId="49" fontId="93" fillId="0" borderId="63" xfId="9" applyNumberFormat="1" applyFont="1" applyFill="1" applyBorder="1" applyAlignment="1" applyProtection="1">
      <alignment horizontal="center" vertical="center" wrapText="1"/>
      <protection locked="0"/>
    </xf>
    <xf numFmtId="49" fontId="93" fillId="0" borderId="0" xfId="9" applyNumberFormat="1" applyFont="1" applyFill="1" applyBorder="1" applyAlignment="1" applyProtection="1">
      <alignment horizontal="center" vertical="center" wrapText="1"/>
      <protection locked="0"/>
    </xf>
    <xf numFmtId="49" fontId="93" fillId="0" borderId="26" xfId="9" applyNumberFormat="1" applyFont="1" applyFill="1" applyBorder="1" applyAlignment="1" applyProtection="1">
      <alignment horizontal="center" vertical="center" wrapText="1"/>
      <protection locked="0"/>
    </xf>
    <xf numFmtId="49" fontId="93" fillId="0" borderId="27" xfId="9" applyNumberFormat="1" applyFont="1" applyFill="1" applyBorder="1" applyAlignment="1" applyProtection="1">
      <alignment horizontal="center" vertical="center" wrapText="1"/>
      <protection locked="0"/>
    </xf>
    <xf numFmtId="49" fontId="93" fillId="0" borderId="65" xfId="9" applyNumberFormat="1" applyFont="1" applyFill="1" applyBorder="1" applyAlignment="1" applyProtection="1">
      <alignment horizontal="center" vertical="center" wrapText="1"/>
      <protection locked="0"/>
    </xf>
    <xf numFmtId="49" fontId="93" fillId="0" borderId="66" xfId="9" applyNumberFormat="1" applyFont="1" applyFill="1" applyBorder="1" applyAlignment="1" applyProtection="1">
      <alignment horizontal="center" vertical="center" wrapText="1"/>
      <protection locked="0"/>
    </xf>
    <xf numFmtId="49" fontId="104" fillId="0" borderId="24" xfId="9" applyNumberFormat="1" applyFont="1" applyBorder="1" applyAlignment="1" applyProtection="1">
      <alignment horizontal="center" vertical="center" wrapText="1"/>
    </xf>
    <xf numFmtId="49" fontId="104" fillId="0" borderId="72" xfId="9" applyNumberFormat="1" applyFont="1" applyBorder="1" applyAlignment="1" applyProtection="1">
      <alignment horizontal="center" vertical="center" wrapText="1"/>
    </xf>
    <xf numFmtId="49" fontId="104" fillId="0" borderId="67" xfId="9" applyNumberFormat="1" applyFont="1" applyBorder="1" applyAlignment="1" applyProtection="1">
      <alignment horizontal="center" vertical="center" wrapText="1"/>
    </xf>
    <xf numFmtId="49" fontId="93" fillId="0" borderId="73" xfId="9" quotePrefix="1" applyNumberFormat="1" applyFont="1" applyFill="1" applyBorder="1" applyAlignment="1" applyProtection="1">
      <alignment horizontal="center" vertical="center" wrapText="1"/>
      <protection locked="0"/>
    </xf>
    <xf numFmtId="49" fontId="123" fillId="0" borderId="73" xfId="9" applyNumberFormat="1" applyFont="1" applyFill="1" applyBorder="1" applyAlignment="1" applyProtection="1">
      <alignment horizontal="center" vertical="center" wrapText="1"/>
      <protection locked="0"/>
    </xf>
    <xf numFmtId="49" fontId="123" fillId="0" borderId="72" xfId="9" applyNumberFormat="1" applyFont="1" applyFill="1" applyBorder="1" applyAlignment="1" applyProtection="1">
      <alignment horizontal="center" vertical="center" wrapText="1"/>
      <protection locked="0"/>
    </xf>
    <xf numFmtId="49" fontId="123" fillId="0" borderId="67" xfId="9" applyNumberFormat="1" applyFont="1" applyFill="1" applyBorder="1" applyAlignment="1" applyProtection="1">
      <alignment horizontal="center" vertical="center" wrapText="1"/>
      <protection locked="0"/>
    </xf>
    <xf numFmtId="49" fontId="123" fillId="0" borderId="63" xfId="9" applyNumberFormat="1" applyFont="1" applyFill="1" applyBorder="1" applyAlignment="1" applyProtection="1">
      <alignment horizontal="center" vertical="center" wrapText="1"/>
      <protection locked="0"/>
    </xf>
    <xf numFmtId="49" fontId="123" fillId="0" borderId="0" xfId="9" applyNumberFormat="1" applyFont="1" applyFill="1" applyBorder="1" applyAlignment="1" applyProtection="1">
      <alignment horizontal="center" vertical="center" wrapText="1"/>
      <protection locked="0"/>
    </xf>
    <xf numFmtId="49" fontId="123" fillId="0" borderId="26" xfId="9" applyNumberFormat="1" applyFont="1" applyFill="1" applyBorder="1" applyAlignment="1" applyProtection="1">
      <alignment horizontal="center" vertical="center" wrapText="1"/>
      <protection locked="0"/>
    </xf>
    <xf numFmtId="49" fontId="123" fillId="0" borderId="27" xfId="9" applyNumberFormat="1" applyFont="1" applyFill="1" applyBorder="1" applyAlignment="1" applyProtection="1">
      <alignment horizontal="center" vertical="center" wrapText="1"/>
      <protection locked="0"/>
    </xf>
    <xf numFmtId="49" fontId="123" fillId="0" borderId="65" xfId="9" applyNumberFormat="1" applyFont="1" applyFill="1" applyBorder="1" applyAlignment="1" applyProtection="1">
      <alignment horizontal="center" vertical="center" wrapText="1"/>
      <protection locked="0"/>
    </xf>
    <xf numFmtId="49" fontId="123" fillId="0" borderId="66" xfId="9" applyNumberFormat="1" applyFont="1" applyFill="1" applyBorder="1" applyAlignment="1" applyProtection="1">
      <alignment horizontal="center" vertical="center" wrapText="1"/>
      <protection locked="0"/>
    </xf>
    <xf numFmtId="49" fontId="93" fillId="0" borderId="72" xfId="9" quotePrefix="1" applyNumberFormat="1" applyFont="1" applyFill="1" applyBorder="1" applyAlignment="1" applyProtection="1">
      <alignment horizontal="center" vertical="center" wrapText="1"/>
      <protection locked="0"/>
    </xf>
    <xf numFmtId="49" fontId="93" fillId="0" borderId="67" xfId="9" quotePrefix="1" applyNumberFormat="1" applyFont="1" applyFill="1" applyBorder="1" applyAlignment="1" applyProtection="1">
      <alignment horizontal="center" vertical="center" wrapText="1"/>
      <protection locked="0"/>
    </xf>
    <xf numFmtId="49" fontId="93" fillId="0" borderId="63" xfId="9" quotePrefix="1" applyNumberFormat="1" applyFont="1" applyFill="1" applyBorder="1" applyAlignment="1" applyProtection="1">
      <alignment horizontal="center" vertical="center" wrapText="1"/>
      <protection locked="0"/>
    </xf>
    <xf numFmtId="49" fontId="93" fillId="0" borderId="0" xfId="9" quotePrefix="1" applyNumberFormat="1" applyFont="1" applyFill="1" applyBorder="1" applyAlignment="1" applyProtection="1">
      <alignment horizontal="center" vertical="center" wrapText="1"/>
      <protection locked="0"/>
    </xf>
    <xf numFmtId="49" fontId="93" fillId="0" borderId="26" xfId="9" quotePrefix="1" applyNumberFormat="1" applyFont="1" applyFill="1" applyBorder="1" applyAlignment="1" applyProtection="1">
      <alignment horizontal="center" vertical="center" wrapText="1"/>
      <protection locked="0"/>
    </xf>
    <xf numFmtId="49" fontId="93" fillId="0" borderId="27" xfId="9" quotePrefix="1" applyNumberFormat="1" applyFont="1" applyFill="1" applyBorder="1" applyAlignment="1" applyProtection="1">
      <alignment horizontal="center" vertical="center" wrapText="1"/>
      <protection locked="0"/>
    </xf>
    <xf numFmtId="49" fontId="93" fillId="0" borderId="65" xfId="9" quotePrefix="1" applyNumberFormat="1" applyFont="1" applyFill="1" applyBorder="1" applyAlignment="1" applyProtection="1">
      <alignment horizontal="center" vertical="center" wrapText="1"/>
      <protection locked="0"/>
    </xf>
    <xf numFmtId="49" fontId="93" fillId="0" borderId="66" xfId="9" quotePrefix="1" applyNumberFormat="1" applyFont="1" applyFill="1" applyBorder="1" applyAlignment="1" applyProtection="1">
      <alignment horizontal="center" vertical="center" wrapText="1"/>
      <protection locked="0"/>
    </xf>
    <xf numFmtId="38" fontId="95" fillId="0" borderId="73" xfId="9" applyNumberFormat="1" applyFont="1" applyFill="1" applyBorder="1" applyAlignment="1" applyProtection="1">
      <alignment horizontal="center" vertical="center"/>
      <protection locked="0"/>
    </xf>
    <xf numFmtId="38" fontId="95" fillId="0" borderId="72" xfId="9" applyNumberFormat="1" applyFont="1" applyFill="1" applyBorder="1" applyAlignment="1" applyProtection="1">
      <alignment horizontal="center" vertical="center"/>
      <protection locked="0"/>
    </xf>
    <xf numFmtId="38" fontId="95" fillId="0" borderId="67" xfId="9" applyNumberFormat="1" applyFont="1" applyFill="1" applyBorder="1" applyAlignment="1" applyProtection="1">
      <alignment horizontal="center" vertical="center"/>
      <protection locked="0"/>
    </xf>
    <xf numFmtId="38" fontId="95" fillId="0" borderId="63" xfId="9" applyNumberFormat="1" applyFont="1" applyFill="1" applyBorder="1" applyAlignment="1" applyProtection="1">
      <alignment horizontal="center" vertical="center"/>
      <protection locked="0"/>
    </xf>
    <xf numFmtId="38" fontId="95" fillId="0" borderId="0" xfId="9" applyNumberFormat="1" applyFont="1" applyFill="1" applyBorder="1" applyAlignment="1" applyProtection="1">
      <alignment horizontal="center" vertical="center"/>
      <protection locked="0"/>
    </xf>
    <xf numFmtId="38" fontId="95" fillId="0" borderId="26" xfId="9" applyNumberFormat="1" applyFont="1" applyFill="1" applyBorder="1" applyAlignment="1" applyProtection="1">
      <alignment horizontal="center" vertical="center"/>
      <protection locked="0"/>
    </xf>
    <xf numFmtId="38" fontId="95" fillId="0" borderId="27" xfId="9" applyNumberFormat="1" applyFont="1" applyFill="1" applyBorder="1" applyAlignment="1" applyProtection="1">
      <alignment horizontal="center" vertical="center"/>
      <protection locked="0"/>
    </xf>
    <xf numFmtId="38" fontId="95" fillId="0" borderId="65" xfId="9" applyNumberFormat="1" applyFont="1" applyFill="1" applyBorder="1" applyAlignment="1" applyProtection="1">
      <alignment horizontal="center" vertical="center"/>
      <protection locked="0"/>
    </xf>
    <xf numFmtId="38" fontId="95" fillId="0" borderId="66" xfId="9" applyNumberFormat="1" applyFont="1" applyFill="1" applyBorder="1" applyAlignment="1" applyProtection="1">
      <alignment horizontal="center" vertical="center"/>
      <protection locked="0"/>
    </xf>
    <xf numFmtId="49" fontId="104" fillId="0" borderId="23" xfId="9" applyNumberFormat="1" applyFont="1" applyBorder="1" applyAlignment="1" applyProtection="1">
      <alignment horizontal="center" vertical="center" wrapText="1"/>
    </xf>
    <xf numFmtId="49" fontId="104" fillId="0" borderId="0" xfId="9" applyNumberFormat="1" applyFont="1" applyBorder="1" applyAlignment="1" applyProtection="1">
      <alignment horizontal="center" vertical="center" wrapText="1"/>
    </xf>
    <xf numFmtId="49" fontId="104" fillId="0" borderId="26" xfId="9" applyNumberFormat="1" applyFont="1" applyBorder="1" applyAlignment="1" applyProtection="1">
      <alignment horizontal="center" vertical="center" wrapText="1"/>
    </xf>
    <xf numFmtId="49" fontId="104" fillId="0" borderId="48" xfId="9" applyNumberFormat="1" applyFont="1" applyBorder="1" applyAlignment="1" applyProtection="1">
      <alignment horizontal="center" vertical="center" wrapText="1"/>
    </xf>
    <xf numFmtId="49" fontId="104" fillId="0" borderId="65" xfId="9" applyNumberFormat="1" applyFont="1" applyBorder="1" applyAlignment="1" applyProtection="1">
      <alignment horizontal="center" vertical="center" wrapText="1"/>
    </xf>
    <xf numFmtId="49" fontId="104" fillId="0" borderId="66" xfId="9" applyNumberFormat="1" applyFont="1" applyBorder="1" applyAlignment="1" applyProtection="1">
      <alignment horizontal="center" vertical="center" wrapText="1"/>
    </xf>
    <xf numFmtId="0" fontId="93" fillId="0" borderId="0" xfId="9" quotePrefix="1" applyFont="1" applyFill="1" applyBorder="1" applyAlignment="1" applyProtection="1">
      <alignment horizontal="left" vertical="center"/>
      <protection locked="0"/>
    </xf>
    <xf numFmtId="194" fontId="93" fillId="0" borderId="0" xfId="9" applyNumberFormat="1" applyFont="1" applyFill="1" applyBorder="1" applyAlignment="1" applyProtection="1">
      <alignment horizontal="left" vertical="center"/>
      <protection locked="0"/>
    </xf>
    <xf numFmtId="194" fontId="93" fillId="0" borderId="26" xfId="9" applyNumberFormat="1" applyFont="1" applyFill="1" applyBorder="1" applyAlignment="1" applyProtection="1">
      <alignment horizontal="left" vertical="center"/>
      <protection locked="0"/>
    </xf>
    <xf numFmtId="186" fontId="93" fillId="0" borderId="0" xfId="9" applyNumberFormat="1" applyFont="1" applyFill="1" applyBorder="1" applyAlignment="1" applyProtection="1">
      <alignment horizontal="left" vertical="center"/>
      <protection locked="0"/>
    </xf>
    <xf numFmtId="0" fontId="161" fillId="18" borderId="73" xfId="9" applyFont="1" applyFill="1" applyBorder="1" applyAlignment="1" applyProtection="1">
      <alignment horizontal="left" vertical="center" wrapText="1" indent="1"/>
    </xf>
    <xf numFmtId="0" fontId="161" fillId="18" borderId="72" xfId="9" applyFont="1" applyFill="1" applyBorder="1" applyAlignment="1" applyProtection="1">
      <alignment horizontal="left" vertical="center" wrapText="1" indent="1"/>
    </xf>
    <xf numFmtId="0" fontId="161" fillId="18" borderId="67" xfId="9" applyFont="1" applyFill="1" applyBorder="1" applyAlignment="1" applyProtection="1">
      <alignment horizontal="left" vertical="center" wrapText="1" indent="1"/>
    </xf>
    <xf numFmtId="0" fontId="93" fillId="0" borderId="0" xfId="9" applyFont="1" applyBorder="1" applyAlignment="1" applyProtection="1">
      <alignment horizontal="left" vertical="top"/>
    </xf>
    <xf numFmtId="217" fontId="93" fillId="0" borderId="0" xfId="9" applyNumberFormat="1" applyFont="1" applyFill="1" applyBorder="1" applyAlignment="1" applyProtection="1">
      <alignment horizontal="left" vertical="center"/>
      <protection locked="0"/>
    </xf>
    <xf numFmtId="217" fontId="93" fillId="0" borderId="0" xfId="9" applyNumberFormat="1" applyFont="1" applyFill="1" applyBorder="1" applyAlignment="1" applyProtection="1">
      <alignment horizontal="left" vertical="center" indent="1"/>
      <protection locked="0"/>
    </xf>
    <xf numFmtId="0" fontId="180" fillId="0" borderId="24" xfId="9" applyFont="1" applyFill="1" applyBorder="1" applyAlignment="1" applyProtection="1">
      <alignment horizontal="center" vertical="center"/>
      <protection locked="0"/>
    </xf>
    <xf numFmtId="0" fontId="180" fillId="0" borderId="48" xfId="9" applyFont="1" applyFill="1" applyBorder="1" applyAlignment="1" applyProtection="1">
      <alignment horizontal="center" vertical="center"/>
      <protection locked="0"/>
    </xf>
    <xf numFmtId="0" fontId="95" fillId="0" borderId="171" xfId="9" applyFont="1" applyFill="1" applyBorder="1" applyAlignment="1" applyProtection="1">
      <alignment horizontal="center" vertical="center"/>
      <protection locked="0"/>
    </xf>
    <xf numFmtId="0" fontId="95" fillId="0" borderId="172" xfId="9" applyFont="1" applyFill="1" applyBorder="1" applyAlignment="1" applyProtection="1">
      <alignment horizontal="center" vertical="center"/>
      <protection locked="0"/>
    </xf>
    <xf numFmtId="0" fontId="161" fillId="18" borderId="175" xfId="9" applyFont="1" applyFill="1" applyBorder="1" applyAlignment="1" applyProtection="1">
      <alignment horizontal="left" vertical="center" wrapText="1" indent="1"/>
    </xf>
    <xf numFmtId="0" fontId="161" fillId="18" borderId="176" xfId="9" applyFont="1" applyFill="1" applyBorder="1" applyAlignment="1" applyProtection="1">
      <alignment horizontal="left" vertical="center" wrapText="1" indent="1"/>
    </xf>
    <xf numFmtId="0" fontId="161" fillId="18" borderId="177" xfId="9" applyFont="1" applyFill="1" applyBorder="1" applyAlignment="1" applyProtection="1">
      <alignment horizontal="left" vertical="center" wrapText="1" indent="1"/>
    </xf>
    <xf numFmtId="0" fontId="93" fillId="0" borderId="63" xfId="9" applyFont="1" applyBorder="1" applyAlignment="1" applyProtection="1">
      <alignment vertical="center"/>
    </xf>
    <xf numFmtId="0" fontId="93" fillId="0" borderId="0" xfId="9" applyFont="1" applyBorder="1" applyAlignment="1" applyProtection="1">
      <alignment vertical="center"/>
    </xf>
    <xf numFmtId="0" fontId="93" fillId="0" borderId="0" xfId="9" applyFont="1" applyFill="1" applyBorder="1" applyAlignment="1" applyProtection="1">
      <alignment horizontal="center" vertical="center"/>
    </xf>
    <xf numFmtId="0" fontId="93" fillId="0" borderId="63" xfId="9" applyFont="1" applyBorder="1" applyAlignment="1" applyProtection="1">
      <alignment vertical="top"/>
    </xf>
    <xf numFmtId="0" fontId="93" fillId="0" borderId="0" xfId="9" applyFont="1" applyBorder="1" applyAlignment="1" applyProtection="1">
      <alignment vertical="top"/>
    </xf>
    <xf numFmtId="0" fontId="93" fillId="0" borderId="0" xfId="9" applyFont="1" applyBorder="1" applyAlignment="1" applyProtection="1">
      <alignment horizontal="left"/>
    </xf>
    <xf numFmtId="216" fontId="93" fillId="0" borderId="0" xfId="17" applyNumberFormat="1" applyFont="1" applyFill="1" applyBorder="1" applyAlignment="1" applyProtection="1">
      <alignment horizontal="center"/>
      <protection locked="0"/>
    </xf>
    <xf numFmtId="216" fontId="93" fillId="0" borderId="26" xfId="17" applyNumberFormat="1" applyFont="1" applyFill="1" applyBorder="1" applyAlignment="1" applyProtection="1">
      <alignment horizontal="center"/>
      <protection locked="0"/>
    </xf>
    <xf numFmtId="216" fontId="203" fillId="0" borderId="68" xfId="4" applyNumberFormat="1" applyFont="1" applyBorder="1" applyAlignment="1" applyProtection="1">
      <alignment horizontal="center" vertical="center"/>
    </xf>
    <xf numFmtId="216" fontId="203" fillId="0" borderId="69" xfId="4" applyNumberFormat="1" applyFont="1" applyBorder="1" applyAlignment="1" applyProtection="1">
      <alignment horizontal="center" vertical="center"/>
    </xf>
    <xf numFmtId="216" fontId="203" fillId="0" borderId="70" xfId="4" applyNumberFormat="1" applyFont="1" applyBorder="1" applyAlignment="1" applyProtection="1">
      <alignment horizontal="center" vertical="center"/>
    </xf>
    <xf numFmtId="216" fontId="203" fillId="0" borderId="2" xfId="4" applyNumberFormat="1" applyFont="1" applyBorder="1" applyAlignment="1" applyProtection="1">
      <alignment horizontal="center" vertical="center"/>
    </xf>
    <xf numFmtId="216" fontId="203" fillId="0" borderId="0" xfId="4" applyNumberFormat="1" applyFont="1" applyBorder="1" applyAlignment="1" applyProtection="1">
      <alignment horizontal="center" vertical="center"/>
    </xf>
    <xf numFmtId="216" fontId="203" fillId="0" borderId="3" xfId="4" applyNumberFormat="1" applyFont="1" applyBorder="1" applyAlignment="1" applyProtection="1">
      <alignment horizontal="center" vertical="center"/>
    </xf>
    <xf numFmtId="216" fontId="203" fillId="0" borderId="17" xfId="4" applyNumberFormat="1" applyFont="1" applyBorder="1" applyAlignment="1" applyProtection="1">
      <alignment horizontal="center" vertical="center"/>
    </xf>
    <xf numFmtId="216" fontId="203" fillId="0" borderId="4" xfId="4" applyNumberFormat="1" applyFont="1" applyBorder="1" applyAlignment="1" applyProtection="1">
      <alignment horizontal="center" vertical="center"/>
    </xf>
    <xf numFmtId="216" fontId="203" fillId="0" borderId="18" xfId="4" applyNumberFormat="1" applyFont="1" applyBorder="1" applyAlignment="1" applyProtection="1">
      <alignment horizontal="center" vertical="center"/>
    </xf>
    <xf numFmtId="0" fontId="204" fillId="0" borderId="0" xfId="9" applyFont="1" applyBorder="1" applyAlignment="1" applyProtection="1">
      <alignment horizontal="center" vertical="top" wrapText="1"/>
    </xf>
    <xf numFmtId="0" fontId="93" fillId="0" borderId="63" xfId="9" applyFont="1" applyBorder="1" applyAlignment="1" applyProtection="1"/>
    <xf numFmtId="0" fontId="93" fillId="0" borderId="0" xfId="9" applyFont="1" applyBorder="1" applyAlignment="1" applyProtection="1"/>
    <xf numFmtId="0" fontId="96" fillId="17" borderId="73" xfId="9" applyFont="1" applyFill="1" applyBorder="1" applyAlignment="1" applyProtection="1">
      <alignment horizontal="center" vertical="center"/>
    </xf>
    <xf numFmtId="0" fontId="96" fillId="17" borderId="72" xfId="9" applyFont="1" applyFill="1" applyBorder="1" applyAlignment="1" applyProtection="1">
      <alignment horizontal="center" vertical="center"/>
    </xf>
    <xf numFmtId="0" fontId="96" fillId="17" borderId="67" xfId="9" applyFont="1" applyFill="1" applyBorder="1" applyAlignment="1" applyProtection="1">
      <alignment horizontal="center" vertical="center"/>
    </xf>
    <xf numFmtId="0" fontId="96" fillId="17" borderId="164" xfId="9" applyFont="1" applyFill="1" applyBorder="1" applyAlignment="1" applyProtection="1">
      <alignment horizontal="center" vertical="center"/>
    </xf>
    <xf numFmtId="0" fontId="96" fillId="17" borderId="165" xfId="9" applyFont="1" applyFill="1" applyBorder="1" applyAlignment="1" applyProtection="1">
      <alignment horizontal="center" vertical="center"/>
    </xf>
    <xf numFmtId="0" fontId="96" fillId="17" borderId="166" xfId="9" applyFont="1" applyFill="1" applyBorder="1" applyAlignment="1" applyProtection="1">
      <alignment horizontal="center" vertical="center"/>
    </xf>
    <xf numFmtId="0" fontId="131" fillId="18" borderId="168" xfId="9" applyFont="1" applyFill="1" applyBorder="1" applyAlignment="1" applyProtection="1">
      <alignment horizontal="center" vertical="center" wrapText="1"/>
    </xf>
    <xf numFmtId="0" fontId="131" fillId="18" borderId="170" xfId="9" applyFont="1" applyFill="1" applyBorder="1" applyAlignment="1" applyProtection="1">
      <alignment horizontal="center" vertical="center" wrapText="1"/>
    </xf>
    <xf numFmtId="0" fontId="93" fillId="0" borderId="26" xfId="9" applyFont="1" applyBorder="1" applyAlignment="1" applyProtection="1">
      <alignment horizontal="left"/>
    </xf>
    <xf numFmtId="0" fontId="180" fillId="0" borderId="63" xfId="9" applyFont="1" applyBorder="1" applyAlignment="1" applyProtection="1">
      <alignment horizontal="left" indent="1"/>
    </xf>
    <xf numFmtId="0" fontId="180" fillId="0" borderId="0" xfId="9" applyFont="1" applyBorder="1" applyAlignment="1" applyProtection="1">
      <alignment horizontal="left" indent="1"/>
    </xf>
    <xf numFmtId="0" fontId="180" fillId="0" borderId="0" xfId="9" applyFont="1" applyBorder="1" applyAlignment="1">
      <alignment horizontal="left"/>
    </xf>
    <xf numFmtId="0" fontId="180" fillId="0" borderId="26" xfId="9" applyFont="1" applyBorder="1" applyAlignment="1">
      <alignment horizontal="left"/>
    </xf>
    <xf numFmtId="0" fontId="94" fillId="17" borderId="25" xfId="9" applyFont="1" applyFill="1" applyBorder="1" applyAlignment="1" applyProtection="1">
      <alignment horizontal="left" vertical="center"/>
    </xf>
    <xf numFmtId="0" fontId="94" fillId="17" borderId="45" xfId="9" applyFont="1" applyFill="1" applyBorder="1" applyAlignment="1" applyProtection="1">
      <alignment horizontal="left" vertical="center"/>
    </xf>
    <xf numFmtId="0" fontId="180" fillId="0" borderId="63" xfId="9" applyFont="1" applyBorder="1" applyAlignment="1">
      <alignment horizontal="left" vertical="top"/>
    </xf>
    <xf numFmtId="0" fontId="180" fillId="0" borderId="26" xfId="9" applyFont="1" applyBorder="1" applyAlignment="1">
      <alignment horizontal="left" vertical="top"/>
    </xf>
    <xf numFmtId="0" fontId="180" fillId="0" borderId="63" xfId="9" applyFont="1" applyBorder="1" applyAlignment="1" applyProtection="1">
      <alignment horizontal="left" vertical="top" indent="1"/>
    </xf>
    <xf numFmtId="0" fontId="180" fillId="0" borderId="0" xfId="9" applyFont="1" applyBorder="1" applyAlignment="1" applyProtection="1">
      <alignment horizontal="left" vertical="top" indent="1"/>
    </xf>
    <xf numFmtId="0" fontId="93" fillId="15" borderId="0" xfId="9" applyFont="1" applyFill="1" applyBorder="1" applyAlignment="1" applyProtection="1">
      <alignment horizontal="left" vertical="center"/>
      <protection locked="0"/>
    </xf>
    <xf numFmtId="0" fontId="237" fillId="15" borderId="0" xfId="0" applyFont="1" applyFill="1"/>
    <xf numFmtId="0" fontId="237" fillId="15" borderId="26" xfId="0" applyFont="1" applyFill="1" applyBorder="1"/>
    <xf numFmtId="0" fontId="180" fillId="0" borderId="26" xfId="9" applyFont="1" applyBorder="1" applyAlignment="1" applyProtection="1">
      <alignment horizontal="left" vertical="top" indent="1"/>
    </xf>
    <xf numFmtId="0" fontId="96" fillId="17" borderId="27" xfId="9" applyFont="1" applyFill="1" applyBorder="1" applyAlignment="1" applyProtection="1">
      <alignment horizontal="center" vertical="center"/>
    </xf>
    <xf numFmtId="0" fontId="96" fillId="17" borderId="65" xfId="9" applyFont="1" applyFill="1" applyBorder="1" applyAlignment="1" applyProtection="1">
      <alignment horizontal="center" vertical="center"/>
    </xf>
    <xf numFmtId="0" fontId="96" fillId="17" borderId="66" xfId="9" applyFont="1" applyFill="1" applyBorder="1" applyAlignment="1" applyProtection="1">
      <alignment horizontal="center" vertical="center"/>
    </xf>
    <xf numFmtId="0" fontId="96" fillId="17" borderId="73" xfId="9" applyFont="1" applyFill="1" applyBorder="1" applyAlignment="1" applyProtection="1">
      <alignment horizontal="center" vertical="center" wrapText="1"/>
    </xf>
    <xf numFmtId="0" fontId="96" fillId="17" borderId="72" xfId="9" applyFont="1" applyFill="1" applyBorder="1" applyAlignment="1" applyProtection="1">
      <alignment horizontal="center" vertical="center" wrapText="1"/>
    </xf>
    <xf numFmtId="0" fontId="96" fillId="17" borderId="67" xfId="9" applyFont="1" applyFill="1" applyBorder="1" applyAlignment="1" applyProtection="1">
      <alignment horizontal="center" vertical="center" wrapText="1"/>
    </xf>
    <xf numFmtId="0" fontId="96" fillId="17" borderId="27" xfId="9" applyFont="1" applyFill="1" applyBorder="1" applyAlignment="1" applyProtection="1">
      <alignment horizontal="center" vertical="center" wrapText="1"/>
    </xf>
    <xf numFmtId="0" fontId="96" fillId="17" borderId="65" xfId="9" applyFont="1" applyFill="1" applyBorder="1" applyAlignment="1" applyProtection="1">
      <alignment horizontal="center" vertical="center" wrapText="1"/>
    </xf>
    <xf numFmtId="0" fontId="96" fillId="17" borderId="66" xfId="9" applyFont="1" applyFill="1" applyBorder="1" applyAlignment="1" applyProtection="1">
      <alignment horizontal="center" vertical="center" wrapText="1"/>
    </xf>
    <xf numFmtId="0" fontId="106" fillId="15" borderId="0" xfId="9" applyNumberFormat="1" applyFont="1" applyFill="1" applyBorder="1" applyAlignment="1" applyProtection="1">
      <alignment horizontal="left" vertical="center"/>
      <protection locked="0"/>
    </xf>
    <xf numFmtId="184" fontId="93" fillId="0" borderId="25" xfId="9" applyNumberFormat="1" applyFont="1" applyBorder="1" applyAlignment="1" applyProtection="1">
      <alignment horizontal="center" vertical="center"/>
    </xf>
    <xf numFmtId="184" fontId="93" fillId="0" borderId="45" xfId="9" applyNumberFormat="1" applyFont="1" applyBorder="1" applyAlignment="1" applyProtection="1">
      <alignment horizontal="center" vertical="center"/>
    </xf>
    <xf numFmtId="184" fontId="93" fillId="0" borderId="46" xfId="9" applyNumberFormat="1" applyFont="1" applyBorder="1" applyAlignment="1" applyProtection="1">
      <alignment horizontal="center" vertical="center"/>
    </xf>
    <xf numFmtId="0" fontId="112" fillId="0" borderId="68" xfId="9" applyFont="1" applyFill="1" applyBorder="1" applyAlignment="1" applyProtection="1">
      <alignment horizontal="center" vertical="center"/>
    </xf>
    <xf numFmtId="0" fontId="112" fillId="0" borderId="2" xfId="9" applyFont="1" applyFill="1" applyBorder="1" applyAlignment="1" applyProtection="1">
      <alignment horizontal="center" vertical="center"/>
    </xf>
    <xf numFmtId="0" fontId="112" fillId="0" borderId="17" xfId="9" applyFont="1" applyFill="1" applyBorder="1" applyAlignment="1" applyProtection="1">
      <alignment horizontal="center" vertical="center"/>
    </xf>
    <xf numFmtId="0" fontId="104" fillId="0" borderId="69" xfId="9" applyFont="1" applyBorder="1" applyAlignment="1" applyProtection="1">
      <alignment horizontal="left" vertical="center" wrapText="1"/>
    </xf>
    <xf numFmtId="0" fontId="104" fillId="0" borderId="0" xfId="9" applyFont="1" applyBorder="1" applyAlignment="1" applyProtection="1">
      <alignment horizontal="left" vertical="center" wrapText="1"/>
    </xf>
    <xf numFmtId="0" fontId="104" fillId="0" borderId="4" xfId="9" applyFont="1" applyBorder="1" applyAlignment="1" applyProtection="1">
      <alignment horizontal="left" vertical="center" wrapText="1"/>
    </xf>
    <xf numFmtId="0" fontId="113" fillId="0" borderId="68" xfId="9" applyFont="1" applyBorder="1" applyAlignment="1" applyProtection="1">
      <alignment horizontal="center" vertical="center"/>
      <protection locked="0"/>
    </xf>
    <xf numFmtId="0" fontId="113" fillId="0" borderId="69" xfId="9" applyFont="1" applyBorder="1" applyAlignment="1" applyProtection="1">
      <alignment horizontal="center" vertical="center"/>
      <protection locked="0"/>
    </xf>
    <xf numFmtId="0" fontId="113" fillId="0" borderId="70" xfId="9" applyFont="1" applyBorder="1" applyAlignment="1" applyProtection="1">
      <alignment horizontal="center" vertical="center"/>
      <protection locked="0"/>
    </xf>
    <xf numFmtId="0" fontId="113" fillId="0" borderId="2" xfId="9" applyFont="1" applyBorder="1" applyAlignment="1" applyProtection="1">
      <alignment horizontal="center" vertical="center"/>
      <protection locked="0"/>
    </xf>
    <xf numFmtId="0" fontId="113" fillId="0" borderId="0" xfId="9" applyFont="1" applyBorder="1" applyAlignment="1" applyProtection="1">
      <alignment horizontal="center" vertical="center"/>
      <protection locked="0"/>
    </xf>
    <xf numFmtId="0" fontId="113" fillId="0" borderId="3" xfId="9" applyFont="1" applyBorder="1" applyAlignment="1" applyProtection="1">
      <alignment horizontal="center" vertical="center"/>
      <protection locked="0"/>
    </xf>
    <xf numFmtId="0" fontId="113" fillId="0" borderId="17" xfId="9" applyFont="1" applyBorder="1" applyAlignment="1" applyProtection="1">
      <alignment horizontal="center" vertical="center"/>
      <protection locked="0"/>
    </xf>
    <xf numFmtId="0" fontId="113" fillId="0" borderId="4" xfId="9" applyFont="1" applyBorder="1" applyAlignment="1" applyProtection="1">
      <alignment horizontal="center" vertical="center"/>
      <protection locked="0"/>
    </xf>
    <xf numFmtId="0" fontId="113" fillId="0" borderId="18" xfId="9" applyFont="1" applyBorder="1" applyAlignment="1" applyProtection="1">
      <alignment horizontal="center" vertical="center"/>
      <protection locked="0"/>
    </xf>
    <xf numFmtId="0" fontId="114" fillId="0" borderId="68" xfId="9" applyFont="1" applyBorder="1" applyAlignment="1" applyProtection="1">
      <alignment horizontal="center" vertical="center"/>
    </xf>
    <xf numFmtId="0" fontId="114" fillId="0" borderId="2" xfId="9" applyFont="1" applyBorder="1" applyAlignment="1" applyProtection="1">
      <alignment horizontal="center" vertical="center"/>
    </xf>
    <xf numFmtId="0" fontId="104" fillId="0" borderId="69" xfId="9" applyFont="1" applyBorder="1" applyAlignment="1" applyProtection="1">
      <alignment horizontal="left" vertical="center"/>
    </xf>
    <xf numFmtId="0" fontId="104" fillId="0" borderId="70" xfId="9" applyFont="1" applyBorder="1" applyAlignment="1" applyProtection="1">
      <alignment horizontal="left" vertical="center"/>
    </xf>
    <xf numFmtId="0" fontId="104" fillId="0" borderId="0" xfId="9" applyFont="1" applyBorder="1" applyAlignment="1" applyProtection="1">
      <alignment horizontal="left" vertical="center"/>
    </xf>
    <xf numFmtId="0" fontId="104" fillId="0" borderId="3" xfId="9" applyFont="1" applyBorder="1" applyAlignment="1" applyProtection="1">
      <alignment horizontal="left" vertical="center"/>
    </xf>
    <xf numFmtId="0" fontId="115" fillId="0" borderId="68" xfId="9" applyFont="1" applyBorder="1" applyAlignment="1" applyProtection="1">
      <alignment horizontal="center" vertical="center" wrapText="1"/>
    </xf>
    <xf numFmtId="0" fontId="115" fillId="0" borderId="69" xfId="9" applyFont="1" applyBorder="1" applyAlignment="1" applyProtection="1">
      <alignment horizontal="center" vertical="center" wrapText="1"/>
    </xf>
    <xf numFmtId="0" fontId="115" fillId="0" borderId="70" xfId="9" applyFont="1" applyBorder="1" applyAlignment="1" applyProtection="1">
      <alignment horizontal="center" vertical="center" wrapText="1"/>
    </xf>
    <xf numFmtId="0" fontId="115" fillId="0" borderId="2" xfId="9" applyFont="1" applyBorder="1" applyAlignment="1" applyProtection="1">
      <alignment horizontal="center" vertical="center" wrapText="1"/>
    </xf>
    <xf numFmtId="0" fontId="115" fillId="0" borderId="0" xfId="9" applyFont="1" applyBorder="1" applyAlignment="1" applyProtection="1">
      <alignment horizontal="center" vertical="center" wrapText="1"/>
    </xf>
    <xf numFmtId="0" fontId="115" fillId="0" borderId="3" xfId="9" applyFont="1" applyBorder="1" applyAlignment="1" applyProtection="1">
      <alignment horizontal="center" vertical="center" wrapText="1"/>
    </xf>
    <xf numFmtId="0" fontId="115" fillId="0" borderId="17" xfId="9" applyFont="1" applyBorder="1" applyAlignment="1" applyProtection="1">
      <alignment horizontal="center" vertical="center" wrapText="1"/>
    </xf>
    <xf numFmtId="0" fontId="115" fillId="0" borderId="4" xfId="9" applyFont="1" applyBorder="1" applyAlignment="1" applyProtection="1">
      <alignment horizontal="center" vertical="center" wrapText="1"/>
    </xf>
    <xf numFmtId="0" fontId="115" fillId="0" borderId="18" xfId="9" applyFont="1" applyBorder="1" applyAlignment="1" applyProtection="1">
      <alignment horizontal="center" vertical="center" wrapText="1"/>
    </xf>
    <xf numFmtId="0" fontId="104" fillId="0" borderId="70" xfId="9" applyFont="1" applyBorder="1" applyAlignment="1" applyProtection="1">
      <alignment horizontal="left" vertical="center" wrapText="1"/>
    </xf>
    <xf numFmtId="0" fontId="104" fillId="0" borderId="3" xfId="9" applyFont="1" applyBorder="1" applyAlignment="1" applyProtection="1">
      <alignment horizontal="left" vertical="center" wrapText="1"/>
    </xf>
    <xf numFmtId="0" fontId="104" fillId="0" borderId="18" xfId="9" applyFont="1" applyBorder="1" applyAlignment="1" applyProtection="1">
      <alignment horizontal="left" vertical="center" wrapText="1"/>
    </xf>
    <xf numFmtId="0" fontId="114" fillId="0" borderId="69" xfId="9" applyFont="1" applyBorder="1" applyAlignment="1" applyProtection="1">
      <alignment horizontal="center" vertical="center"/>
    </xf>
    <xf numFmtId="0" fontId="114" fillId="0" borderId="0" xfId="9" applyFont="1" applyBorder="1" applyAlignment="1" applyProtection="1">
      <alignment horizontal="center" vertical="center"/>
    </xf>
    <xf numFmtId="0" fontId="114" fillId="0" borderId="4" xfId="9" applyFont="1" applyBorder="1" applyAlignment="1" applyProtection="1">
      <alignment horizontal="center" vertical="center"/>
    </xf>
    <xf numFmtId="0" fontId="104" fillId="0" borderId="4" xfId="9" applyFont="1" applyBorder="1" applyAlignment="1" applyProtection="1">
      <alignment horizontal="left" vertical="center"/>
    </xf>
    <xf numFmtId="0" fontId="103" fillId="0" borderId="68" xfId="9" applyFont="1" applyBorder="1" applyAlignment="1" applyProtection="1">
      <alignment horizontal="center" vertical="center" wrapText="1"/>
    </xf>
    <xf numFmtId="0" fontId="103" fillId="0" borderId="69" xfId="9" applyFont="1" applyBorder="1" applyAlignment="1" applyProtection="1">
      <alignment horizontal="center" vertical="center" wrapText="1"/>
    </xf>
    <xf numFmtId="0" fontId="103" fillId="0" borderId="70" xfId="9" applyFont="1" applyBorder="1" applyAlignment="1" applyProtection="1">
      <alignment horizontal="center" vertical="center" wrapText="1"/>
    </xf>
    <xf numFmtId="0" fontId="103" fillId="0" borderId="17" xfId="9" applyFont="1" applyBorder="1" applyAlignment="1" applyProtection="1">
      <alignment horizontal="center" vertical="center" wrapText="1"/>
    </xf>
    <xf numFmtId="0" fontId="103" fillId="0" borderId="4" xfId="9" applyFont="1" applyBorder="1" applyAlignment="1" applyProtection="1">
      <alignment horizontal="center" vertical="center" wrapText="1"/>
    </xf>
    <xf numFmtId="0" fontId="103" fillId="0" borderId="18" xfId="9" applyFont="1" applyBorder="1" applyAlignment="1" applyProtection="1">
      <alignment horizontal="center" vertical="center" wrapText="1"/>
    </xf>
    <xf numFmtId="0" fontId="103" fillId="0" borderId="29" xfId="9" applyFont="1" applyBorder="1" applyAlignment="1" applyProtection="1">
      <alignment horizontal="center" vertical="center"/>
    </xf>
    <xf numFmtId="0" fontId="133" fillId="0" borderId="190" xfId="9" applyFont="1" applyBorder="1" applyAlignment="1" applyProtection="1">
      <alignment horizontal="center" vertical="center"/>
    </xf>
    <xf numFmtId="0" fontId="133" fillId="0" borderId="122" xfId="9" applyFont="1" applyBorder="1" applyAlignment="1" applyProtection="1">
      <alignment horizontal="center" vertical="center"/>
    </xf>
    <xf numFmtId="0" fontId="133" fillId="0" borderId="191" xfId="9" applyFont="1" applyBorder="1" applyAlignment="1" applyProtection="1">
      <alignment horizontal="center" vertical="center"/>
    </xf>
    <xf numFmtId="0" fontId="133" fillId="0" borderId="133" xfId="9" applyFont="1" applyBorder="1" applyAlignment="1" applyProtection="1">
      <alignment horizontal="center" vertical="center"/>
    </xf>
    <xf numFmtId="0" fontId="133" fillId="0" borderId="53" xfId="9" applyFont="1" applyBorder="1" applyAlignment="1" applyProtection="1">
      <alignment horizontal="center" vertical="center"/>
    </xf>
    <xf numFmtId="0" fontId="133" fillId="0" borderId="192" xfId="9" applyFont="1" applyBorder="1" applyAlignment="1" applyProtection="1">
      <alignment horizontal="center" vertical="center"/>
    </xf>
    <xf numFmtId="0" fontId="103" fillId="0" borderId="32" xfId="9" applyFont="1" applyBorder="1" applyAlignment="1" applyProtection="1">
      <alignment horizontal="center" vertical="center"/>
    </xf>
    <xf numFmtId="0" fontId="103" fillId="0" borderId="33" xfId="9" applyFont="1" applyBorder="1" applyAlignment="1" applyProtection="1">
      <alignment horizontal="center" vertical="center"/>
    </xf>
    <xf numFmtId="0" fontId="103" fillId="0" borderId="34" xfId="9" applyFont="1" applyBorder="1" applyAlignment="1" applyProtection="1">
      <alignment horizontal="center" vertical="center"/>
    </xf>
    <xf numFmtId="0" fontId="193" fillId="0" borderId="0" xfId="9" applyFont="1" applyBorder="1" applyAlignment="1" applyProtection="1">
      <alignment horizontal="justify" vertical="top"/>
      <protection locked="0"/>
    </xf>
    <xf numFmtId="0" fontId="95" fillId="18" borderId="63" xfId="9" applyFont="1" applyFill="1" applyBorder="1" applyAlignment="1" applyProtection="1">
      <alignment horizontal="left" vertical="center" indent="1"/>
    </xf>
    <xf numFmtId="0" fontId="95" fillId="18" borderId="0" xfId="9" applyFont="1" applyFill="1" applyBorder="1" applyAlignment="1" applyProtection="1">
      <alignment horizontal="left" vertical="center" indent="1"/>
    </xf>
    <xf numFmtId="190" fontId="95" fillId="15" borderId="0" xfId="6" quotePrefix="1" applyNumberFormat="1" applyFont="1" applyFill="1" applyBorder="1" applyAlignment="1" applyProtection="1">
      <alignment horizontal="left" vertical="center"/>
    </xf>
    <xf numFmtId="190" fontId="95" fillId="15" borderId="26" xfId="6" quotePrefix="1" applyNumberFormat="1" applyFont="1" applyFill="1" applyBorder="1" applyAlignment="1" applyProtection="1">
      <alignment horizontal="left" vertical="center"/>
    </xf>
    <xf numFmtId="0" fontId="93" fillId="0" borderId="0" xfId="9" quotePrefix="1" applyFont="1" applyBorder="1" applyAlignment="1" applyProtection="1">
      <alignment horizontal="left" vertical="center"/>
      <protection locked="0"/>
    </xf>
    <xf numFmtId="0" fontId="93" fillId="0" borderId="0" xfId="9" applyFont="1" applyBorder="1" applyAlignment="1" applyProtection="1">
      <alignment horizontal="left" vertical="center"/>
      <protection locked="0"/>
    </xf>
    <xf numFmtId="187" fontId="93" fillId="0" borderId="0" xfId="0" quotePrefix="1" applyNumberFormat="1" applyFont="1" applyFill="1" applyBorder="1" applyAlignment="1">
      <alignment horizontal="left" vertical="center"/>
    </xf>
    <xf numFmtId="188" fontId="93" fillId="0" borderId="0" xfId="9" quotePrefix="1" applyNumberFormat="1" applyFont="1" applyFill="1" applyBorder="1" applyAlignment="1">
      <alignment horizontal="left" vertical="center"/>
    </xf>
    <xf numFmtId="0" fontId="108" fillId="0" borderId="0" xfId="9" quotePrefix="1" applyFont="1" applyFill="1" applyBorder="1" applyAlignment="1">
      <alignment horizontal="left" vertical="center"/>
    </xf>
    <xf numFmtId="0" fontId="108" fillId="0" borderId="0" xfId="9" applyFont="1" applyFill="1" applyBorder="1" applyAlignment="1">
      <alignment horizontal="left" vertical="center"/>
    </xf>
    <xf numFmtId="190" fontId="95" fillId="0" borderId="0" xfId="6" quotePrefix="1" applyNumberFormat="1" applyFont="1" applyFill="1" applyBorder="1" applyAlignment="1" applyProtection="1">
      <alignment horizontal="left" vertical="center"/>
    </xf>
    <xf numFmtId="0" fontId="93" fillId="0" borderId="72" xfId="9" applyFont="1" applyFill="1" applyBorder="1" applyAlignment="1" applyProtection="1">
      <alignment horizontal="center" vertical="center"/>
    </xf>
    <xf numFmtId="0" fontId="93" fillId="0" borderId="0" xfId="9" applyFont="1" applyFill="1" applyBorder="1" applyAlignment="1" applyProtection="1">
      <alignment horizontal="left" vertical="center"/>
      <protection locked="0"/>
    </xf>
    <xf numFmtId="0" fontId="93" fillId="0" borderId="0" xfId="0" quotePrefix="1" applyFont="1" applyFill="1" applyBorder="1" applyAlignment="1" applyProtection="1">
      <alignment horizontal="left" vertical="center"/>
      <protection locked="0"/>
    </xf>
    <xf numFmtId="0" fontId="93" fillId="0" borderId="0" xfId="0" applyFont="1" applyFill="1" applyBorder="1" applyAlignment="1" applyProtection="1">
      <alignment horizontal="left" vertical="center"/>
      <protection locked="0"/>
    </xf>
    <xf numFmtId="189" fontId="93" fillId="0" borderId="0" xfId="9" quotePrefix="1" applyNumberFormat="1" applyFont="1" applyFill="1" applyBorder="1" applyAlignment="1">
      <alignment horizontal="left" vertical="center"/>
    </xf>
    <xf numFmtId="189" fontId="93" fillId="0" borderId="0" xfId="9" applyNumberFormat="1" applyFont="1" applyFill="1" applyBorder="1" applyAlignment="1">
      <alignment horizontal="left" vertical="center"/>
    </xf>
    <xf numFmtId="0" fontId="28" fillId="0" borderId="0" xfId="9" applyAlignment="1">
      <alignment horizontal="center"/>
    </xf>
    <xf numFmtId="0" fontId="95" fillId="0" borderId="0" xfId="9" applyFont="1" applyFill="1" applyBorder="1" applyAlignment="1" applyProtection="1">
      <alignment horizontal="left" vertical="top" wrapText="1"/>
    </xf>
    <xf numFmtId="184" fontId="95" fillId="0" borderId="0" xfId="9" applyNumberFormat="1" applyFont="1" applyFill="1" applyBorder="1" applyAlignment="1" applyProtection="1">
      <alignment horizontal="left" vertical="center"/>
    </xf>
    <xf numFmtId="184" fontId="93" fillId="15" borderId="0" xfId="9" applyNumberFormat="1" applyFont="1" applyFill="1" applyBorder="1" applyAlignment="1" applyProtection="1">
      <alignment horizontal="left" vertical="center"/>
      <protection locked="0"/>
    </xf>
    <xf numFmtId="185" fontId="93" fillId="15" borderId="0" xfId="9" applyNumberFormat="1" applyFont="1" applyFill="1" applyBorder="1" applyAlignment="1" applyProtection="1">
      <alignment horizontal="left" vertical="center"/>
      <protection locked="0"/>
    </xf>
    <xf numFmtId="186" fontId="93" fillId="0" borderId="0" xfId="9" applyNumberFormat="1" applyFont="1" applyFill="1" applyBorder="1" applyAlignment="1" applyProtection="1">
      <alignment horizontal="left" vertical="center"/>
    </xf>
    <xf numFmtId="38" fontId="93" fillId="0" borderId="25" xfId="9" applyNumberFormat="1" applyFont="1" applyBorder="1" applyAlignment="1" applyProtection="1">
      <alignment horizontal="center" vertical="center"/>
      <protection locked="0"/>
    </xf>
    <xf numFmtId="38" fontId="93" fillId="0" borderId="45" xfId="9" applyNumberFormat="1" applyFont="1" applyBorder="1" applyAlignment="1" applyProtection="1">
      <alignment horizontal="center" vertical="center"/>
      <protection locked="0"/>
    </xf>
    <xf numFmtId="38" fontId="93" fillId="0" borderId="46" xfId="9" applyNumberFormat="1" applyFont="1" applyBorder="1" applyAlignment="1" applyProtection="1">
      <alignment horizontal="center" vertical="center"/>
      <protection locked="0"/>
    </xf>
    <xf numFmtId="0" fontId="108" fillId="15" borderId="0" xfId="9" applyNumberFormat="1" applyFont="1" applyFill="1" applyBorder="1" applyAlignment="1" applyProtection="1">
      <alignment horizontal="left" vertical="center"/>
      <protection locked="0"/>
    </xf>
    <xf numFmtId="0" fontId="107" fillId="15" borderId="0" xfId="9" applyNumberFormat="1" applyFont="1" applyFill="1" applyBorder="1" applyAlignment="1" applyProtection="1">
      <alignment horizontal="left" vertical="center"/>
      <protection locked="0"/>
    </xf>
    <xf numFmtId="0" fontId="93" fillId="0" borderId="0" xfId="9" quotePrefix="1" applyFont="1" applyFill="1" applyBorder="1" applyAlignment="1" applyProtection="1">
      <alignment horizontal="left" vertical="top"/>
      <protection locked="0"/>
    </xf>
    <xf numFmtId="0" fontId="93" fillId="0" borderId="0" xfId="9" applyFont="1" applyFill="1" applyBorder="1" applyAlignment="1" applyProtection="1">
      <alignment horizontal="left" vertical="top"/>
      <protection locked="0"/>
    </xf>
    <xf numFmtId="0" fontId="28" fillId="0" borderId="45" xfId="9" applyBorder="1"/>
    <xf numFmtId="0" fontId="28" fillId="0" borderId="46" xfId="9" applyBorder="1"/>
    <xf numFmtId="0" fontId="95" fillId="0" borderId="25" xfId="9" applyFont="1" applyBorder="1" applyAlignment="1" applyProtection="1">
      <alignment horizontal="center" vertical="center"/>
      <protection locked="0"/>
    </xf>
    <xf numFmtId="0" fontId="95" fillId="0" borderId="45" xfId="9" applyFont="1" applyBorder="1" applyAlignment="1" applyProtection="1">
      <alignment horizontal="center" vertical="center"/>
      <protection locked="0"/>
    </xf>
    <xf numFmtId="0" fontId="93" fillId="0" borderId="0" xfId="9" applyFont="1" applyFill="1" applyBorder="1" applyAlignment="1" applyProtection="1">
      <alignment horizontal="left" vertical="top" wrapText="1"/>
    </xf>
    <xf numFmtId="0" fontId="95" fillId="0" borderId="0" xfId="9" applyNumberFormat="1" applyFont="1" applyFill="1" applyBorder="1" applyAlignment="1" applyProtection="1">
      <alignment horizontal="left" vertical="top"/>
      <protection locked="0"/>
    </xf>
    <xf numFmtId="0" fontId="95" fillId="0" borderId="0" xfId="9" applyFont="1" applyFill="1" applyBorder="1" applyAlignment="1" applyProtection="1">
      <alignment horizontal="left" vertical="top"/>
      <protection locked="0"/>
    </xf>
    <xf numFmtId="0" fontId="95" fillId="18" borderId="186" xfId="9" applyFont="1" applyFill="1" applyBorder="1" applyAlignment="1" applyProtection="1">
      <alignment horizontal="center" vertical="center" wrapText="1"/>
    </xf>
    <xf numFmtId="0" fontId="95" fillId="18" borderId="185" xfId="9" applyFont="1" applyFill="1" applyBorder="1" applyAlignment="1" applyProtection="1">
      <alignment horizontal="center" vertical="center" wrapText="1"/>
      <protection locked="0"/>
    </xf>
    <xf numFmtId="0" fontId="95" fillId="18" borderId="186" xfId="9" applyFont="1" applyFill="1" applyBorder="1" applyAlignment="1" applyProtection="1">
      <alignment horizontal="center" vertical="center" wrapText="1"/>
      <protection locked="0"/>
    </xf>
    <xf numFmtId="0" fontId="95" fillId="18" borderId="187" xfId="9" applyFont="1" applyFill="1" applyBorder="1" applyAlignment="1" applyProtection="1">
      <alignment horizontal="center" vertical="center" wrapText="1"/>
    </xf>
    <xf numFmtId="0" fontId="95" fillId="18" borderId="80" xfId="9" applyFont="1" applyFill="1" applyBorder="1" applyAlignment="1" applyProtection="1">
      <alignment horizontal="center" vertical="center" wrapText="1"/>
    </xf>
    <xf numFmtId="0" fontId="95" fillId="18" borderId="188" xfId="9" applyFont="1" applyFill="1" applyBorder="1" applyAlignment="1" applyProtection="1">
      <alignment horizontal="center" vertical="center" wrapText="1"/>
    </xf>
    <xf numFmtId="0" fontId="95" fillId="18" borderId="189" xfId="9" applyFont="1" applyFill="1" applyBorder="1" applyAlignment="1" applyProtection="1">
      <alignment horizontal="center" vertical="center" wrapText="1"/>
    </xf>
    <xf numFmtId="184" fontId="93" fillId="0" borderId="29" xfId="9" applyNumberFormat="1" applyFont="1" applyBorder="1" applyAlignment="1" applyProtection="1">
      <alignment horizontal="center" vertical="center"/>
    </xf>
    <xf numFmtId="0" fontId="93" fillId="0" borderId="0" xfId="9" applyFont="1" applyAlignment="1" applyProtection="1">
      <alignment horizontal="left" vertical="center"/>
    </xf>
    <xf numFmtId="184" fontId="95" fillId="0" borderId="25" xfId="9" applyNumberFormat="1" applyFont="1" applyBorder="1" applyAlignment="1" applyProtection="1">
      <alignment horizontal="center" vertical="center"/>
    </xf>
    <xf numFmtId="184" fontId="95" fillId="0" borderId="45" xfId="9" applyNumberFormat="1" applyFont="1" applyBorder="1" applyAlignment="1" applyProtection="1">
      <alignment horizontal="center" vertical="center"/>
    </xf>
    <xf numFmtId="184" fontId="95" fillId="0" borderId="46" xfId="9" applyNumberFormat="1" applyFont="1" applyBorder="1" applyAlignment="1" applyProtection="1">
      <alignment horizontal="center" vertical="center"/>
    </xf>
    <xf numFmtId="184" fontId="95" fillId="18" borderId="29" xfId="9" applyNumberFormat="1" applyFont="1" applyFill="1" applyBorder="1" applyAlignment="1" applyProtection="1">
      <alignment horizontal="center" vertical="center"/>
    </xf>
    <xf numFmtId="184" fontId="95" fillId="18" borderId="25" xfId="9" applyNumberFormat="1" applyFont="1" applyFill="1" applyBorder="1" applyAlignment="1" applyProtection="1">
      <alignment horizontal="center" vertical="center"/>
    </xf>
    <xf numFmtId="184" fontId="95" fillId="18" borderId="45" xfId="9" applyNumberFormat="1" applyFont="1" applyFill="1" applyBorder="1" applyAlignment="1" applyProtection="1">
      <alignment horizontal="center" vertical="center"/>
    </xf>
    <xf numFmtId="184" fontId="95" fillId="18" borderId="46" xfId="9" applyNumberFormat="1" applyFont="1" applyFill="1" applyBorder="1" applyAlignment="1" applyProtection="1">
      <alignment horizontal="center" vertical="center"/>
    </xf>
    <xf numFmtId="0" fontId="95" fillId="18" borderId="25" xfId="9" applyFont="1" applyFill="1" applyBorder="1" applyAlignment="1" applyProtection="1">
      <alignment horizontal="right" vertical="center" indent="2"/>
    </xf>
    <xf numFmtId="0" fontId="95" fillId="18" borderId="45" xfId="9" applyFont="1" applyFill="1" applyBorder="1" applyAlignment="1" applyProtection="1">
      <alignment horizontal="right" vertical="center" indent="2"/>
    </xf>
    <xf numFmtId="0" fontId="95" fillId="18" borderId="46" xfId="9" applyFont="1" applyFill="1" applyBorder="1" applyAlignment="1" applyProtection="1">
      <alignment horizontal="right" vertical="center" indent="2"/>
    </xf>
    <xf numFmtId="9" fontId="247" fillId="0" borderId="0" xfId="16" applyFont="1"/>
    <xf numFmtId="0" fontId="0" fillId="0" borderId="0" xfId="0"/>
    <xf numFmtId="0" fontId="95" fillId="21" borderId="29" xfId="9" applyFont="1" applyFill="1" applyBorder="1" applyAlignment="1" applyProtection="1">
      <alignment horizontal="center" vertical="center" wrapText="1"/>
      <protection locked="0"/>
    </xf>
    <xf numFmtId="0" fontId="95" fillId="0" borderId="151" xfId="9" applyFont="1" applyBorder="1" applyAlignment="1" applyProtection="1">
      <alignment horizontal="center" vertical="center"/>
    </xf>
    <xf numFmtId="0" fontId="95" fillId="0" borderId="149" xfId="9" applyFont="1" applyBorder="1" applyAlignment="1" applyProtection="1">
      <alignment horizontal="center" vertical="center"/>
    </xf>
    <xf numFmtId="0" fontId="95" fillId="0" borderId="159" xfId="9" applyFont="1" applyBorder="1" applyAlignment="1" applyProtection="1">
      <alignment horizontal="center" vertical="center"/>
    </xf>
    <xf numFmtId="0" fontId="95" fillId="18" borderId="151" xfId="9" applyFont="1" applyFill="1" applyBorder="1" applyAlignment="1" applyProtection="1">
      <alignment horizontal="center" vertical="center" wrapText="1"/>
    </xf>
    <xf numFmtId="0" fontId="95" fillId="18" borderId="149" xfId="9" applyFont="1" applyFill="1" applyBorder="1" applyAlignment="1" applyProtection="1">
      <alignment horizontal="center" vertical="center" wrapText="1"/>
    </xf>
    <xf numFmtId="0" fontId="95" fillId="18" borderId="159" xfId="9" applyFont="1" applyFill="1" applyBorder="1" applyAlignment="1" applyProtection="1">
      <alignment horizontal="center" vertical="center" wrapText="1"/>
    </xf>
    <xf numFmtId="38" fontId="100" fillId="0" borderId="151" xfId="9" applyNumberFormat="1" applyFont="1" applyBorder="1" applyAlignment="1" applyProtection="1">
      <alignment horizontal="center" vertical="center"/>
      <protection locked="0"/>
    </xf>
    <xf numFmtId="38" fontId="100" fillId="0" borderId="149" xfId="9" applyNumberFormat="1" applyFont="1" applyBorder="1" applyAlignment="1" applyProtection="1">
      <alignment horizontal="center" vertical="center"/>
      <protection locked="0"/>
    </xf>
    <xf numFmtId="38" fontId="100" fillId="0" borderId="159" xfId="9" applyNumberFormat="1" applyFont="1" applyBorder="1" applyAlignment="1" applyProtection="1">
      <alignment horizontal="center" vertical="center"/>
      <protection locked="0"/>
    </xf>
    <xf numFmtId="0" fontId="98" fillId="0" borderId="33" xfId="9" applyFont="1" applyBorder="1" applyAlignment="1" applyProtection="1">
      <alignment horizontal="center" vertical="center"/>
    </xf>
    <xf numFmtId="0" fontId="98" fillId="0" borderId="34" xfId="9" applyFont="1" applyBorder="1" applyAlignment="1" applyProtection="1">
      <alignment horizontal="center" vertical="center"/>
    </xf>
    <xf numFmtId="0" fontId="93" fillId="0" borderId="32" xfId="9" applyFont="1" applyBorder="1" applyAlignment="1" applyProtection="1">
      <alignment horizontal="center" vertical="center"/>
    </xf>
    <xf numFmtId="0" fontId="93" fillId="0" borderId="33" xfId="9" applyFont="1" applyBorder="1" applyAlignment="1" applyProtection="1">
      <alignment horizontal="center" vertical="center"/>
    </xf>
    <xf numFmtId="0" fontId="93" fillId="0" borderId="34" xfId="9" applyFont="1" applyBorder="1" applyAlignment="1" applyProtection="1">
      <alignment horizontal="center" vertical="center"/>
    </xf>
    <xf numFmtId="0" fontId="102" fillId="0" borderId="32" xfId="9" applyFont="1" applyBorder="1" applyAlignment="1" applyProtection="1">
      <alignment horizontal="center" vertical="center"/>
    </xf>
    <xf numFmtId="0" fontId="102" fillId="0" borderId="33" xfId="9" applyFont="1" applyBorder="1" applyAlignment="1" applyProtection="1">
      <alignment horizontal="center" vertical="center"/>
    </xf>
    <xf numFmtId="0" fontId="102" fillId="0" borderId="34" xfId="9" applyFont="1" applyBorder="1" applyAlignment="1" applyProtection="1">
      <alignment horizontal="center" vertical="center"/>
    </xf>
    <xf numFmtId="9" fontId="137" fillId="0" borderId="0" xfId="17" applyFont="1" applyAlignment="1" applyProtection="1">
      <alignment horizontal="center" vertical="center"/>
      <protection locked="0"/>
    </xf>
    <xf numFmtId="0" fontId="95" fillId="18" borderId="195" xfId="9" applyFont="1" applyFill="1" applyBorder="1" applyAlignment="1" applyProtection="1">
      <alignment horizontal="left" vertical="center" indent="1"/>
    </xf>
    <xf numFmtId="0" fontId="95" fillId="18" borderId="33" xfId="9" applyFont="1" applyFill="1" applyBorder="1" applyAlignment="1" applyProtection="1">
      <alignment horizontal="left" vertical="center" indent="1"/>
    </xf>
    <xf numFmtId="0" fontId="95" fillId="18" borderId="200" xfId="9" applyFont="1" applyFill="1" applyBorder="1" applyAlignment="1" applyProtection="1">
      <alignment horizontal="left" vertical="center" indent="1"/>
    </xf>
    <xf numFmtId="195" fontId="95" fillId="18" borderId="201" xfId="9" applyNumberFormat="1" applyFont="1" applyFill="1" applyBorder="1" applyAlignment="1" applyProtection="1">
      <alignment horizontal="left" vertical="center" indent="1"/>
    </xf>
    <xf numFmtId="195" fontId="95" fillId="18" borderId="33" xfId="9" applyNumberFormat="1" applyFont="1" applyFill="1" applyBorder="1" applyAlignment="1" applyProtection="1">
      <alignment horizontal="left" vertical="center" indent="1"/>
    </xf>
    <xf numFmtId="195" fontId="95" fillId="18" borderId="196" xfId="9" applyNumberFormat="1" applyFont="1" applyFill="1" applyBorder="1" applyAlignment="1" applyProtection="1">
      <alignment horizontal="left" vertical="center" indent="1"/>
    </xf>
    <xf numFmtId="198" fontId="95" fillId="21" borderId="25" xfId="17" applyNumberFormat="1" applyFont="1" applyFill="1" applyBorder="1" applyAlignment="1" applyProtection="1">
      <alignment horizontal="center" vertical="center"/>
      <protection locked="0"/>
    </xf>
    <xf numFmtId="198" fontId="95" fillId="21" borderId="45" xfId="17" applyNumberFormat="1" applyFont="1" applyFill="1" applyBorder="1" applyAlignment="1" applyProtection="1">
      <alignment horizontal="center" vertical="center"/>
      <protection locked="0"/>
    </xf>
    <xf numFmtId="198" fontId="95" fillId="21" borderId="46" xfId="17" applyNumberFormat="1" applyFont="1" applyFill="1" applyBorder="1" applyAlignment="1" applyProtection="1">
      <alignment horizontal="center" vertical="center"/>
      <protection locked="0"/>
    </xf>
    <xf numFmtId="0" fontId="121" fillId="17" borderId="195" xfId="9" applyFont="1" applyFill="1" applyBorder="1" applyAlignment="1" applyProtection="1">
      <alignment horizontal="left" vertical="center" indent="1"/>
    </xf>
    <xf numFmtId="0" fontId="121" fillId="17" borderId="33" xfId="9" applyFont="1" applyFill="1" applyBorder="1" applyAlignment="1" applyProtection="1">
      <alignment horizontal="left" vertical="center" indent="1"/>
    </xf>
    <xf numFmtId="0" fontId="121" fillId="17" borderId="200" xfId="9" applyFont="1" applyFill="1" applyBorder="1" applyAlignment="1" applyProtection="1">
      <alignment horizontal="left" vertical="center" indent="1"/>
    </xf>
    <xf numFmtId="195" fontId="121" fillId="17" borderId="201" xfId="9" applyNumberFormat="1" applyFont="1" applyFill="1" applyBorder="1" applyAlignment="1" applyProtection="1">
      <alignment horizontal="left" vertical="center" indent="1"/>
    </xf>
    <xf numFmtId="195" fontId="121" fillId="17" borderId="33" xfId="9" applyNumberFormat="1" applyFont="1" applyFill="1" applyBorder="1" applyAlignment="1" applyProtection="1">
      <alignment horizontal="left" vertical="center" indent="1"/>
    </xf>
    <xf numFmtId="195" fontId="121" fillId="17" borderId="196" xfId="9" applyNumberFormat="1" applyFont="1" applyFill="1" applyBorder="1" applyAlignment="1" applyProtection="1">
      <alignment horizontal="left" vertical="center" indent="1"/>
    </xf>
    <xf numFmtId="0" fontId="95" fillId="18" borderId="195" xfId="9" applyFont="1" applyFill="1" applyBorder="1" applyAlignment="1" applyProtection="1">
      <alignment horizontal="right" vertical="center" indent="1"/>
    </xf>
    <xf numFmtId="0" fontId="95" fillId="18" borderId="33" xfId="9" applyFont="1" applyFill="1" applyBorder="1" applyAlignment="1" applyProtection="1">
      <alignment horizontal="right" vertical="center" indent="1"/>
    </xf>
    <xf numFmtId="0" fontId="95" fillId="18" borderId="200" xfId="9" applyFont="1" applyFill="1" applyBorder="1" applyAlignment="1" applyProtection="1">
      <alignment horizontal="right" vertical="center" indent="1"/>
    </xf>
    <xf numFmtId="190" fontId="95" fillId="21" borderId="25" xfId="17" applyNumberFormat="1" applyFont="1" applyFill="1" applyBorder="1" applyAlignment="1" applyProtection="1">
      <alignment horizontal="center" vertical="center"/>
      <protection locked="0"/>
    </xf>
    <xf numFmtId="190" fontId="95" fillId="21" borderId="45" xfId="17" applyNumberFormat="1" applyFont="1" applyFill="1" applyBorder="1" applyAlignment="1" applyProtection="1">
      <alignment horizontal="center" vertical="center"/>
      <protection locked="0"/>
    </xf>
    <xf numFmtId="190" fontId="95" fillId="21" borderId="46" xfId="17" applyNumberFormat="1" applyFont="1" applyFill="1" applyBorder="1" applyAlignment="1" applyProtection="1">
      <alignment horizontal="center" vertical="center"/>
      <protection locked="0"/>
    </xf>
    <xf numFmtId="0" fontId="95" fillId="0" borderId="195" xfId="9" applyFont="1" applyFill="1" applyBorder="1" applyAlignment="1" applyProtection="1">
      <alignment horizontal="left" vertical="center" indent="1"/>
    </xf>
    <xf numFmtId="0" fontId="95" fillId="0" borderId="33" xfId="9" applyFont="1" applyFill="1" applyBorder="1" applyAlignment="1" applyProtection="1">
      <alignment horizontal="left" vertical="center" indent="1"/>
    </xf>
    <xf numFmtId="0" fontId="95" fillId="0" borderId="196" xfId="9" applyFont="1" applyFill="1" applyBorder="1" applyAlignment="1" applyProtection="1">
      <alignment horizontal="left" vertical="center" indent="1"/>
    </xf>
    <xf numFmtId="9" fontId="95" fillId="0" borderId="195" xfId="9" applyNumberFormat="1" applyFont="1" applyFill="1" applyBorder="1" applyAlignment="1" applyProtection="1">
      <alignment horizontal="center" vertical="top" wrapText="1"/>
    </xf>
    <xf numFmtId="9" fontId="95" fillId="0" borderId="33" xfId="9" applyNumberFormat="1" applyFont="1" applyFill="1" applyBorder="1" applyAlignment="1" applyProtection="1">
      <alignment horizontal="center" vertical="top" wrapText="1"/>
    </xf>
    <xf numFmtId="9" fontId="95" fillId="0" borderId="196" xfId="9" applyNumberFormat="1" applyFont="1" applyFill="1" applyBorder="1" applyAlignment="1" applyProtection="1">
      <alignment horizontal="center" vertical="top" wrapText="1"/>
    </xf>
    <xf numFmtId="9" fontId="95" fillId="0" borderId="25" xfId="17" applyFont="1" applyFill="1" applyBorder="1" applyAlignment="1" applyProtection="1">
      <alignment horizontal="center" vertical="center"/>
      <protection locked="0"/>
    </xf>
    <xf numFmtId="9" fontId="95" fillId="0" borderId="45" xfId="17" applyFont="1" applyFill="1" applyBorder="1" applyAlignment="1" applyProtection="1">
      <alignment horizontal="center" vertical="center"/>
      <protection locked="0"/>
    </xf>
    <xf numFmtId="9" fontId="95" fillId="0" borderId="46" xfId="17" applyFont="1" applyFill="1" applyBorder="1" applyAlignment="1" applyProtection="1">
      <alignment horizontal="center" vertical="center"/>
      <protection locked="0"/>
    </xf>
    <xf numFmtId="0" fontId="108" fillId="0" borderId="193" xfId="9" applyNumberFormat="1" applyFont="1" applyFill="1" applyBorder="1" applyAlignment="1" applyProtection="1">
      <alignment horizontal="left" vertical="center" indent="1"/>
    </xf>
    <xf numFmtId="0" fontId="108" fillId="0" borderId="107" xfId="9" applyNumberFormat="1" applyFont="1" applyFill="1" applyBorder="1" applyAlignment="1" applyProtection="1">
      <alignment horizontal="left" vertical="center" indent="1"/>
    </xf>
    <xf numFmtId="0" fontId="108" fillId="0" borderId="194" xfId="9" applyNumberFormat="1" applyFont="1" applyFill="1" applyBorder="1" applyAlignment="1" applyProtection="1">
      <alignment horizontal="left" vertical="center" indent="1"/>
    </xf>
    <xf numFmtId="9" fontId="93" fillId="0" borderId="73" xfId="17" applyFont="1" applyFill="1" applyBorder="1" applyAlignment="1" applyProtection="1">
      <alignment horizontal="center" vertical="center"/>
      <protection locked="0"/>
    </xf>
    <xf numFmtId="9" fontId="93" fillId="0" borderId="72" xfId="17" applyFont="1" applyFill="1" applyBorder="1" applyAlignment="1" applyProtection="1">
      <alignment horizontal="center" vertical="center"/>
      <protection locked="0"/>
    </xf>
    <xf numFmtId="9" fontId="93" fillId="0" borderId="67" xfId="17" applyFont="1" applyFill="1" applyBorder="1" applyAlignment="1" applyProtection="1">
      <alignment horizontal="center" vertical="center"/>
      <protection locked="0"/>
    </xf>
    <xf numFmtId="9" fontId="95" fillId="0" borderId="197" xfId="17" applyFont="1" applyFill="1" applyBorder="1" applyAlignment="1" applyProtection="1">
      <alignment horizontal="center" vertical="center"/>
      <protection locked="0"/>
    </xf>
    <xf numFmtId="9" fontId="95" fillId="0" borderId="198" xfId="17" applyFont="1" applyFill="1" applyBorder="1" applyAlignment="1" applyProtection="1">
      <alignment horizontal="center" vertical="center"/>
      <protection locked="0"/>
    </xf>
    <xf numFmtId="9" fontId="95" fillId="0" borderId="199" xfId="17" applyFont="1" applyFill="1" applyBorder="1" applyAlignment="1" applyProtection="1">
      <alignment horizontal="center" vertical="center"/>
      <protection locked="0"/>
    </xf>
    <xf numFmtId="0" fontId="93" fillId="0" borderId="25" xfId="9" applyNumberFormat="1" applyFont="1" applyFill="1" applyBorder="1" applyAlignment="1" applyProtection="1">
      <alignment horizontal="left" vertical="center"/>
    </xf>
    <xf numFmtId="0" fontId="93" fillId="0" borderId="45" xfId="9" applyNumberFormat="1" applyFont="1" applyFill="1" applyBorder="1" applyAlignment="1" applyProtection="1">
      <alignment horizontal="left" vertical="center"/>
    </xf>
    <xf numFmtId="0" fontId="93" fillId="0" borderId="46" xfId="9" applyNumberFormat="1" applyFont="1" applyFill="1" applyBorder="1" applyAlignment="1" applyProtection="1">
      <alignment horizontal="left" vertical="center"/>
    </xf>
    <xf numFmtId="9" fontId="93" fillId="0" borderId="25" xfId="17" applyFont="1" applyFill="1" applyBorder="1" applyAlignment="1" applyProtection="1">
      <alignment horizontal="center" vertical="center"/>
      <protection locked="0"/>
    </xf>
    <xf numFmtId="9" fontId="93" fillId="0" borderId="45" xfId="17" applyFont="1" applyFill="1" applyBorder="1" applyAlignment="1" applyProtection="1">
      <alignment horizontal="center" vertical="center"/>
      <protection locked="0"/>
    </xf>
    <xf numFmtId="9" fontId="93" fillId="0" borderId="46" xfId="17" applyFont="1" applyFill="1" applyBorder="1" applyAlignment="1" applyProtection="1">
      <alignment horizontal="center" vertical="center"/>
      <protection locked="0"/>
    </xf>
    <xf numFmtId="0" fontId="93" fillId="0" borderId="25" xfId="9" applyNumberFormat="1" applyFont="1" applyFill="1" applyBorder="1" applyAlignment="1" applyProtection="1">
      <alignment horizontal="left" vertical="center" indent="1"/>
    </xf>
    <xf numFmtId="0" fontId="93" fillId="0" borderId="45" xfId="9" applyNumberFormat="1" applyFont="1" applyFill="1" applyBorder="1" applyAlignment="1" applyProtection="1">
      <alignment horizontal="left" vertical="center" indent="1"/>
    </xf>
    <xf numFmtId="0" fontId="93" fillId="0" borderId="46" xfId="9" applyNumberFormat="1" applyFont="1" applyFill="1" applyBorder="1" applyAlignment="1" applyProtection="1">
      <alignment horizontal="left" vertical="center" indent="1"/>
    </xf>
    <xf numFmtId="49" fontId="93" fillId="0" borderId="25" xfId="9" applyNumberFormat="1" applyFont="1" applyFill="1" applyBorder="1" applyAlignment="1" applyProtection="1">
      <alignment horizontal="left" vertical="center"/>
    </xf>
    <xf numFmtId="49" fontId="93" fillId="0" borderId="45" xfId="9" applyNumberFormat="1" applyFont="1" applyFill="1" applyBorder="1" applyAlignment="1" applyProtection="1">
      <alignment horizontal="left" vertical="center"/>
    </xf>
    <xf numFmtId="49" fontId="93" fillId="0" borderId="46" xfId="9" applyNumberFormat="1" applyFont="1" applyFill="1" applyBorder="1" applyAlignment="1" applyProtection="1">
      <alignment horizontal="left" vertical="center"/>
    </xf>
    <xf numFmtId="220" fontId="93" fillId="0" borderId="25" xfId="9" applyNumberFormat="1" applyFont="1" applyFill="1" applyBorder="1" applyAlignment="1" applyProtection="1">
      <alignment horizontal="left" vertical="center"/>
    </xf>
    <xf numFmtId="220" fontId="93" fillId="0" borderId="45" xfId="9" applyNumberFormat="1" applyFont="1" applyFill="1" applyBorder="1" applyAlignment="1" applyProtection="1">
      <alignment horizontal="left" vertical="center"/>
    </xf>
    <xf numFmtId="220" fontId="93" fillId="0" borderId="46" xfId="9" applyNumberFormat="1" applyFont="1" applyFill="1" applyBorder="1" applyAlignment="1" applyProtection="1">
      <alignment horizontal="left" vertical="center"/>
    </xf>
    <xf numFmtId="0" fontId="95" fillId="18" borderId="25" xfId="9" applyFont="1" applyFill="1" applyBorder="1" applyAlignment="1" applyProtection="1">
      <alignment horizontal="right" vertical="center" indent="1"/>
    </xf>
    <xf numFmtId="0" fontId="95" fillId="18" borderId="45" xfId="9" applyFont="1" applyFill="1" applyBorder="1" applyAlignment="1" applyProtection="1">
      <alignment horizontal="right" vertical="center" indent="1"/>
    </xf>
    <xf numFmtId="0" fontId="95" fillId="18" borderId="98" xfId="9" applyFont="1" applyFill="1" applyBorder="1" applyAlignment="1" applyProtection="1">
      <alignment horizontal="right" vertical="center" indent="1"/>
    </xf>
    <xf numFmtId="195" fontId="95" fillId="21" borderId="25" xfId="9" applyNumberFormat="1" applyFont="1" applyFill="1" applyBorder="1" applyAlignment="1" applyProtection="1">
      <alignment horizontal="left" vertical="center" indent="1"/>
      <protection locked="0"/>
    </xf>
    <xf numFmtId="195" fontId="95" fillId="21" borderId="45" xfId="9" applyNumberFormat="1" applyFont="1" applyFill="1" applyBorder="1" applyAlignment="1" applyProtection="1">
      <alignment horizontal="left" vertical="center" indent="1"/>
      <protection locked="0"/>
    </xf>
    <xf numFmtId="195" fontId="95" fillId="21" borderId="46" xfId="9" applyNumberFormat="1" applyFont="1" applyFill="1" applyBorder="1" applyAlignment="1" applyProtection="1">
      <alignment horizontal="left" vertical="center" indent="1"/>
      <protection locked="0"/>
    </xf>
    <xf numFmtId="0" fontId="121" fillId="17" borderId="25" xfId="9" applyFont="1" applyFill="1" applyBorder="1" applyAlignment="1" applyProtection="1">
      <alignment horizontal="left" vertical="center"/>
    </xf>
    <xf numFmtId="0" fontId="121" fillId="17" borderId="45" xfId="9" applyFont="1" applyFill="1" applyBorder="1" applyAlignment="1" applyProtection="1">
      <alignment horizontal="left" vertical="center"/>
    </xf>
    <xf numFmtId="0" fontId="121" fillId="17" borderId="98" xfId="9" applyFont="1" applyFill="1" applyBorder="1" applyAlignment="1" applyProtection="1">
      <alignment horizontal="left" vertical="center"/>
    </xf>
    <xf numFmtId="49" fontId="121" fillId="17" borderId="147" xfId="9" applyNumberFormat="1" applyFont="1" applyFill="1" applyBorder="1" applyAlignment="1" applyProtection="1">
      <alignment horizontal="center" vertical="center" wrapText="1"/>
    </xf>
    <xf numFmtId="49" fontId="121" fillId="17" borderId="45" xfId="9" applyNumberFormat="1" applyFont="1" applyFill="1" applyBorder="1" applyAlignment="1" applyProtection="1">
      <alignment horizontal="center" vertical="center" wrapText="1"/>
    </xf>
    <xf numFmtId="49" fontId="121" fillId="17" borderId="98" xfId="9" applyNumberFormat="1" applyFont="1" applyFill="1" applyBorder="1" applyAlignment="1" applyProtection="1">
      <alignment horizontal="center" vertical="center" wrapText="1"/>
    </xf>
    <xf numFmtId="49" fontId="121" fillId="17" borderId="46" xfId="9" applyNumberFormat="1" applyFont="1" applyFill="1" applyBorder="1" applyAlignment="1" applyProtection="1">
      <alignment horizontal="center" vertical="center" wrapText="1"/>
    </xf>
    <xf numFmtId="195" fontId="110" fillId="0" borderId="25" xfId="9" applyNumberFormat="1" applyFont="1" applyFill="1" applyBorder="1" applyAlignment="1" applyProtection="1">
      <alignment horizontal="left" vertical="center" indent="1"/>
    </xf>
    <xf numFmtId="195" fontId="110" fillId="0" borderId="45" xfId="9" applyNumberFormat="1" applyFont="1" applyFill="1" applyBorder="1" applyAlignment="1" applyProtection="1">
      <alignment horizontal="left" vertical="center" indent="1"/>
    </xf>
    <xf numFmtId="195" fontId="110" fillId="0" borderId="46" xfId="9" applyNumberFormat="1" applyFont="1" applyFill="1" applyBorder="1" applyAlignment="1" applyProtection="1">
      <alignment horizontal="left" vertical="center" indent="1"/>
    </xf>
    <xf numFmtId="195" fontId="93" fillId="0" borderId="25" xfId="9" applyNumberFormat="1" applyFont="1" applyFill="1" applyBorder="1" applyAlignment="1" applyProtection="1">
      <alignment horizontal="left" vertical="center" indent="1"/>
      <protection locked="0"/>
    </xf>
    <xf numFmtId="195" fontId="93" fillId="0" borderId="45" xfId="9" applyNumberFormat="1" applyFont="1" applyFill="1" applyBorder="1" applyAlignment="1" applyProtection="1">
      <alignment horizontal="left" vertical="center" indent="1"/>
      <protection locked="0"/>
    </xf>
    <xf numFmtId="195" fontId="93" fillId="0" borderId="46" xfId="9" applyNumberFormat="1" applyFont="1" applyFill="1" applyBorder="1" applyAlignment="1" applyProtection="1">
      <alignment horizontal="left" vertical="center" indent="1"/>
      <protection locked="0"/>
    </xf>
    <xf numFmtId="49" fontId="93" fillId="15" borderId="25" xfId="9" quotePrefix="1" applyNumberFormat="1" applyFont="1" applyFill="1" applyBorder="1" applyAlignment="1" applyProtection="1">
      <alignment horizontal="left" vertical="center" indent="1"/>
      <protection locked="0"/>
    </xf>
    <xf numFmtId="0" fontId="93" fillId="15" borderId="45" xfId="9" quotePrefix="1" applyNumberFormat="1" applyFont="1" applyFill="1" applyBorder="1" applyAlignment="1" applyProtection="1">
      <alignment horizontal="left" vertical="center" indent="1"/>
      <protection locked="0"/>
    </xf>
    <xf numFmtId="0" fontId="93" fillId="15" borderId="46" xfId="9" quotePrefix="1" applyNumberFormat="1" applyFont="1" applyFill="1" applyBorder="1" applyAlignment="1" applyProtection="1">
      <alignment horizontal="left" vertical="center" indent="1"/>
      <protection locked="0"/>
    </xf>
    <xf numFmtId="49" fontId="93" fillId="15" borderId="25" xfId="9" applyNumberFormat="1" applyFont="1" applyFill="1" applyBorder="1" applyAlignment="1" applyProtection="1">
      <alignment horizontal="left" vertical="center" indent="1"/>
      <protection locked="0"/>
    </xf>
    <xf numFmtId="0" fontId="93" fillId="15" borderId="25" xfId="9" quotePrefix="1" applyNumberFormat="1" applyFont="1" applyFill="1" applyBorder="1" applyAlignment="1" applyProtection="1">
      <alignment horizontal="left" vertical="center" indent="1"/>
      <protection locked="0"/>
    </xf>
    <xf numFmtId="0" fontId="93" fillId="15" borderId="25" xfId="9" applyNumberFormat="1" applyFont="1" applyFill="1" applyBorder="1" applyAlignment="1" applyProtection="1">
      <alignment horizontal="left" vertical="center" indent="1"/>
      <protection locked="0"/>
    </xf>
    <xf numFmtId="174" fontId="93" fillId="0" borderId="1" xfId="9" applyNumberFormat="1" applyFont="1" applyFill="1" applyBorder="1" applyAlignment="1" applyProtection="1">
      <alignment horizontal="left" vertical="center" indent="1"/>
    </xf>
    <xf numFmtId="174" fontId="93" fillId="15" borderId="25" xfId="9" quotePrefix="1" applyNumberFormat="1" applyFont="1" applyFill="1" applyBorder="1" applyAlignment="1" applyProtection="1">
      <alignment horizontal="left" vertical="center" indent="1"/>
      <protection locked="0"/>
    </xf>
    <xf numFmtId="174" fontId="93" fillId="15" borderId="45" xfId="9" quotePrefix="1" applyNumberFormat="1" applyFont="1" applyFill="1" applyBorder="1" applyAlignment="1" applyProtection="1">
      <alignment horizontal="left" vertical="center" indent="1"/>
      <protection locked="0"/>
    </xf>
    <xf numFmtId="174" fontId="93" fillId="15" borderId="46" xfId="9" quotePrefix="1" applyNumberFormat="1" applyFont="1" applyFill="1" applyBorder="1" applyAlignment="1" applyProtection="1">
      <alignment horizontal="left" vertical="center" indent="1"/>
      <protection locked="0"/>
    </xf>
    <xf numFmtId="194" fontId="93" fillId="15" borderId="25" xfId="9" quotePrefix="1" applyNumberFormat="1" applyFont="1" applyFill="1" applyBorder="1" applyAlignment="1" applyProtection="1">
      <alignment horizontal="left" vertical="center" indent="1"/>
      <protection locked="0"/>
    </xf>
    <xf numFmtId="194" fontId="93" fillId="15" borderId="45" xfId="9" quotePrefix="1" applyNumberFormat="1" applyFont="1" applyFill="1" applyBorder="1" applyAlignment="1" applyProtection="1">
      <alignment horizontal="left" vertical="center" indent="1"/>
      <protection locked="0"/>
    </xf>
    <xf numFmtId="194" fontId="93" fillId="15" borderId="46" xfId="9" quotePrefix="1" applyNumberFormat="1" applyFont="1" applyFill="1" applyBorder="1" applyAlignment="1" applyProtection="1">
      <alignment horizontal="left" vertical="center" indent="1"/>
      <protection locked="0"/>
    </xf>
    <xf numFmtId="0" fontId="93" fillId="15" borderId="25" xfId="9" quotePrefix="1" applyFont="1" applyFill="1" applyBorder="1" applyAlignment="1" applyProtection="1">
      <alignment horizontal="left" vertical="center" indent="1"/>
      <protection locked="0"/>
    </xf>
    <xf numFmtId="0" fontId="93" fillId="15" borderId="45" xfId="9" quotePrefix="1" applyFont="1" applyFill="1" applyBorder="1" applyAlignment="1" applyProtection="1">
      <alignment horizontal="left" vertical="center" indent="1"/>
      <protection locked="0"/>
    </xf>
    <xf numFmtId="0" fontId="93" fillId="15" borderId="46" xfId="9" quotePrefix="1" applyFont="1" applyFill="1" applyBorder="1" applyAlignment="1" applyProtection="1">
      <alignment horizontal="left" vertical="center" indent="1"/>
      <protection locked="0"/>
    </xf>
    <xf numFmtId="0" fontId="93" fillId="0" borderId="25" xfId="9" applyNumberFormat="1" applyFont="1" applyFill="1" applyBorder="1" applyAlignment="1" applyProtection="1">
      <alignment horizontal="left" vertical="top"/>
      <protection locked="0"/>
    </xf>
    <xf numFmtId="0" fontId="93" fillId="0" borderId="45" xfId="9" applyNumberFormat="1" applyFont="1" applyFill="1" applyBorder="1" applyAlignment="1" applyProtection="1">
      <alignment horizontal="left" vertical="top"/>
      <protection locked="0"/>
    </xf>
    <xf numFmtId="0" fontId="93" fillId="0" borderId="46" xfId="9" applyNumberFormat="1" applyFont="1" applyFill="1" applyBorder="1" applyAlignment="1" applyProtection="1">
      <alignment horizontal="left" vertical="top"/>
      <protection locked="0"/>
    </xf>
    <xf numFmtId="0" fontId="93" fillId="15" borderId="25" xfId="9" quotePrefix="1" applyFont="1" applyFill="1" applyBorder="1" applyAlignment="1" applyProtection="1">
      <alignment horizontal="center" vertical="center"/>
      <protection locked="0"/>
    </xf>
    <xf numFmtId="0" fontId="93" fillId="15" borderId="45" xfId="9" quotePrefix="1" applyFont="1" applyFill="1" applyBorder="1" applyAlignment="1" applyProtection="1">
      <alignment horizontal="center" vertical="center"/>
      <protection locked="0"/>
    </xf>
    <xf numFmtId="0" fontId="93" fillId="15" borderId="46" xfId="9" quotePrefix="1" applyFont="1" applyFill="1" applyBorder="1" applyAlignment="1" applyProtection="1">
      <alignment horizontal="center" vertical="center"/>
      <protection locked="0"/>
    </xf>
    <xf numFmtId="0" fontId="93" fillId="0" borderId="25" xfId="9" applyNumberFormat="1" applyFont="1" applyFill="1" applyBorder="1" applyAlignment="1" applyProtection="1">
      <alignment horizontal="left" vertical="center"/>
      <protection locked="0"/>
    </xf>
    <xf numFmtId="0" fontId="93" fillId="0" borderId="45" xfId="9" applyNumberFormat="1" applyFont="1" applyFill="1" applyBorder="1" applyAlignment="1" applyProtection="1">
      <alignment horizontal="left" vertical="center"/>
      <protection locked="0"/>
    </xf>
    <xf numFmtId="0" fontId="93" fillId="0" borderId="46" xfId="9" applyNumberFormat="1" applyFont="1" applyFill="1" applyBorder="1" applyAlignment="1" applyProtection="1">
      <alignment horizontal="left" vertical="center"/>
      <protection locked="0"/>
    </xf>
    <xf numFmtId="9" fontId="95" fillId="15" borderId="25" xfId="16" quotePrefix="1" applyFont="1" applyFill="1" applyBorder="1" applyAlignment="1" applyProtection="1">
      <alignment horizontal="center" vertical="center"/>
      <protection locked="0"/>
    </xf>
    <xf numFmtId="9" fontId="95" fillId="15" borderId="45" xfId="16" quotePrefix="1" applyFont="1" applyFill="1" applyBorder="1" applyAlignment="1" applyProtection="1">
      <alignment horizontal="center" vertical="center"/>
      <protection locked="0"/>
    </xf>
    <xf numFmtId="9" fontId="95" fillId="15" borderId="46" xfId="16" quotePrefix="1" applyFont="1" applyFill="1" applyBorder="1" applyAlignment="1" applyProtection="1">
      <alignment horizontal="center" vertical="center"/>
      <protection locked="0"/>
    </xf>
    <xf numFmtId="197" fontId="93" fillId="15" borderId="25" xfId="1" quotePrefix="1" applyNumberFormat="1" applyFont="1" applyFill="1" applyBorder="1" applyAlignment="1" applyProtection="1">
      <alignment horizontal="left" vertical="center" indent="1"/>
      <protection locked="0"/>
    </xf>
    <xf numFmtId="197" fontId="93" fillId="15" borderId="45" xfId="1" quotePrefix="1" applyNumberFormat="1" applyFont="1" applyFill="1" applyBorder="1" applyAlignment="1" applyProtection="1">
      <alignment horizontal="left" vertical="center" indent="1"/>
      <protection locked="0"/>
    </xf>
    <xf numFmtId="197" fontId="93" fillId="15" borderId="46" xfId="1" quotePrefix="1" applyNumberFormat="1" applyFont="1" applyFill="1" applyBorder="1" applyAlignment="1" applyProtection="1">
      <alignment horizontal="left" vertical="center" indent="1"/>
      <protection locked="0"/>
    </xf>
    <xf numFmtId="0" fontId="93" fillId="15" borderId="25" xfId="9" quotePrefix="1" applyFont="1" applyFill="1" applyBorder="1" applyAlignment="1" applyProtection="1">
      <alignment horizontal="left" vertical="top" wrapText="1" indent="1"/>
      <protection locked="0"/>
    </xf>
    <xf numFmtId="0" fontId="93" fillId="15" borderId="45" xfId="9" quotePrefix="1" applyFont="1" applyFill="1" applyBorder="1" applyAlignment="1" applyProtection="1">
      <alignment horizontal="left" vertical="top" wrapText="1" indent="1"/>
      <protection locked="0"/>
    </xf>
    <xf numFmtId="0" fontId="93" fillId="15" borderId="46" xfId="9" quotePrefix="1" applyFont="1" applyFill="1" applyBorder="1" applyAlignment="1" applyProtection="1">
      <alignment horizontal="left" vertical="top" wrapText="1" indent="1"/>
      <protection locked="0"/>
    </xf>
    <xf numFmtId="0" fontId="93" fillId="0" borderId="25" xfId="9" applyFont="1" applyFill="1" applyBorder="1" applyAlignment="1" applyProtection="1">
      <alignment horizontal="left" vertical="top" wrapText="1" indent="1"/>
      <protection locked="0"/>
    </xf>
    <xf numFmtId="0" fontId="93" fillId="0" borderId="45" xfId="9" applyFont="1" applyFill="1" applyBorder="1" applyAlignment="1" applyProtection="1">
      <alignment horizontal="left" vertical="top" wrapText="1" indent="1"/>
      <protection locked="0"/>
    </xf>
    <xf numFmtId="0" fontId="93" fillId="0" borderId="46" xfId="9" applyFont="1" applyFill="1" applyBorder="1" applyAlignment="1" applyProtection="1">
      <alignment horizontal="left" vertical="top" wrapText="1" indent="1"/>
      <protection locked="0"/>
    </xf>
    <xf numFmtId="0" fontId="93" fillId="0" borderId="1" xfId="9" applyFont="1" applyFill="1" applyBorder="1" applyAlignment="1" applyProtection="1">
      <alignment horizontal="left" vertical="center" indent="1"/>
      <protection locked="0"/>
    </xf>
    <xf numFmtId="0" fontId="93" fillId="0" borderId="25" xfId="9" applyFont="1" applyFill="1" applyBorder="1" applyAlignment="1" applyProtection="1">
      <alignment horizontal="left" vertical="center" indent="1"/>
      <protection locked="0"/>
    </xf>
    <xf numFmtId="0" fontId="93" fillId="0" borderId="45" xfId="9" applyFont="1" applyFill="1" applyBorder="1" applyAlignment="1" applyProtection="1">
      <alignment horizontal="left" vertical="center" indent="1"/>
      <protection locked="0"/>
    </xf>
    <xf numFmtId="0" fontId="93" fillId="0" borderId="46" xfId="9" applyFont="1" applyFill="1" applyBorder="1" applyAlignment="1" applyProtection="1">
      <alignment horizontal="left" vertical="center" indent="1"/>
      <protection locked="0"/>
    </xf>
    <xf numFmtId="0" fontId="153" fillId="17" borderId="25" xfId="9" applyFont="1" applyFill="1" applyBorder="1" applyAlignment="1" applyProtection="1">
      <alignment horizontal="center" vertical="center"/>
    </xf>
    <xf numFmtId="0" fontId="153" fillId="17" borderId="45" xfId="9" applyFont="1" applyFill="1" applyBorder="1" applyAlignment="1" applyProtection="1">
      <alignment horizontal="center" vertical="center"/>
    </xf>
    <xf numFmtId="0" fontId="153" fillId="17" borderId="98" xfId="9" applyFont="1" applyFill="1" applyBorder="1" applyAlignment="1" applyProtection="1">
      <alignment horizontal="center" vertical="center"/>
    </xf>
    <xf numFmtId="49" fontId="153" fillId="17" borderId="97" xfId="9" applyNumberFormat="1" applyFont="1" applyFill="1" applyBorder="1" applyAlignment="1" applyProtection="1">
      <alignment horizontal="center" vertical="top" wrapText="1"/>
    </xf>
    <xf numFmtId="0" fontId="212" fillId="0" borderId="1" xfId="9" applyFont="1" applyFill="1" applyBorder="1" applyAlignment="1" applyProtection="1">
      <alignment horizontal="center" vertical="center" wrapText="1"/>
    </xf>
    <xf numFmtId="49" fontId="153" fillId="0" borderId="1" xfId="9" applyNumberFormat="1" applyFont="1" applyFill="1" applyBorder="1" applyAlignment="1" applyProtection="1">
      <alignment horizontal="center" vertical="top" wrapText="1"/>
    </xf>
    <xf numFmtId="0" fontId="108" fillId="0" borderId="25" xfId="9" applyNumberFormat="1" applyFont="1" applyFill="1" applyBorder="1" applyAlignment="1" applyProtection="1">
      <alignment horizontal="left" vertical="center" indent="1"/>
      <protection locked="0"/>
    </xf>
    <xf numFmtId="0" fontId="108" fillId="0" borderId="45" xfId="9" applyNumberFormat="1" applyFont="1" applyFill="1" applyBorder="1" applyAlignment="1" applyProtection="1">
      <alignment horizontal="left" vertical="center" indent="1"/>
      <protection locked="0"/>
    </xf>
    <xf numFmtId="0" fontId="108" fillId="0" borderId="46" xfId="9" applyNumberFormat="1" applyFont="1" applyFill="1" applyBorder="1" applyAlignment="1" applyProtection="1">
      <alignment horizontal="left" vertical="center" indent="1"/>
      <protection locked="0"/>
    </xf>
    <xf numFmtId="0" fontId="121" fillId="17" borderId="25" xfId="9" applyFont="1" applyFill="1" applyBorder="1" applyAlignment="1" applyProtection="1">
      <alignment horizontal="center" vertical="center"/>
    </xf>
    <xf numFmtId="0" fontId="121" fillId="17" borderId="45" xfId="9" applyFont="1" applyFill="1" applyBorder="1" applyAlignment="1" applyProtection="1">
      <alignment horizontal="center" vertical="center"/>
    </xf>
    <xf numFmtId="37" fontId="121" fillId="17" borderId="96" xfId="6" applyNumberFormat="1" applyFont="1" applyFill="1" applyBorder="1" applyAlignment="1" applyProtection="1">
      <alignment horizontal="right" vertical="center" indent="1"/>
    </xf>
    <xf numFmtId="38" fontId="93" fillId="0" borderId="1" xfId="6" applyNumberFormat="1" applyFont="1" applyFill="1" applyBorder="1" applyAlignment="1" applyProtection="1">
      <alignment horizontal="center" vertical="center"/>
    </xf>
    <xf numFmtId="37" fontId="93" fillId="0" borderId="1" xfId="6" applyNumberFormat="1" applyFont="1" applyFill="1" applyBorder="1" applyAlignment="1" applyProtection="1">
      <alignment horizontal="right" vertical="center" indent="1"/>
    </xf>
    <xf numFmtId="0" fontId="93" fillId="20" borderId="45" xfId="9" quotePrefix="1" applyFont="1" applyFill="1" applyBorder="1" applyAlignment="1" applyProtection="1">
      <alignment horizontal="left" vertical="center"/>
      <protection locked="0"/>
    </xf>
    <xf numFmtId="0" fontId="93" fillId="20" borderId="45" xfId="9" applyFont="1" applyFill="1" applyBorder="1" applyAlignment="1" applyProtection="1">
      <alignment horizontal="left" vertical="center"/>
      <protection locked="0"/>
    </xf>
    <xf numFmtId="0" fontId="93" fillId="20" borderId="46" xfId="9" applyFont="1" applyFill="1" applyBorder="1" applyAlignment="1" applyProtection="1">
      <alignment horizontal="left" vertical="center"/>
      <protection locked="0"/>
    </xf>
    <xf numFmtId="0" fontId="94" fillId="17" borderId="63" xfId="9" applyFont="1" applyFill="1" applyBorder="1" applyAlignment="1" applyProtection="1">
      <alignment horizontal="left" vertical="center"/>
    </xf>
    <xf numFmtId="0" fontId="94" fillId="17" borderId="0" xfId="9" applyFont="1" applyFill="1" applyBorder="1" applyAlignment="1" applyProtection="1">
      <alignment horizontal="left" vertical="center"/>
    </xf>
    <xf numFmtId="0" fontId="95" fillId="18" borderId="99" xfId="9" applyFont="1" applyFill="1" applyBorder="1" applyAlignment="1" applyProtection="1">
      <alignment horizontal="center" vertical="center" wrapText="1"/>
    </xf>
    <xf numFmtId="0" fontId="95" fillId="18" borderId="96" xfId="9" applyFont="1" applyFill="1" applyBorder="1" applyAlignment="1" applyProtection="1">
      <alignment horizontal="center" vertical="center" wrapText="1"/>
    </xf>
    <xf numFmtId="0" fontId="95" fillId="18" borderId="147" xfId="9" applyFont="1" applyFill="1" applyBorder="1" applyAlignment="1" applyProtection="1">
      <alignment horizontal="center" vertical="center" wrapText="1"/>
    </xf>
    <xf numFmtId="0" fontId="95" fillId="18" borderId="45" xfId="9" applyFont="1" applyFill="1" applyBorder="1" applyAlignment="1" applyProtection="1">
      <alignment horizontal="center" vertical="center" wrapText="1"/>
    </xf>
    <xf numFmtId="0" fontId="95" fillId="18" borderId="98" xfId="9" applyFont="1" applyFill="1" applyBorder="1" applyAlignment="1" applyProtection="1">
      <alignment horizontal="center" vertical="center" wrapText="1"/>
    </xf>
    <xf numFmtId="0" fontId="95" fillId="18" borderId="46" xfId="9" applyFont="1" applyFill="1" applyBorder="1" applyAlignment="1" applyProtection="1">
      <alignment horizontal="center" vertical="center" wrapText="1"/>
    </xf>
    <xf numFmtId="0" fontId="121" fillId="17" borderId="96" xfId="14" applyNumberFormat="1" applyFont="1" applyFill="1" applyBorder="1" applyAlignment="1">
      <alignment horizontal="center" vertical="center" wrapText="1"/>
    </xf>
    <xf numFmtId="199" fontId="121" fillId="17" borderId="96" xfId="4" applyNumberFormat="1" applyFont="1" applyFill="1" applyBorder="1" applyAlignment="1">
      <alignment horizontal="center" vertical="center" wrapText="1"/>
    </xf>
    <xf numFmtId="199" fontId="121" fillId="17" borderId="97" xfId="4" applyNumberFormat="1" applyFont="1" applyFill="1" applyBorder="1" applyAlignment="1">
      <alignment horizontal="center" vertical="center" wrapText="1"/>
    </xf>
    <xf numFmtId="3" fontId="95" fillId="0" borderId="1" xfId="4" applyNumberFormat="1" applyFont="1" applyFill="1" applyBorder="1" applyAlignment="1">
      <alignment horizontal="center" vertical="center"/>
    </xf>
    <xf numFmtId="9" fontId="95" fillId="0" borderId="1" xfId="17" applyFont="1" applyFill="1" applyBorder="1" applyAlignment="1">
      <alignment horizontal="center" vertical="center"/>
    </xf>
    <xf numFmtId="0" fontId="121" fillId="17" borderId="99" xfId="9" applyFont="1" applyFill="1" applyBorder="1" applyAlignment="1">
      <alignment horizontal="center" vertical="center" wrapText="1"/>
    </xf>
    <xf numFmtId="0" fontId="121" fillId="17" borderId="96" xfId="9" applyFont="1" applyFill="1" applyBorder="1" applyAlignment="1">
      <alignment horizontal="center" vertical="center" wrapText="1"/>
    </xf>
    <xf numFmtId="184" fontId="93" fillId="0" borderId="46" xfId="9" applyNumberFormat="1" applyFont="1" applyFill="1" applyBorder="1" applyAlignment="1" applyProtection="1">
      <alignment horizontal="center" vertical="center"/>
    </xf>
    <xf numFmtId="0" fontId="93" fillId="0" borderId="46" xfId="9" applyFont="1" applyFill="1" applyBorder="1" applyAlignment="1" applyProtection="1">
      <alignment horizontal="left" vertical="center" indent="1"/>
    </xf>
    <xf numFmtId="0" fontId="93" fillId="0" borderId="1" xfId="9" applyFont="1" applyFill="1" applyBorder="1" applyAlignment="1" applyProtection="1">
      <alignment horizontal="left" vertical="center" indent="1"/>
    </xf>
    <xf numFmtId="0" fontId="93" fillId="0" borderId="25" xfId="9" applyFont="1" applyFill="1" applyBorder="1" applyAlignment="1" applyProtection="1">
      <alignment horizontal="left" vertical="center" indent="1"/>
    </xf>
    <xf numFmtId="0" fontId="93" fillId="0" borderId="0" xfId="9" applyFont="1" applyFill="1" applyBorder="1" applyAlignment="1" applyProtection="1">
      <alignment horizontal="justify" vertical="top"/>
    </xf>
    <xf numFmtId="0" fontId="93" fillId="0" borderId="65" xfId="9" applyFont="1" applyFill="1" applyBorder="1" applyAlignment="1" applyProtection="1">
      <alignment horizontal="justify" vertical="top"/>
    </xf>
    <xf numFmtId="0" fontId="213" fillId="0" borderId="1" xfId="9" applyFont="1" applyFill="1" applyBorder="1" applyAlignment="1" applyProtection="1">
      <alignment horizontal="center" vertical="center"/>
    </xf>
    <xf numFmtId="0" fontId="213" fillId="0" borderId="202" xfId="9" applyFont="1" applyFill="1" applyBorder="1" applyAlignment="1" applyProtection="1">
      <alignment horizontal="center" vertical="center"/>
    </xf>
    <xf numFmtId="0" fontId="96" fillId="17" borderId="203" xfId="9" applyFont="1" applyFill="1" applyBorder="1" applyAlignment="1" applyProtection="1">
      <alignment horizontal="left" vertical="center" indent="1"/>
    </xf>
    <xf numFmtId="0" fontId="96" fillId="17" borderId="45" xfId="9" applyFont="1" applyFill="1" applyBorder="1" applyAlignment="1" applyProtection="1">
      <alignment horizontal="left" vertical="center" indent="1"/>
    </xf>
    <xf numFmtId="0" fontId="96" fillId="17" borderId="46" xfId="9" applyFont="1" applyFill="1" applyBorder="1" applyAlignment="1" applyProtection="1">
      <alignment horizontal="left" vertical="center" indent="1"/>
    </xf>
    <xf numFmtId="0" fontId="93" fillId="0" borderId="25" xfId="4" applyNumberFormat="1" applyFont="1" applyFill="1" applyBorder="1" applyAlignment="1" applyProtection="1">
      <alignment horizontal="center" vertical="center"/>
    </xf>
    <xf numFmtId="0" fontId="93" fillId="0" borderId="45" xfId="4" applyNumberFormat="1" applyFont="1" applyFill="1" applyBorder="1" applyAlignment="1" applyProtection="1">
      <alignment horizontal="center" vertical="center"/>
    </xf>
    <xf numFmtId="0" fontId="93" fillId="0" borderId="46" xfId="4" applyNumberFormat="1" applyFont="1" applyFill="1" applyBorder="1" applyAlignment="1" applyProtection="1">
      <alignment horizontal="center" vertical="center"/>
    </xf>
    <xf numFmtId="0" fontId="93" fillId="15" borderId="46" xfId="9" applyFont="1" applyFill="1" applyBorder="1" applyAlignment="1" applyProtection="1">
      <alignment horizontal="left" vertical="center" indent="1"/>
    </xf>
    <xf numFmtId="0" fontId="93" fillId="15" borderId="1" xfId="9" applyFont="1" applyFill="1" applyBorder="1" applyAlignment="1" applyProtection="1">
      <alignment horizontal="left" vertical="center" indent="1"/>
    </xf>
    <xf numFmtId="0" fontId="93" fillId="15" borderId="25" xfId="9" applyFont="1" applyFill="1" applyBorder="1" applyAlignment="1" applyProtection="1">
      <alignment horizontal="left" vertical="center" indent="1"/>
    </xf>
    <xf numFmtId="0" fontId="93" fillId="15" borderId="25" xfId="4" applyNumberFormat="1" applyFont="1" applyFill="1" applyBorder="1" applyAlignment="1" applyProtection="1">
      <alignment horizontal="center" vertical="center"/>
    </xf>
    <xf numFmtId="0" fontId="93" fillId="15" borderId="45" xfId="4" applyNumberFormat="1" applyFont="1" applyFill="1" applyBorder="1" applyAlignment="1" applyProtection="1">
      <alignment horizontal="center" vertical="center"/>
    </xf>
    <xf numFmtId="0" fontId="93" fillId="15" borderId="46" xfId="4" applyNumberFormat="1" applyFont="1" applyFill="1" applyBorder="1" applyAlignment="1" applyProtection="1">
      <alignment horizontal="center" vertical="center"/>
    </xf>
    <xf numFmtId="37" fontId="121" fillId="17" borderId="147" xfId="6" applyNumberFormat="1" applyFont="1" applyFill="1" applyBorder="1" applyAlignment="1" applyProtection="1">
      <alignment horizontal="right" vertical="center" indent="1"/>
    </xf>
    <xf numFmtId="37" fontId="121" fillId="17" borderId="45" xfId="6" applyNumberFormat="1" applyFont="1" applyFill="1" applyBorder="1" applyAlignment="1" applyProtection="1">
      <alignment horizontal="right" vertical="center" indent="1"/>
    </xf>
    <xf numFmtId="37" fontId="121" fillId="17" borderId="98" xfId="6" applyNumberFormat="1" applyFont="1" applyFill="1" applyBorder="1" applyAlignment="1" applyProtection="1">
      <alignment horizontal="right" vertical="center" indent="1"/>
    </xf>
    <xf numFmtId="37" fontId="121" fillId="17" borderId="97" xfId="6" applyNumberFormat="1" applyFont="1" applyFill="1" applyBorder="1" applyAlignment="1" applyProtection="1">
      <alignment horizontal="right" vertical="center" indent="1"/>
    </xf>
    <xf numFmtId="0" fontId="95" fillId="0" borderId="203" xfId="9" applyFont="1" applyFill="1" applyBorder="1" applyAlignment="1" applyProtection="1">
      <alignment horizontal="left" vertical="center" indent="1"/>
    </xf>
    <xf numFmtId="0" fontId="95" fillId="0" borderId="45" xfId="9" applyFont="1" applyFill="1" applyBorder="1" applyAlignment="1" applyProtection="1">
      <alignment horizontal="left" vertical="center" indent="1"/>
    </xf>
    <xf numFmtId="0" fontId="95" fillId="0" borderId="46" xfId="9" applyFont="1" applyFill="1" applyBorder="1" applyAlignment="1" applyProtection="1">
      <alignment horizontal="left" vertical="center" indent="1"/>
    </xf>
    <xf numFmtId="184" fontId="95" fillId="0" borderId="25" xfId="9" applyNumberFormat="1" applyFont="1" applyFill="1" applyBorder="1" applyAlignment="1" applyProtection="1">
      <alignment horizontal="center" vertical="center"/>
    </xf>
    <xf numFmtId="184" fontId="95" fillId="0" borderId="45" xfId="9" applyNumberFormat="1" applyFont="1" applyFill="1" applyBorder="1" applyAlignment="1" applyProtection="1">
      <alignment horizontal="center" vertical="center"/>
    </xf>
    <xf numFmtId="184" fontId="95" fillId="0" borderId="46" xfId="9" applyNumberFormat="1" applyFont="1" applyFill="1" applyBorder="1" applyAlignment="1" applyProtection="1">
      <alignment horizontal="center" vertical="center"/>
    </xf>
    <xf numFmtId="0" fontId="94" fillId="17" borderId="72" xfId="9" applyFont="1" applyFill="1" applyBorder="1" applyAlignment="1" applyProtection="1">
      <alignment vertical="center"/>
    </xf>
    <xf numFmtId="0" fontId="95" fillId="18" borderId="25" xfId="9" applyFont="1" applyFill="1" applyBorder="1" applyAlignment="1" applyProtection="1">
      <alignment horizontal="center" vertical="center" wrapText="1"/>
    </xf>
    <xf numFmtId="9" fontId="95" fillId="0" borderId="1" xfId="17" applyNumberFormat="1" applyFont="1" applyFill="1" applyBorder="1" applyAlignment="1">
      <alignment horizontal="center" vertical="center"/>
    </xf>
    <xf numFmtId="0" fontId="93" fillId="0" borderId="203" xfId="9" applyFont="1" applyFill="1" applyBorder="1" applyAlignment="1" applyProtection="1">
      <alignment horizontal="left" vertical="center" indent="1"/>
    </xf>
    <xf numFmtId="0" fontId="93" fillId="0" borderId="45" xfId="9" applyFont="1" applyFill="1" applyBorder="1" applyAlignment="1" applyProtection="1">
      <alignment horizontal="left" vertical="center" indent="1"/>
    </xf>
    <xf numFmtId="0" fontId="93" fillId="0" borderId="25" xfId="0" applyFont="1" applyBorder="1" applyAlignment="1" applyProtection="1">
      <alignment horizontal="center" vertical="center" wrapText="1"/>
      <protection locked="0"/>
    </xf>
    <xf numFmtId="0" fontId="93" fillId="0" borderId="45" xfId="0" applyFont="1" applyBorder="1" applyAlignment="1" applyProtection="1">
      <alignment horizontal="center" vertical="center" wrapText="1"/>
      <protection locked="0"/>
    </xf>
    <xf numFmtId="0" fontId="93" fillId="0" borderId="46" xfId="0" applyFont="1" applyBorder="1" applyAlignment="1" applyProtection="1">
      <alignment horizontal="center" vertical="center" wrapText="1"/>
      <protection locked="0"/>
    </xf>
    <xf numFmtId="0" fontId="28" fillId="0" borderId="25" xfId="9" applyBorder="1" applyAlignment="1" applyProtection="1">
      <alignment horizontal="center"/>
      <protection locked="0"/>
    </xf>
    <xf numFmtId="0" fontId="28" fillId="0" borderId="45" xfId="9" applyBorder="1" applyAlignment="1" applyProtection="1">
      <alignment horizontal="center"/>
      <protection locked="0"/>
    </xf>
    <xf numFmtId="0" fontId="28" fillId="0" borderId="46" xfId="9" applyBorder="1" applyAlignment="1" applyProtection="1">
      <alignment horizontal="center"/>
      <protection locked="0"/>
    </xf>
    <xf numFmtId="0" fontId="93" fillId="0" borderId="25" xfId="9" applyFont="1" applyBorder="1" applyAlignment="1" applyProtection="1">
      <alignment horizontal="center" vertical="center" wrapText="1"/>
      <protection locked="0"/>
    </xf>
    <xf numFmtId="0" fontId="93" fillId="0" borderId="45" xfId="9" applyFont="1" applyBorder="1" applyAlignment="1" applyProtection="1">
      <alignment horizontal="center" vertical="center" wrapText="1"/>
      <protection locked="0"/>
    </xf>
    <xf numFmtId="0" fontId="93" fillId="0" borderId="46" xfId="9" applyFont="1" applyBorder="1" applyAlignment="1" applyProtection="1">
      <alignment horizontal="center" vertical="center" wrapText="1"/>
      <protection locked="0"/>
    </xf>
    <xf numFmtId="0" fontId="93" fillId="0" borderId="25" xfId="9" applyFont="1" applyBorder="1" applyAlignment="1" applyProtection="1">
      <alignment horizontal="center"/>
      <protection locked="0"/>
    </xf>
    <xf numFmtId="0" fontId="93" fillId="0" borderId="45" xfId="9" applyFont="1" applyBorder="1" applyAlignment="1" applyProtection="1">
      <alignment horizontal="center"/>
      <protection locked="0"/>
    </xf>
    <xf numFmtId="0" fontId="93" fillId="0" borderId="46" xfId="9" applyFont="1" applyBorder="1" applyAlignment="1" applyProtection="1">
      <alignment horizontal="center"/>
      <protection locked="0"/>
    </xf>
    <xf numFmtId="0" fontId="216" fillId="0" borderId="73" xfId="9" applyFont="1" applyBorder="1" applyAlignment="1" applyProtection="1">
      <alignment horizontal="center" wrapText="1"/>
    </xf>
    <xf numFmtId="0" fontId="216" fillId="0" borderId="72" xfId="9" applyFont="1" applyBorder="1" applyAlignment="1" applyProtection="1">
      <alignment horizontal="center" wrapText="1"/>
    </xf>
    <xf numFmtId="0" fontId="216" fillId="0" borderId="67" xfId="9" applyFont="1" applyBorder="1" applyAlignment="1" applyProtection="1">
      <alignment horizontal="center" wrapText="1"/>
    </xf>
    <xf numFmtId="0" fontId="216" fillId="0" borderId="63" xfId="9" applyFont="1" applyBorder="1" applyAlignment="1" applyProtection="1">
      <alignment horizontal="center" wrapText="1"/>
    </xf>
    <xf numFmtId="0" fontId="216" fillId="0" borderId="0" xfId="9" applyFont="1" applyBorder="1" applyAlignment="1" applyProtection="1">
      <alignment horizontal="center" wrapText="1"/>
    </xf>
    <xf numFmtId="0" fontId="216" fillId="0" borderId="26" xfId="9" applyFont="1" applyBorder="1" applyAlignment="1" applyProtection="1">
      <alignment horizontal="center" wrapText="1"/>
    </xf>
    <xf numFmtId="0" fontId="178" fillId="0" borderId="63" xfId="9" applyFont="1" applyBorder="1" applyAlignment="1" applyProtection="1">
      <alignment horizontal="center" vertical="top" wrapText="1"/>
    </xf>
    <xf numFmtId="0" fontId="178" fillId="0" borderId="0" xfId="9" applyFont="1" applyBorder="1" applyAlignment="1" applyProtection="1">
      <alignment horizontal="center" vertical="top" wrapText="1"/>
    </xf>
    <xf numFmtId="0" fontId="178" fillId="0" borderId="26" xfId="9" applyFont="1" applyBorder="1" applyAlignment="1" applyProtection="1">
      <alignment horizontal="center" vertical="top" wrapText="1"/>
    </xf>
    <xf numFmtId="0" fontId="93" fillId="0" borderId="73" xfId="9" applyFont="1" applyBorder="1" applyAlignment="1" applyProtection="1">
      <alignment horizontal="center" vertical="center" wrapText="1"/>
      <protection locked="0"/>
    </xf>
    <xf numFmtId="0" fontId="93" fillId="0" borderId="72" xfId="9" applyFont="1" applyBorder="1" applyAlignment="1" applyProtection="1">
      <alignment horizontal="center" vertical="center" wrapText="1"/>
      <protection locked="0"/>
    </xf>
    <xf numFmtId="0" fontId="93" fillId="0" borderId="67" xfId="9" applyFont="1" applyBorder="1" applyAlignment="1" applyProtection="1">
      <alignment horizontal="center" vertical="center" wrapText="1"/>
      <protection locked="0"/>
    </xf>
    <xf numFmtId="0" fontId="93" fillId="0" borderId="63" xfId="9" applyFont="1" applyBorder="1" applyAlignment="1" applyProtection="1">
      <alignment horizontal="center" vertical="center" wrapText="1"/>
      <protection locked="0"/>
    </xf>
    <xf numFmtId="0" fontId="93" fillId="0" borderId="0" xfId="9" applyFont="1" applyBorder="1" applyAlignment="1" applyProtection="1">
      <alignment horizontal="center" vertical="center" wrapText="1"/>
      <protection locked="0"/>
    </xf>
    <xf numFmtId="0" fontId="93" fillId="0" borderId="26" xfId="9" applyFont="1" applyBorder="1" applyAlignment="1" applyProtection="1">
      <alignment horizontal="center" vertical="center" wrapText="1"/>
      <protection locked="0"/>
    </xf>
    <xf numFmtId="0" fontId="93" fillId="0" borderId="27" xfId="9" applyFont="1" applyBorder="1" applyAlignment="1" applyProtection="1">
      <alignment horizontal="center" vertical="center" wrapText="1"/>
      <protection locked="0"/>
    </xf>
    <xf numFmtId="0" fontId="93" fillId="0" borderId="65" xfId="9" applyFont="1" applyBorder="1" applyAlignment="1" applyProtection="1">
      <alignment horizontal="center" vertical="center" wrapText="1"/>
      <protection locked="0"/>
    </xf>
    <xf numFmtId="0" fontId="93" fillId="0" borderId="66" xfId="9" applyFont="1" applyBorder="1" applyAlignment="1" applyProtection="1">
      <alignment horizontal="center" vertical="center" wrapText="1"/>
      <protection locked="0"/>
    </xf>
    <xf numFmtId="0" fontId="93" fillId="0" borderId="73" xfId="9" applyFont="1" applyBorder="1" applyAlignment="1" applyProtection="1">
      <alignment horizontal="center"/>
      <protection locked="0"/>
    </xf>
    <xf numFmtId="0" fontId="93" fillId="0" borderId="72" xfId="9" applyFont="1" applyBorder="1" applyAlignment="1" applyProtection="1">
      <alignment horizontal="center"/>
      <protection locked="0"/>
    </xf>
    <xf numFmtId="0" fontId="93" fillId="0" borderId="67" xfId="9" applyFont="1" applyBorder="1" applyAlignment="1" applyProtection="1">
      <alignment horizontal="center"/>
      <protection locked="0"/>
    </xf>
    <xf numFmtId="0" fontId="93" fillId="0" borderId="63" xfId="9" applyFont="1" applyBorder="1" applyAlignment="1" applyProtection="1">
      <alignment horizontal="center"/>
      <protection locked="0"/>
    </xf>
    <xf numFmtId="0" fontId="93" fillId="0" borderId="0" xfId="9" applyFont="1" applyBorder="1" applyAlignment="1" applyProtection="1">
      <alignment horizontal="center"/>
      <protection locked="0"/>
    </xf>
    <xf numFmtId="0" fontId="93" fillId="0" borderId="26" xfId="9" applyFont="1" applyBorder="1" applyAlignment="1" applyProtection="1">
      <alignment horizontal="center"/>
      <protection locked="0"/>
    </xf>
    <xf numFmtId="0" fontId="93" fillId="0" borderId="27" xfId="9" applyFont="1" applyBorder="1" applyAlignment="1" applyProtection="1">
      <alignment horizontal="center"/>
      <protection locked="0"/>
    </xf>
    <xf numFmtId="0" fontId="93" fillId="0" borderId="65" xfId="9" applyFont="1" applyBorder="1" applyAlignment="1" applyProtection="1">
      <alignment horizontal="center"/>
      <protection locked="0"/>
    </xf>
    <xf numFmtId="0" fontId="93" fillId="0" borderId="66" xfId="9" applyFont="1" applyBorder="1" applyAlignment="1" applyProtection="1">
      <alignment horizontal="center"/>
      <protection locked="0"/>
    </xf>
    <xf numFmtId="0" fontId="212" fillId="0" borderId="63" xfId="9" applyFont="1" applyBorder="1" applyAlignment="1" applyProtection="1">
      <alignment horizontal="center" vertical="top" wrapText="1"/>
    </xf>
    <xf numFmtId="0" fontId="212" fillId="0" borderId="0" xfId="9" applyFont="1" applyBorder="1" applyAlignment="1" applyProtection="1">
      <alignment horizontal="center" vertical="top" wrapText="1"/>
    </xf>
    <xf numFmtId="0" fontId="212" fillId="0" borderId="26" xfId="9" applyFont="1" applyBorder="1" applyAlignment="1" applyProtection="1">
      <alignment horizontal="center" vertical="top" wrapText="1"/>
    </xf>
    <xf numFmtId="0" fontId="216" fillId="0" borderId="73" xfId="9" applyFont="1" applyBorder="1" applyAlignment="1">
      <alignment horizontal="center" wrapText="1"/>
    </xf>
    <xf numFmtId="0" fontId="216" fillId="0" borderId="72" xfId="9" applyFont="1" applyBorder="1" applyAlignment="1">
      <alignment horizontal="center" wrapText="1"/>
    </xf>
    <xf numFmtId="0" fontId="216" fillId="0" borderId="67" xfId="9" applyFont="1" applyBorder="1" applyAlignment="1">
      <alignment horizontal="center" wrapText="1"/>
    </xf>
    <xf numFmtId="0" fontId="216" fillId="0" borderId="63" xfId="9" applyFont="1" applyBorder="1" applyAlignment="1">
      <alignment horizontal="center" wrapText="1"/>
    </xf>
    <xf numFmtId="0" fontId="216" fillId="0" borderId="0" xfId="9" applyFont="1" applyBorder="1" applyAlignment="1">
      <alignment horizontal="center" wrapText="1"/>
    </xf>
    <xf numFmtId="0" fontId="216" fillId="0" borderId="26" xfId="9" applyFont="1" applyBorder="1" applyAlignment="1">
      <alignment horizontal="center" wrapText="1"/>
    </xf>
    <xf numFmtId="0" fontId="118" fillId="0" borderId="63" xfId="9" applyFont="1" applyBorder="1" applyAlignment="1">
      <alignment horizontal="center" vertical="top" wrapText="1"/>
    </xf>
    <xf numFmtId="0" fontId="118" fillId="0" borderId="0" xfId="9" applyFont="1" applyBorder="1" applyAlignment="1">
      <alignment horizontal="center" vertical="top" wrapText="1"/>
    </xf>
    <xf numFmtId="0" fontId="118" fillId="0" borderId="26" xfId="9" applyFont="1" applyBorder="1" applyAlignment="1">
      <alignment horizontal="center" vertical="top" wrapText="1"/>
    </xf>
    <xf numFmtId="38" fontId="143" fillId="0" borderId="0" xfId="0" applyNumberFormat="1" applyFont="1" applyBorder="1" applyAlignment="1" applyProtection="1">
      <alignment vertical="center"/>
      <protection locked="0"/>
    </xf>
    <xf numFmtId="38" fontId="109" fillId="0" borderId="72" xfId="0" applyNumberFormat="1" applyFont="1" applyBorder="1" applyAlignment="1" applyProtection="1">
      <alignment vertical="center"/>
      <protection locked="0"/>
    </xf>
    <xf numFmtId="0" fontId="134" fillId="0" borderId="0" xfId="13" applyAlignment="1">
      <alignment horizontal="center" vertical="center"/>
    </xf>
    <xf numFmtId="0" fontId="239" fillId="0" borderId="0" xfId="13" applyFont="1" applyFill="1" applyAlignment="1" applyProtection="1">
      <alignment horizontal="center" vertical="center"/>
    </xf>
    <xf numFmtId="0" fontId="238" fillId="0" borderId="0" xfId="13" applyFont="1" applyFill="1" applyAlignment="1" applyProtection="1">
      <alignment horizontal="center" vertical="top"/>
    </xf>
    <xf numFmtId="0" fontId="240" fillId="0" borderId="0" xfId="13" applyFont="1" applyFill="1" applyAlignment="1" applyProtection="1">
      <alignment horizontal="center"/>
    </xf>
    <xf numFmtId="0" fontId="241" fillId="0" borderId="0" xfId="13" applyFont="1" applyFill="1" applyAlignment="1" applyProtection="1">
      <alignment horizontal="center" vertical="center"/>
    </xf>
    <xf numFmtId="0" fontId="240" fillId="0" borderId="0" xfId="13" applyNumberFormat="1" applyFont="1" applyFill="1" applyAlignment="1" applyProtection="1">
      <alignment horizontal="center" vertical="center"/>
    </xf>
    <xf numFmtId="0" fontId="224" fillId="0" borderId="0" xfId="13" applyNumberFormat="1" applyFont="1" applyFill="1" applyAlignment="1" applyProtection="1">
      <alignment horizontal="center" vertical="top" wrapText="1"/>
    </xf>
    <xf numFmtId="37" fontId="0" fillId="30" borderId="34" xfId="0" applyNumberFormat="1" applyFill="1" applyBorder="1"/>
    <xf numFmtId="37" fontId="0" fillId="30" borderId="29" xfId="0" applyNumberFormat="1" applyFill="1" applyBorder="1"/>
    <xf numFmtId="1" fontId="0" fillId="30" borderId="32" xfId="0" applyNumberFormat="1" applyFill="1" applyBorder="1"/>
    <xf numFmtId="0" fontId="0" fillId="28" borderId="33" xfId="0" applyFill="1" applyBorder="1" applyAlignment="1">
      <alignment vertical="center"/>
    </xf>
    <xf numFmtId="0" fontId="0" fillId="28" borderId="34" xfId="0" applyFill="1" applyBorder="1" applyAlignment="1">
      <alignment horizontal="center" wrapText="1"/>
    </xf>
    <xf numFmtId="0" fontId="0" fillId="28" borderId="29" xfId="0" applyFill="1" applyBorder="1" applyAlignment="1">
      <alignment horizontal="center" vertical="center" wrapText="1"/>
    </xf>
  </cellXfs>
  <cellStyles count="20">
    <cellStyle name="Comma" xfId="1" builtinId="3"/>
    <cellStyle name="Comma [0]" xfId="2" builtinId="6"/>
    <cellStyle name="Comma [0] 2" xfId="3"/>
    <cellStyle name="Comma [0] 3" xfId="4"/>
    <cellStyle name="Comma 2" xfId="5"/>
    <cellStyle name="Comma 3" xfId="6"/>
    <cellStyle name="Comma 4" xfId="7"/>
    <cellStyle name="Hyperlink" xfId="8" builtinId="8"/>
    <cellStyle name="Normal" xfId="0" builtinId="0"/>
    <cellStyle name="Normal 2" xfId="9"/>
    <cellStyle name="Normal 2 6" xfId="10"/>
    <cellStyle name="Normal 3" xfId="11"/>
    <cellStyle name="Normal 4" xfId="12"/>
    <cellStyle name="Normal_Cover All" xfId="13"/>
    <cellStyle name="Normal_form-bangunan" xfId="14"/>
    <cellStyle name="Normal_Template_Worksheet_T + B_= MASTER TANAH &amp; BANGUNAN (1 Bgn) = DKS 2" xfId="15"/>
    <cellStyle name="Percent" xfId="16" builtinId="5"/>
    <cellStyle name="Percent 2" xfId="17"/>
    <cellStyle name="Percent 2 2" xfId="18"/>
    <cellStyle name="Percent 3" xfId="19"/>
  </cellStyles>
  <dxfs count="2">
    <dxf>
      <font>
        <color theme="8" tint="0.79998168889431442"/>
      </font>
      <fill>
        <patternFill>
          <bgColor theme="8" tint="0.79998168889431442"/>
        </patternFill>
      </fill>
      <border>
        <left/>
        <right/>
        <top/>
        <bottom/>
      </border>
    </dxf>
    <dxf>
      <font>
        <color theme="8" tint="0.79998168889431442"/>
      </font>
      <fill>
        <patternFill>
          <bgColor theme="8" tint="0.79998168889431442"/>
        </patternFill>
      </fill>
      <border>
        <left/>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3.xml.rels><?xml version="1.0" encoding="UTF-8" standalone="yes"?>
<Relationships xmlns="http://schemas.openxmlformats.org/package/2006/relationships"><Relationship Id="rId8" Type="http://schemas.openxmlformats.org/officeDocument/2006/relationships/image" Target="../media/image15.png"/><Relationship Id="rId3" Type="http://schemas.openxmlformats.org/officeDocument/2006/relationships/image" Target="../media/image10.png"/><Relationship Id="rId7" Type="http://schemas.openxmlformats.org/officeDocument/2006/relationships/image" Target="../media/image14.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image" Target="../media/image13.png"/><Relationship Id="rId5" Type="http://schemas.openxmlformats.org/officeDocument/2006/relationships/image" Target="../media/image12.png"/><Relationship Id="rId10" Type="http://schemas.openxmlformats.org/officeDocument/2006/relationships/image" Target="../media/image17.jpeg"/><Relationship Id="rId4" Type="http://schemas.openxmlformats.org/officeDocument/2006/relationships/image" Target="../media/image11.png"/><Relationship Id="rId9" Type="http://schemas.openxmlformats.org/officeDocument/2006/relationships/image" Target="../media/image16.png"/></Relationships>
</file>

<file path=xl/drawings/_rels/drawing5.xml.rels><?xml version="1.0" encoding="UTF-8" standalone="yes"?>
<Relationships xmlns="http://schemas.openxmlformats.org/package/2006/relationships"><Relationship Id="rId3" Type="http://schemas.openxmlformats.org/officeDocument/2006/relationships/image" Target="../media/image20.jpeg"/><Relationship Id="rId2" Type="http://schemas.openxmlformats.org/officeDocument/2006/relationships/image" Target="../media/image19.jpeg"/><Relationship Id="rId1" Type="http://schemas.openxmlformats.org/officeDocument/2006/relationships/image" Target="../media/image18.jpeg"/><Relationship Id="rId4" Type="http://schemas.openxmlformats.org/officeDocument/2006/relationships/image" Target="../media/image21.jpeg"/></Relationships>
</file>

<file path=xl/drawings/_rels/drawing7.xml.rels><?xml version="1.0" encoding="UTF-8" standalone="yes"?>
<Relationships xmlns="http://schemas.openxmlformats.org/package/2006/relationships"><Relationship Id="rId3" Type="http://schemas.openxmlformats.org/officeDocument/2006/relationships/image" Target="../media/image24.jpeg"/><Relationship Id="rId2" Type="http://schemas.openxmlformats.org/officeDocument/2006/relationships/image" Target="../media/image23.jpeg"/><Relationship Id="rId1" Type="http://schemas.openxmlformats.org/officeDocument/2006/relationships/image" Target="../media/image22.jpeg"/><Relationship Id="rId6" Type="http://schemas.openxmlformats.org/officeDocument/2006/relationships/image" Target="../media/image7.jpeg"/><Relationship Id="rId5" Type="http://schemas.openxmlformats.org/officeDocument/2006/relationships/image" Target="../media/image26.jpeg"/><Relationship Id="rId4" Type="http://schemas.openxmlformats.org/officeDocument/2006/relationships/image" Target="../media/image25.jpeg"/></Relationships>
</file>

<file path=xl/drawings/_rels/drawing8.xml.rels><?xml version="1.0" encoding="UTF-8" standalone="yes"?>
<Relationships xmlns="http://schemas.openxmlformats.org/package/2006/relationships"><Relationship Id="rId3" Type="http://schemas.openxmlformats.org/officeDocument/2006/relationships/image" Target="../media/image29.jpeg"/><Relationship Id="rId2" Type="http://schemas.openxmlformats.org/officeDocument/2006/relationships/image" Target="../media/image28.jpeg"/><Relationship Id="rId1" Type="http://schemas.openxmlformats.org/officeDocument/2006/relationships/image" Target="../media/image27.png"/><Relationship Id="rId5" Type="http://schemas.openxmlformats.org/officeDocument/2006/relationships/image" Target="../media/image31.jpeg"/><Relationship Id="rId4" Type="http://schemas.openxmlformats.org/officeDocument/2006/relationships/image" Target="../media/image30.png"/></Relationships>
</file>

<file path=xl/drawings/_rels/drawing9.xml.rels><?xml version="1.0" encoding="UTF-8" standalone="yes"?>
<Relationships xmlns="http://schemas.openxmlformats.org/package/2006/relationships"><Relationship Id="rId1" Type="http://schemas.openxmlformats.org/officeDocument/2006/relationships/image" Target="../media/image32.jpeg"/></Relationships>
</file>

<file path=xl/drawings/drawing1.xml><?xml version="1.0" encoding="utf-8"?>
<xdr:wsDr xmlns:xdr="http://schemas.openxmlformats.org/drawingml/2006/spreadsheetDrawing" xmlns:a="http://schemas.openxmlformats.org/drawingml/2006/main">
  <xdr:twoCellAnchor>
    <xdr:from>
      <xdr:col>31</xdr:col>
      <xdr:colOff>85725</xdr:colOff>
      <xdr:row>9</xdr:row>
      <xdr:rowOff>133350</xdr:rowOff>
    </xdr:from>
    <xdr:to>
      <xdr:col>47</xdr:col>
      <xdr:colOff>104775</xdr:colOff>
      <xdr:row>16</xdr:row>
      <xdr:rowOff>85725</xdr:rowOff>
    </xdr:to>
    <xdr:sp macro="" textlink="">
      <xdr:nvSpPr>
        <xdr:cNvPr id="2" name="AutoShape 43">
          <a:extLst>
            <a:ext uri="{FF2B5EF4-FFF2-40B4-BE49-F238E27FC236}"/>
          </a:extLst>
        </xdr:cNvPr>
        <xdr:cNvSpPr>
          <a:spLocks noChangeArrowheads="1"/>
        </xdr:cNvSpPr>
      </xdr:nvSpPr>
      <xdr:spPr bwMode="auto">
        <a:xfrm>
          <a:off x="6010275" y="1781175"/>
          <a:ext cx="3000375" cy="1152525"/>
        </a:xfrm>
        <a:prstGeom prst="wedgeRectCallout">
          <a:avLst>
            <a:gd name="adj1" fmla="val -67142"/>
            <a:gd name="adj2" fmla="val 19654"/>
          </a:avLst>
        </a:prstGeom>
        <a:solidFill>
          <a:srgbClr val="000000"/>
        </a:solidFill>
        <a:ln w="19050">
          <a:solidFill>
            <a:srgbClr val="FF0000"/>
          </a:solidFill>
          <a:miter lim="800000"/>
          <a:headEnd/>
          <a:tailEnd/>
        </a:ln>
      </xdr:spPr>
      <xdr:txBody>
        <a:bodyPr vertOverflow="clip" wrap="square" lIns="45720" tIns="41148" rIns="45720" bIns="41148" anchor="ctr" upright="1"/>
        <a:lstStyle/>
        <a:p>
          <a:pPr algn="ctr" rtl="0">
            <a:defRPr sz="1000"/>
          </a:pPr>
          <a:r>
            <a:rPr lang="en-US" sz="2200" b="1" i="0" u="none" strike="noStrike" baseline="0">
              <a:solidFill>
                <a:srgbClr val="FFFF00"/>
              </a:solidFill>
              <a:latin typeface="Arial"/>
              <a:cs typeface="Arial"/>
            </a:rPr>
            <a:t>HURUF KAPITAL / </a:t>
          </a:r>
        </a:p>
        <a:p>
          <a:pPr algn="ctr" rtl="0">
            <a:defRPr sz="1000"/>
          </a:pPr>
          <a:r>
            <a:rPr lang="en-US" sz="2200" b="1" i="0" u="none" strike="noStrike" baseline="0">
              <a:solidFill>
                <a:srgbClr val="FFFF00"/>
              </a:solidFill>
              <a:latin typeface="Arial"/>
              <a:cs typeface="Arial"/>
            </a:rPr>
            <a:t>HURUF BESAR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77</xdr:col>
      <xdr:colOff>28575</xdr:colOff>
      <xdr:row>3</xdr:row>
      <xdr:rowOff>685800</xdr:rowOff>
    </xdr:from>
    <xdr:to>
      <xdr:col>93</xdr:col>
      <xdr:colOff>104775</xdr:colOff>
      <xdr:row>4</xdr:row>
      <xdr:rowOff>257175</xdr:rowOff>
    </xdr:to>
    <xdr:sp macro="" textlink="">
      <xdr:nvSpPr>
        <xdr:cNvPr id="3" name="TextBox 2">
          <a:extLst>
            <a:ext uri="{FF2B5EF4-FFF2-40B4-BE49-F238E27FC236}"/>
          </a:extLst>
        </xdr:cNvPr>
        <xdr:cNvSpPr txBox="1"/>
      </xdr:nvSpPr>
      <xdr:spPr>
        <a:xfrm>
          <a:off x="12153900" y="1504950"/>
          <a:ext cx="2609850" cy="981075"/>
        </a:xfrm>
        <a:prstGeom prst="rect">
          <a:avLst/>
        </a:prstGeom>
        <a:ln/>
      </xdr:spPr>
      <xdr:style>
        <a:lnRef idx="1">
          <a:schemeClr val="accent2"/>
        </a:lnRef>
        <a:fillRef idx="3">
          <a:schemeClr val="accent2"/>
        </a:fillRef>
        <a:effectRef idx="2">
          <a:schemeClr val="accent2"/>
        </a:effectRef>
        <a:fontRef idx="minor">
          <a:schemeClr val="lt1"/>
        </a:fontRef>
      </xdr:style>
      <xdr:txBody>
        <a:bodyPr vertOverflow="clip" wrap="square" rtlCol="0" anchor="t"/>
        <a:lstStyle/>
        <a:p>
          <a:pPr algn="ctr"/>
          <a:r>
            <a:rPr lang="en-US" sz="2800" b="1"/>
            <a:t>DATA BANDING MINIMAL 6</a:t>
          </a:r>
        </a:p>
      </xdr:txBody>
    </xdr:sp>
    <xdr:clientData/>
  </xdr:twoCellAnchor>
  <xdr:twoCellAnchor>
    <xdr:from>
      <xdr:col>12</xdr:col>
      <xdr:colOff>152400</xdr:colOff>
      <xdr:row>0</xdr:row>
      <xdr:rowOff>152400</xdr:rowOff>
    </xdr:from>
    <xdr:to>
      <xdr:col>19</xdr:col>
      <xdr:colOff>28575</xdr:colOff>
      <xdr:row>1</xdr:row>
      <xdr:rowOff>285750</xdr:rowOff>
    </xdr:to>
    <xdr:sp macro="" textlink="">
      <xdr:nvSpPr>
        <xdr:cNvPr id="4" name="Right Arrow 3">
          <a:extLst>
            <a:ext uri="{FF2B5EF4-FFF2-40B4-BE49-F238E27FC236}"/>
          </a:extLst>
        </xdr:cNvPr>
        <xdr:cNvSpPr/>
      </xdr:nvSpPr>
      <xdr:spPr>
        <a:xfrm>
          <a:off x="2324100" y="152400"/>
          <a:ext cx="1143000" cy="295275"/>
        </a:xfrm>
        <a:prstGeom prst="rightArrow">
          <a:avLst/>
        </a:prstGeom>
      </xdr:spPr>
      <xdr:style>
        <a:lnRef idx="1">
          <a:schemeClr val="accent6"/>
        </a:lnRef>
        <a:fillRef idx="3">
          <a:schemeClr val="accent6"/>
        </a:fillRef>
        <a:effectRef idx="2">
          <a:schemeClr val="accent6"/>
        </a:effectRef>
        <a:fontRef idx="minor">
          <a:schemeClr val="lt1"/>
        </a:fontRef>
      </xdr:style>
      <xdr:txBody>
        <a:bodyPr vertOverflow="clip" rtlCol="0" anchor="ctr"/>
        <a:lstStyle/>
        <a:p>
          <a:endParaRPr lang="en-US"/>
        </a:p>
      </xdr:txBody>
    </xdr:sp>
    <xdr:clientData/>
  </xdr:twoCellAnchor>
  <xdr:oneCellAnchor>
    <xdr:from>
      <xdr:col>1</xdr:col>
      <xdr:colOff>9525</xdr:colOff>
      <xdr:row>0</xdr:row>
      <xdr:rowOff>86264</xdr:rowOff>
    </xdr:from>
    <xdr:ext cx="2152650" cy="361411"/>
    <xdr:sp macro="" textlink="">
      <xdr:nvSpPr>
        <xdr:cNvPr id="5" name="Rectangle 4">
          <a:extLst>
            <a:ext uri="{FF2B5EF4-FFF2-40B4-BE49-F238E27FC236}"/>
          </a:extLst>
        </xdr:cNvPr>
        <xdr:cNvSpPr/>
      </xdr:nvSpPr>
      <xdr:spPr>
        <a:xfrm>
          <a:off x="190500" y="86264"/>
          <a:ext cx="2152650" cy="361411"/>
        </a:xfrm>
        <a:prstGeom prst="rect">
          <a:avLst/>
        </a:prstGeom>
        <a:noFill/>
      </xdr:spPr>
      <xdr:txBody>
        <a:bodyPr wrap="square" lIns="91440" tIns="45720" rIns="91440" bIns="45720">
          <a:noAutofit/>
          <a:scene3d>
            <a:camera prst="orthographicFront"/>
            <a:lightRig rig="flat" dir="tl">
              <a:rot lat="0" lon="0" rev="6600000"/>
            </a:lightRig>
          </a:scene3d>
          <a:sp3d extrusionH="25400" contourW="8890">
            <a:bevelT w="38100" h="31750"/>
            <a:contourClr>
              <a:schemeClr val="accent2">
                <a:shade val="75000"/>
              </a:schemeClr>
            </a:contourClr>
          </a:sp3d>
        </a:bodyPr>
        <a:lstStyle/>
        <a:p>
          <a:pPr algn="ctr"/>
          <a:r>
            <a:rPr lang="en-US" sz="2400" b="1" cap="none" spc="0">
              <a:ln w="11430"/>
              <a:gradFill>
                <a:gsLst>
                  <a:gs pos="0">
                    <a:schemeClr val="accent2">
                      <a:tint val="70000"/>
                      <a:satMod val="245000"/>
                    </a:schemeClr>
                  </a:gs>
                  <a:gs pos="75000">
                    <a:schemeClr val="accent2">
                      <a:tint val="90000"/>
                      <a:shade val="60000"/>
                      <a:satMod val="240000"/>
                    </a:schemeClr>
                  </a:gs>
                  <a:gs pos="100000">
                    <a:schemeClr val="accent2">
                      <a:tint val="100000"/>
                      <a:shade val="50000"/>
                      <a:satMod val="240000"/>
                    </a:schemeClr>
                  </a:gs>
                </a:gsLst>
                <a:lin ang="5400000"/>
              </a:gradFill>
              <a:effectLst>
                <a:outerShdw blurRad="50800" dist="39000" dir="5460000" algn="tl">
                  <a:srgbClr val="000000">
                    <a:alpha val="38000"/>
                  </a:srgbClr>
                </a:outerShdw>
              </a:effectLst>
            </a:rPr>
            <a:t>SCROLL KANAN</a:t>
          </a:r>
        </a:p>
      </xdr:txBody>
    </xdr:sp>
    <xdr:clientData/>
  </xdr:oneCellAnchor>
  <xdr:twoCellAnchor editAs="oneCell">
    <xdr:from>
      <xdr:col>21</xdr:col>
      <xdr:colOff>28575</xdr:colOff>
      <xdr:row>3</xdr:row>
      <xdr:rowOff>28575</xdr:rowOff>
    </xdr:from>
    <xdr:to>
      <xdr:col>32</xdr:col>
      <xdr:colOff>152400</xdr:colOff>
      <xdr:row>3</xdr:row>
      <xdr:rowOff>1390650</xdr:rowOff>
    </xdr:to>
    <xdr:pic>
      <xdr:nvPicPr>
        <xdr:cNvPr id="6468"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9050" y="847725"/>
          <a:ext cx="1752600" cy="1362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28575</xdr:colOff>
      <xdr:row>4</xdr:row>
      <xdr:rowOff>28575</xdr:rowOff>
    </xdr:from>
    <xdr:to>
      <xdr:col>32</xdr:col>
      <xdr:colOff>161925</xdr:colOff>
      <xdr:row>4</xdr:row>
      <xdr:rowOff>1323975</xdr:rowOff>
    </xdr:to>
    <xdr:pic>
      <xdr:nvPicPr>
        <xdr:cNvPr id="6469" name="Picture 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9050" y="2257425"/>
          <a:ext cx="1762125"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33</xdr:col>
      <xdr:colOff>28575</xdr:colOff>
      <xdr:row>3</xdr:row>
      <xdr:rowOff>28575</xdr:rowOff>
    </xdr:from>
    <xdr:to>
      <xdr:col>44</xdr:col>
      <xdr:colOff>161925</xdr:colOff>
      <xdr:row>3</xdr:row>
      <xdr:rowOff>1390650</xdr:rowOff>
    </xdr:to>
    <xdr:pic>
      <xdr:nvPicPr>
        <xdr:cNvPr id="6470" name="Picture 9"/>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638800" y="847725"/>
          <a:ext cx="1762125" cy="1362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33</xdr:col>
      <xdr:colOff>28575</xdr:colOff>
      <xdr:row>4</xdr:row>
      <xdr:rowOff>28575</xdr:rowOff>
    </xdr:from>
    <xdr:to>
      <xdr:col>44</xdr:col>
      <xdr:colOff>152400</xdr:colOff>
      <xdr:row>4</xdr:row>
      <xdr:rowOff>1314450</xdr:rowOff>
    </xdr:to>
    <xdr:pic>
      <xdr:nvPicPr>
        <xdr:cNvPr id="6471" name="Picture 1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638800" y="2257425"/>
          <a:ext cx="175260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45</xdr:col>
      <xdr:colOff>28575</xdr:colOff>
      <xdr:row>3</xdr:row>
      <xdr:rowOff>28575</xdr:rowOff>
    </xdr:from>
    <xdr:to>
      <xdr:col>56</xdr:col>
      <xdr:colOff>161925</xdr:colOff>
      <xdr:row>3</xdr:row>
      <xdr:rowOff>1381125</xdr:rowOff>
    </xdr:to>
    <xdr:pic>
      <xdr:nvPicPr>
        <xdr:cNvPr id="6472" name="Picture 13"/>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448550" y="847725"/>
          <a:ext cx="1762125"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45</xdr:col>
      <xdr:colOff>28575</xdr:colOff>
      <xdr:row>4</xdr:row>
      <xdr:rowOff>28575</xdr:rowOff>
    </xdr:from>
    <xdr:to>
      <xdr:col>56</xdr:col>
      <xdr:colOff>152400</xdr:colOff>
      <xdr:row>4</xdr:row>
      <xdr:rowOff>1314450</xdr:rowOff>
    </xdr:to>
    <xdr:pic>
      <xdr:nvPicPr>
        <xdr:cNvPr id="6473" name="Picture 15"/>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448550" y="2257425"/>
          <a:ext cx="175260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38100</xdr:colOff>
      <xdr:row>3</xdr:row>
      <xdr:rowOff>47625</xdr:rowOff>
    </xdr:from>
    <xdr:to>
      <xdr:col>20</xdr:col>
      <xdr:colOff>161925</xdr:colOff>
      <xdr:row>4</xdr:row>
      <xdr:rowOff>1304925</xdr:rowOff>
    </xdr:to>
    <xdr:pic>
      <xdr:nvPicPr>
        <xdr:cNvPr id="6474" name="Picture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19075" y="866775"/>
          <a:ext cx="3562350" cy="266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107</xdr:col>
      <xdr:colOff>57150</xdr:colOff>
      <xdr:row>95</xdr:row>
      <xdr:rowOff>0</xdr:rowOff>
    </xdr:from>
    <xdr:to>
      <xdr:col>186</xdr:col>
      <xdr:colOff>76200</xdr:colOff>
      <xdr:row>127</xdr:row>
      <xdr:rowOff>47625</xdr:rowOff>
    </xdr:to>
    <xdr:pic>
      <xdr:nvPicPr>
        <xdr:cNvPr id="7553"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82475" y="16363950"/>
          <a:ext cx="9048750" cy="5534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85725</xdr:colOff>
      <xdr:row>9</xdr:row>
      <xdr:rowOff>133350</xdr:rowOff>
    </xdr:from>
    <xdr:to>
      <xdr:col>90</xdr:col>
      <xdr:colOff>76200</xdr:colOff>
      <xdr:row>24</xdr:row>
      <xdr:rowOff>19050</xdr:rowOff>
    </xdr:to>
    <xdr:grpSp>
      <xdr:nvGrpSpPr>
        <xdr:cNvPr id="7554" name="Group 5"/>
        <xdr:cNvGrpSpPr>
          <a:grpSpLocks/>
        </xdr:cNvGrpSpPr>
      </xdr:nvGrpSpPr>
      <xdr:grpSpPr bwMode="auto">
        <a:xfrm>
          <a:off x="266700" y="1714500"/>
          <a:ext cx="10296525" cy="2390775"/>
          <a:chOff x="171448" y="33373314"/>
          <a:chExt cx="10167042" cy="2319486"/>
        </a:xfrm>
      </xdr:grpSpPr>
      <xdr:pic>
        <xdr:nvPicPr>
          <xdr:cNvPr id="7556" name="Picture 6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90788" y="34762814"/>
            <a:ext cx="1063892" cy="764987"/>
          </a:xfrm>
          <a:prstGeom prst="rect">
            <a:avLst/>
          </a:prstGeom>
          <a:noFill/>
          <a:ln w="19050">
            <a:solidFill>
              <a:srgbClr val="31859C"/>
            </a:solidFill>
            <a:miter lim="800000"/>
            <a:headEnd/>
            <a:tailEnd/>
          </a:ln>
          <a:extLst>
            <a:ext uri="{909E8E84-426E-40DD-AFC4-6F175D3DCCD1}">
              <a14:hiddenFill xmlns:a14="http://schemas.microsoft.com/office/drawing/2010/main">
                <a:solidFill>
                  <a:srgbClr val="FFFFFF"/>
                </a:solidFill>
              </a14:hiddenFill>
            </a:ext>
          </a:extLst>
        </xdr:spPr>
      </xdr:pic>
      <xdr:pic>
        <xdr:nvPicPr>
          <xdr:cNvPr id="7557" name="Picture 69"/>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3488" y="34177505"/>
            <a:ext cx="1200149" cy="1179422"/>
          </a:xfrm>
          <a:prstGeom prst="rect">
            <a:avLst/>
          </a:prstGeom>
          <a:noFill/>
          <a:ln w="19050">
            <a:solidFill>
              <a:srgbClr val="31859C"/>
            </a:solidFill>
            <a:miter lim="800000"/>
            <a:headEnd/>
            <a:tailEnd/>
          </a:ln>
          <a:extLst>
            <a:ext uri="{909E8E84-426E-40DD-AFC4-6F175D3DCCD1}">
              <a14:hiddenFill xmlns:a14="http://schemas.microsoft.com/office/drawing/2010/main">
                <a:solidFill>
                  <a:srgbClr val="FFFFFF"/>
                </a:solidFill>
              </a14:hiddenFill>
            </a:ext>
          </a:extLst>
        </xdr:spPr>
      </xdr:pic>
      <xdr:pic>
        <xdr:nvPicPr>
          <xdr:cNvPr id="7558" name="Picture 70"/>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1448" y="33929554"/>
            <a:ext cx="1505273" cy="1257300"/>
          </a:xfrm>
          <a:prstGeom prst="rect">
            <a:avLst/>
          </a:prstGeom>
          <a:noFill/>
          <a:ln w="19050">
            <a:solidFill>
              <a:srgbClr val="31859C"/>
            </a:solidFill>
            <a:miter lim="800000"/>
            <a:headEnd/>
            <a:tailEnd/>
          </a:ln>
          <a:extLst>
            <a:ext uri="{909E8E84-426E-40DD-AFC4-6F175D3DCCD1}">
              <a14:hiddenFill xmlns:a14="http://schemas.microsoft.com/office/drawing/2010/main">
                <a:solidFill>
                  <a:srgbClr val="FFFFFF"/>
                </a:solidFill>
              </a14:hiddenFill>
            </a:ext>
          </a:extLst>
        </xdr:spPr>
      </xdr:pic>
      <xdr:pic>
        <xdr:nvPicPr>
          <xdr:cNvPr id="7559" name="Picture 7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476749" y="33373314"/>
            <a:ext cx="1571626" cy="986187"/>
          </a:xfrm>
          <a:prstGeom prst="rect">
            <a:avLst/>
          </a:prstGeom>
          <a:noFill/>
          <a:ln w="19050">
            <a:solidFill>
              <a:srgbClr val="31859C"/>
            </a:solidFill>
            <a:miter lim="800000"/>
            <a:headEnd/>
            <a:tailEnd/>
          </a:ln>
          <a:extLst>
            <a:ext uri="{909E8E84-426E-40DD-AFC4-6F175D3DCCD1}">
              <a14:hiddenFill xmlns:a14="http://schemas.microsoft.com/office/drawing/2010/main">
                <a:solidFill>
                  <a:srgbClr val="FFFFFF"/>
                </a:solidFill>
              </a14:hiddenFill>
            </a:ext>
          </a:extLst>
        </xdr:spPr>
      </xdr:pic>
      <xdr:pic>
        <xdr:nvPicPr>
          <xdr:cNvPr id="7560" name="Picture 72"/>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18757" y="34833475"/>
            <a:ext cx="2077268" cy="859325"/>
          </a:xfrm>
          <a:prstGeom prst="rect">
            <a:avLst/>
          </a:prstGeom>
          <a:noFill/>
          <a:ln w="19050">
            <a:solidFill>
              <a:srgbClr val="31859C"/>
            </a:solidFill>
            <a:miter lim="800000"/>
            <a:headEnd/>
            <a:tailEnd/>
          </a:ln>
          <a:extLst>
            <a:ext uri="{909E8E84-426E-40DD-AFC4-6F175D3DCCD1}">
              <a14:hiddenFill xmlns:a14="http://schemas.microsoft.com/office/drawing/2010/main">
                <a:solidFill>
                  <a:srgbClr val="FFFFFF"/>
                </a:solidFill>
              </a14:hiddenFill>
            </a:ext>
          </a:extLst>
        </xdr:spPr>
      </xdr:pic>
      <xdr:grpSp>
        <xdr:nvGrpSpPr>
          <xdr:cNvPr id="7561" name="Group 3"/>
          <xdr:cNvGrpSpPr>
            <a:grpSpLocks/>
          </xdr:cNvGrpSpPr>
        </xdr:nvGrpSpPr>
        <xdr:grpSpPr bwMode="auto">
          <a:xfrm>
            <a:off x="6491234" y="33615949"/>
            <a:ext cx="3847256" cy="2074223"/>
            <a:chOff x="6491234" y="33626831"/>
            <a:chExt cx="3847256" cy="2168118"/>
          </a:xfrm>
        </xdr:grpSpPr>
        <xdr:pic>
          <xdr:nvPicPr>
            <xdr:cNvPr id="7562" name="Picture 73"/>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491234" y="34411041"/>
              <a:ext cx="1047910" cy="1383908"/>
            </a:xfrm>
            <a:prstGeom prst="rect">
              <a:avLst/>
            </a:prstGeom>
            <a:noFill/>
            <a:ln w="19050">
              <a:solidFill>
                <a:srgbClr val="31859C"/>
              </a:solidFill>
              <a:miter lim="800000"/>
              <a:headEnd/>
              <a:tailEnd/>
            </a:ln>
            <a:extLst>
              <a:ext uri="{909E8E84-426E-40DD-AFC4-6F175D3DCCD1}">
                <a14:hiddenFill xmlns:a14="http://schemas.microsoft.com/office/drawing/2010/main">
                  <a:solidFill>
                    <a:srgbClr val="FFFFFF"/>
                  </a:solidFill>
                </a14:hiddenFill>
              </a:ext>
            </a:extLst>
          </xdr:spPr>
        </xdr:pic>
        <xdr:pic>
          <xdr:nvPicPr>
            <xdr:cNvPr id="7563" name="Picture 74"/>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607843" y="34072531"/>
              <a:ext cx="1354242" cy="1721027"/>
            </a:xfrm>
            <a:prstGeom prst="rect">
              <a:avLst/>
            </a:prstGeom>
            <a:noFill/>
            <a:ln w="19050">
              <a:solidFill>
                <a:srgbClr val="31859C"/>
              </a:solidFill>
              <a:miter lim="800000"/>
              <a:headEnd/>
              <a:tailEnd/>
            </a:ln>
            <a:extLst>
              <a:ext uri="{909E8E84-426E-40DD-AFC4-6F175D3DCCD1}">
                <a14:hiddenFill xmlns:a14="http://schemas.microsoft.com/office/drawing/2010/main">
                  <a:solidFill>
                    <a:srgbClr val="FFFFFF"/>
                  </a:solidFill>
                </a14:hiddenFill>
              </a:ext>
            </a:extLst>
          </xdr:spPr>
        </xdr:pic>
        <xdr:pic>
          <xdr:nvPicPr>
            <xdr:cNvPr id="7564" name="Picture 75"/>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9029788" y="33626831"/>
              <a:ext cx="1308702" cy="2167357"/>
            </a:xfrm>
            <a:prstGeom prst="rect">
              <a:avLst/>
            </a:prstGeom>
            <a:noFill/>
            <a:ln w="19050">
              <a:solidFill>
                <a:srgbClr val="31859C"/>
              </a:solidFill>
              <a:miter lim="800000"/>
              <a:headEnd/>
              <a:tailEnd/>
            </a:ln>
            <a:extLst>
              <a:ext uri="{909E8E84-426E-40DD-AFC4-6F175D3DCCD1}">
                <a14:hiddenFill xmlns:a14="http://schemas.microsoft.com/office/drawing/2010/main">
                  <a:solidFill>
                    <a:srgbClr val="FFFFFF"/>
                  </a:solidFill>
                </a14:hiddenFill>
              </a:ext>
            </a:extLst>
          </xdr:spPr>
        </xdr:pic>
      </xdr:grpSp>
    </xdr:grpSp>
    <xdr:clientData/>
  </xdr:twoCellAnchor>
  <xdr:twoCellAnchor editAs="oneCell">
    <xdr:from>
      <xdr:col>38</xdr:col>
      <xdr:colOff>28575</xdr:colOff>
      <xdr:row>28</xdr:row>
      <xdr:rowOff>28575</xdr:rowOff>
    </xdr:from>
    <xdr:to>
      <xdr:col>57</xdr:col>
      <xdr:colOff>95250</xdr:colOff>
      <xdr:row>42</xdr:row>
      <xdr:rowOff>180975</xdr:rowOff>
    </xdr:to>
    <xdr:pic>
      <xdr:nvPicPr>
        <xdr:cNvPr id="7555" name="Picture 2"/>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05325" y="4781550"/>
          <a:ext cx="2238375" cy="1885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38100</xdr:colOff>
      <xdr:row>1</xdr:row>
      <xdr:rowOff>1000125</xdr:rowOff>
    </xdr:from>
    <xdr:to>
      <xdr:col>18</xdr:col>
      <xdr:colOff>142875</xdr:colOff>
      <xdr:row>3</xdr:row>
      <xdr:rowOff>342900</xdr:rowOff>
    </xdr:to>
    <xdr:sp macro="" textlink="">
      <xdr:nvSpPr>
        <xdr:cNvPr id="8225" name="Rectangle 23"/>
        <xdr:cNvSpPr>
          <a:spLocks noChangeArrowheads="1"/>
        </xdr:cNvSpPr>
      </xdr:nvSpPr>
      <xdr:spPr bwMode="auto">
        <a:xfrm>
          <a:off x="981075" y="1162050"/>
          <a:ext cx="7743825" cy="581025"/>
        </a:xfrm>
        <a:prstGeom prst="rect">
          <a:avLst/>
        </a:prstGeom>
        <a:noFill/>
        <a:ln w="9525" cap="rnd">
          <a:solidFill>
            <a:srgbClr val="000000"/>
          </a:solidFill>
          <a:prstDash val="sysDot"/>
          <a:miter lim="800000"/>
          <a:headEnd/>
          <a:tailEnd/>
        </a:ln>
        <a:effectLst>
          <a:outerShdw dist="45791" dir="19578596" algn="ctr" rotWithShape="0">
            <a:srgbClr val="0000CC">
              <a:alpha val="75000"/>
            </a:srgbClr>
          </a:outerShdw>
        </a:effectLst>
        <a:extLst>
          <a:ext uri="{909E8E84-426E-40DD-AFC4-6F175D3DCCD1}">
            <a14:hiddenFill xmlns:a14="http://schemas.microsoft.com/office/drawing/2010/main">
              <a:solidFill>
                <a:srgbClr val="FFFFFF"/>
              </a:solid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20</xdr:col>
      <xdr:colOff>47625</xdr:colOff>
      <xdr:row>10</xdr:row>
      <xdr:rowOff>47625</xdr:rowOff>
    </xdr:from>
    <xdr:to>
      <xdr:col>26</xdr:col>
      <xdr:colOff>152400</xdr:colOff>
      <xdr:row>10</xdr:row>
      <xdr:rowOff>1000125</xdr:rowOff>
    </xdr:to>
    <xdr:pic>
      <xdr:nvPicPr>
        <xdr:cNvPr id="9345"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57625" y="2219325"/>
          <a:ext cx="11906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27</xdr:col>
      <xdr:colOff>47625</xdr:colOff>
      <xdr:row>10</xdr:row>
      <xdr:rowOff>47625</xdr:rowOff>
    </xdr:from>
    <xdr:to>
      <xdr:col>33</xdr:col>
      <xdr:colOff>152400</xdr:colOff>
      <xdr:row>10</xdr:row>
      <xdr:rowOff>1000125</xdr:rowOff>
    </xdr:to>
    <xdr:pic>
      <xdr:nvPicPr>
        <xdr:cNvPr id="9346"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124450" y="2219325"/>
          <a:ext cx="11906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34</xdr:col>
      <xdr:colOff>47625</xdr:colOff>
      <xdr:row>10</xdr:row>
      <xdr:rowOff>47625</xdr:rowOff>
    </xdr:from>
    <xdr:to>
      <xdr:col>40</xdr:col>
      <xdr:colOff>133350</xdr:colOff>
      <xdr:row>10</xdr:row>
      <xdr:rowOff>1000125</xdr:rowOff>
    </xdr:to>
    <xdr:pic>
      <xdr:nvPicPr>
        <xdr:cNvPr id="9347"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91275" y="2219325"/>
          <a:ext cx="117157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47625</xdr:colOff>
      <xdr:row>10</xdr:row>
      <xdr:rowOff>47625</xdr:rowOff>
    </xdr:from>
    <xdr:to>
      <xdr:col>19</xdr:col>
      <xdr:colOff>142875</xdr:colOff>
      <xdr:row>10</xdr:row>
      <xdr:rowOff>1000125</xdr:rowOff>
    </xdr:to>
    <xdr:pic>
      <xdr:nvPicPr>
        <xdr:cNvPr id="9348"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590800" y="2219325"/>
          <a:ext cx="118110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40</xdr:col>
      <xdr:colOff>0</xdr:colOff>
      <xdr:row>75</xdr:row>
      <xdr:rowOff>0</xdr:rowOff>
    </xdr:from>
    <xdr:to>
      <xdr:col>40</xdr:col>
      <xdr:colOff>0</xdr:colOff>
      <xdr:row>75</xdr:row>
      <xdr:rowOff>0</xdr:rowOff>
    </xdr:to>
    <xdr:sp macro="" textlink="">
      <xdr:nvSpPr>
        <xdr:cNvPr id="2" name="AutoShape 1">
          <a:extLst>
            <a:ext uri="{FF2B5EF4-FFF2-40B4-BE49-F238E27FC236}"/>
          </a:extLst>
        </xdr:cNvPr>
        <xdr:cNvSpPr>
          <a:spLocks noChangeArrowheads="1"/>
        </xdr:cNvSpPr>
      </xdr:nvSpPr>
      <xdr:spPr bwMode="auto">
        <a:xfrm>
          <a:off x="7448550" y="18459450"/>
          <a:ext cx="0" cy="0"/>
        </a:xfrm>
        <a:prstGeom prst="wedgeRectCallout">
          <a:avLst>
            <a:gd name="adj1" fmla="val 4167"/>
            <a:gd name="adj2" fmla="val 72949"/>
          </a:avLst>
        </a:prstGeom>
        <a:solidFill>
          <a:srgbClr val="FFFF00"/>
        </a:solidFill>
        <a:ln w="9525">
          <a:solidFill>
            <a:srgbClr val="000000"/>
          </a:solidFill>
          <a:miter lim="800000"/>
          <a:headEnd/>
          <a:tailEnd/>
        </a:ln>
      </xdr:spPr>
      <xdr:txBody>
        <a:bodyPr vertOverflow="clip" wrap="square" lIns="27432" tIns="22860" rIns="27432" bIns="22860" anchor="ctr" upright="1"/>
        <a:lstStyle/>
        <a:p>
          <a:pPr algn="ctr" rtl="1">
            <a:defRPr sz="1000"/>
          </a:pPr>
          <a:r>
            <a:rPr lang="en-US" sz="900" b="1" i="0" strike="noStrike">
              <a:solidFill>
                <a:srgbClr val="FF0000"/>
              </a:solidFill>
              <a:latin typeface="Arial"/>
              <a:cs typeface="Arial"/>
            </a:rPr>
            <a:t>Bila tidak ada, maka tanda </a:t>
          </a:r>
          <a:r>
            <a:rPr lang="en-US" sz="900" b="1" i="0" strike="noStrike">
              <a:solidFill>
                <a:srgbClr val="0000FF"/>
              </a:solidFill>
              <a:latin typeface="Arial"/>
              <a:cs typeface="Arial"/>
            </a:rPr>
            <a:t>"-"</a:t>
          </a:r>
          <a:r>
            <a:rPr lang="en-US" sz="900" b="1" i="0" strike="noStrike">
              <a:solidFill>
                <a:srgbClr val="FF0000"/>
              </a:solidFill>
              <a:latin typeface="Arial"/>
              <a:cs typeface="Arial"/>
            </a:rPr>
            <a:t> harap di DEL !!!</a:t>
          </a:r>
        </a:p>
      </xdr:txBody>
    </xdr:sp>
    <xdr:clientData/>
  </xdr:twoCellAnchor>
  <xdr:twoCellAnchor>
    <xdr:from>
      <xdr:col>40</xdr:col>
      <xdr:colOff>0</xdr:colOff>
      <xdr:row>25</xdr:row>
      <xdr:rowOff>0</xdr:rowOff>
    </xdr:from>
    <xdr:to>
      <xdr:col>40</xdr:col>
      <xdr:colOff>0</xdr:colOff>
      <xdr:row>25</xdr:row>
      <xdr:rowOff>0</xdr:rowOff>
    </xdr:to>
    <xdr:sp macro="" textlink="">
      <xdr:nvSpPr>
        <xdr:cNvPr id="3" name="AutoShape 1">
          <a:extLst>
            <a:ext uri="{FF2B5EF4-FFF2-40B4-BE49-F238E27FC236}"/>
          </a:extLst>
        </xdr:cNvPr>
        <xdr:cNvSpPr>
          <a:spLocks noChangeArrowheads="1"/>
        </xdr:cNvSpPr>
      </xdr:nvSpPr>
      <xdr:spPr bwMode="auto">
        <a:xfrm>
          <a:off x="7448550" y="6877050"/>
          <a:ext cx="0" cy="0"/>
        </a:xfrm>
        <a:prstGeom prst="wedgeRectCallout">
          <a:avLst>
            <a:gd name="adj1" fmla="val 4167"/>
            <a:gd name="adj2" fmla="val 72949"/>
          </a:avLst>
        </a:prstGeom>
        <a:solidFill>
          <a:srgbClr val="FFFF00"/>
        </a:solidFill>
        <a:ln w="9525">
          <a:solidFill>
            <a:srgbClr val="000000"/>
          </a:solidFill>
          <a:miter lim="800000"/>
          <a:headEnd/>
          <a:tailEnd/>
        </a:ln>
      </xdr:spPr>
      <xdr:txBody>
        <a:bodyPr vertOverflow="clip" wrap="square" lIns="27432" tIns="22860" rIns="27432" bIns="22860" anchor="ctr" upright="1"/>
        <a:lstStyle/>
        <a:p>
          <a:pPr algn="ctr" rtl="1">
            <a:defRPr sz="1000"/>
          </a:pPr>
          <a:r>
            <a:rPr lang="en-US" sz="900" b="1" i="0" strike="noStrike">
              <a:solidFill>
                <a:srgbClr val="FF0000"/>
              </a:solidFill>
              <a:latin typeface="Arial"/>
              <a:cs typeface="Arial"/>
            </a:rPr>
            <a:t>Bila tidak ada, maka tanda </a:t>
          </a:r>
          <a:r>
            <a:rPr lang="en-US" sz="900" b="1" i="0" strike="noStrike">
              <a:solidFill>
                <a:srgbClr val="0000FF"/>
              </a:solidFill>
              <a:latin typeface="Arial"/>
              <a:cs typeface="Arial"/>
            </a:rPr>
            <a:t>"-"</a:t>
          </a:r>
          <a:r>
            <a:rPr lang="en-US" sz="900" b="1" i="0" strike="noStrike">
              <a:solidFill>
                <a:srgbClr val="FF0000"/>
              </a:solidFill>
              <a:latin typeface="Arial"/>
              <a:cs typeface="Arial"/>
            </a:rPr>
            <a:t> harap di DEL !!!</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21</xdr:col>
      <xdr:colOff>28575</xdr:colOff>
      <xdr:row>8</xdr:row>
      <xdr:rowOff>28575</xdr:rowOff>
    </xdr:from>
    <xdr:to>
      <xdr:col>38</xdr:col>
      <xdr:colOff>152400</xdr:colOff>
      <xdr:row>22</xdr:row>
      <xdr:rowOff>171450</xdr:rowOff>
    </xdr:to>
    <xdr:pic>
      <xdr:nvPicPr>
        <xdr:cNvPr id="11457" name="Picture 2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67125" y="1047750"/>
          <a:ext cx="3200400" cy="2409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38100</xdr:colOff>
      <xdr:row>8</xdr:row>
      <xdr:rowOff>38100</xdr:rowOff>
    </xdr:from>
    <xdr:to>
      <xdr:col>19</xdr:col>
      <xdr:colOff>152400</xdr:colOff>
      <xdr:row>22</xdr:row>
      <xdr:rowOff>180975</xdr:rowOff>
    </xdr:to>
    <xdr:pic>
      <xdr:nvPicPr>
        <xdr:cNvPr id="11458" name="Picture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4800" y="1057275"/>
          <a:ext cx="3190875" cy="2409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95250</xdr:colOff>
      <xdr:row>13</xdr:row>
      <xdr:rowOff>66675</xdr:rowOff>
    </xdr:from>
    <xdr:to>
      <xdr:col>11</xdr:col>
      <xdr:colOff>0</xdr:colOff>
      <xdr:row>14</xdr:row>
      <xdr:rowOff>133350</xdr:rowOff>
    </xdr:to>
    <xdr:pic>
      <xdr:nvPicPr>
        <xdr:cNvPr id="11459" name="Picture 3" descr="022"/>
        <xdr:cNvPicPr>
          <a:picLocks noChangeAspect="1" noChangeArrowheads="1"/>
        </xdr:cNvPicPr>
      </xdr:nvPicPr>
      <xdr:blipFill>
        <a:blip xmlns:r="http://schemas.openxmlformats.org/officeDocument/2006/relationships" r:embed="rId3">
          <a:clrChange>
            <a:clrFrom>
              <a:srgbClr val="FFFEFF"/>
            </a:clrFrom>
            <a:clrTo>
              <a:srgbClr val="FFFEFF">
                <a:alpha val="0"/>
              </a:srgbClr>
            </a:clrTo>
          </a:clrChange>
          <a:extLst>
            <a:ext uri="{28A0092B-C50C-407E-A947-70E740481C1C}">
              <a14:useLocalDpi xmlns:a14="http://schemas.microsoft.com/office/drawing/2010/main" val="0"/>
            </a:ext>
          </a:extLst>
        </a:blip>
        <a:srcRect/>
        <a:stretch>
          <a:fillRect/>
        </a:stretch>
      </xdr:blipFill>
      <xdr:spPr bwMode="auto">
        <a:xfrm rot="9990147">
          <a:off x="1628775" y="1895475"/>
          <a:ext cx="2667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44</xdr:col>
      <xdr:colOff>28575</xdr:colOff>
      <xdr:row>16</xdr:row>
      <xdr:rowOff>0</xdr:rowOff>
    </xdr:from>
    <xdr:to>
      <xdr:col>45</xdr:col>
      <xdr:colOff>114300</xdr:colOff>
      <xdr:row>16</xdr:row>
      <xdr:rowOff>133350</xdr:rowOff>
    </xdr:to>
    <xdr:pic>
      <xdr:nvPicPr>
        <xdr:cNvPr id="11460" name="Picture 15" descr="022"/>
        <xdr:cNvPicPr>
          <a:picLocks noChangeAspect="1" noChangeArrowheads="1"/>
        </xdr:cNvPicPr>
      </xdr:nvPicPr>
      <xdr:blipFill>
        <a:blip xmlns:r="http://schemas.openxmlformats.org/officeDocument/2006/relationships" r:embed="rId4">
          <a:clrChange>
            <a:clrFrom>
              <a:srgbClr val="FFFEFF"/>
            </a:clrFrom>
            <a:clrTo>
              <a:srgbClr val="FFFEFF">
                <a:alpha val="0"/>
              </a:srgbClr>
            </a:clrTo>
          </a:clrChange>
          <a:extLst>
            <a:ext uri="{28A0092B-C50C-407E-A947-70E740481C1C}">
              <a14:useLocalDpi xmlns:a14="http://schemas.microsoft.com/office/drawing/2010/main" val="0"/>
            </a:ext>
          </a:extLst>
        </a:blip>
        <a:srcRect/>
        <a:stretch>
          <a:fillRect/>
        </a:stretch>
      </xdr:blipFill>
      <xdr:spPr bwMode="auto">
        <a:xfrm>
          <a:off x="7734300" y="2314575"/>
          <a:ext cx="2667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32</xdr:col>
      <xdr:colOff>19050</xdr:colOff>
      <xdr:row>13</xdr:row>
      <xdr:rowOff>9525</xdr:rowOff>
    </xdr:from>
    <xdr:to>
      <xdr:col>33</xdr:col>
      <xdr:colOff>142875</xdr:colOff>
      <xdr:row>14</xdr:row>
      <xdr:rowOff>57150</xdr:rowOff>
    </xdr:to>
    <xdr:pic>
      <xdr:nvPicPr>
        <xdr:cNvPr id="11461" name="Picture 2" descr="022"/>
        <xdr:cNvPicPr>
          <a:picLocks noChangeAspect="1" noChangeArrowheads="1"/>
        </xdr:cNvPicPr>
      </xdr:nvPicPr>
      <xdr:blipFill>
        <a:blip xmlns:r="http://schemas.openxmlformats.org/officeDocument/2006/relationships" r:embed="rId5" cstate="print">
          <a:clrChange>
            <a:clrFrom>
              <a:srgbClr val="FFFEFF"/>
            </a:clrFrom>
            <a:clrTo>
              <a:srgbClr val="FFFEFF">
                <a:alpha val="0"/>
              </a:srgbClr>
            </a:clrTo>
          </a:clrChange>
          <a:extLst>
            <a:ext uri="{28A0092B-C50C-407E-A947-70E740481C1C}">
              <a14:useLocalDpi xmlns:a14="http://schemas.microsoft.com/office/drawing/2010/main" val="0"/>
            </a:ext>
          </a:extLst>
        </a:blip>
        <a:srcRect/>
        <a:stretch>
          <a:fillRect/>
        </a:stretch>
      </xdr:blipFill>
      <xdr:spPr bwMode="auto">
        <a:xfrm rot="1317793">
          <a:off x="5648325" y="1838325"/>
          <a:ext cx="3048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38100</xdr:colOff>
      <xdr:row>27</xdr:row>
      <xdr:rowOff>38100</xdr:rowOff>
    </xdr:from>
    <xdr:to>
      <xdr:col>29</xdr:col>
      <xdr:colOff>152400</xdr:colOff>
      <xdr:row>41</xdr:row>
      <xdr:rowOff>171450</xdr:rowOff>
    </xdr:to>
    <xdr:pic>
      <xdr:nvPicPr>
        <xdr:cNvPr id="11462" name="Picture 4"/>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114550" y="3962400"/>
          <a:ext cx="3124200" cy="2400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28575</xdr:colOff>
      <xdr:row>37</xdr:row>
      <xdr:rowOff>28575</xdr:rowOff>
    </xdr:from>
    <xdr:to>
      <xdr:col>38</xdr:col>
      <xdr:colOff>152400</xdr:colOff>
      <xdr:row>64</xdr:row>
      <xdr:rowOff>133350</xdr:rowOff>
    </xdr:to>
    <xdr:pic>
      <xdr:nvPicPr>
        <xdr:cNvPr id="15489" name="Picture 1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7745" t="7745" r="2911" b="5582"/>
        <a:stretch>
          <a:fillRect/>
        </a:stretch>
      </xdr:blipFill>
      <xdr:spPr bwMode="auto">
        <a:xfrm>
          <a:off x="1352550" y="5962650"/>
          <a:ext cx="6429375" cy="447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19050</xdr:colOff>
      <xdr:row>11</xdr:row>
      <xdr:rowOff>152400</xdr:rowOff>
    </xdr:from>
    <xdr:to>
      <xdr:col>25</xdr:col>
      <xdr:colOff>28575</xdr:colOff>
      <xdr:row>31</xdr:row>
      <xdr:rowOff>57150</xdr:rowOff>
    </xdr:to>
    <xdr:grpSp>
      <xdr:nvGrpSpPr>
        <xdr:cNvPr id="15490" name="Group 13"/>
        <xdr:cNvGrpSpPr>
          <a:grpSpLocks/>
        </xdr:cNvGrpSpPr>
      </xdr:nvGrpSpPr>
      <xdr:grpSpPr bwMode="auto">
        <a:xfrm>
          <a:off x="2971800" y="2143125"/>
          <a:ext cx="2333625" cy="3143250"/>
          <a:chOff x="3013665" y="2005633"/>
          <a:chExt cx="2340922" cy="3224238"/>
        </a:xfrm>
      </xdr:grpSpPr>
      <xdr:sp macro="" textlink="">
        <xdr:nvSpPr>
          <xdr:cNvPr id="16" name="WordArt 15">
            <a:extLst>
              <a:ext uri="{FF2B5EF4-FFF2-40B4-BE49-F238E27FC236}"/>
            </a:extLst>
          </xdr:cNvPr>
          <xdr:cNvSpPr>
            <a:spLocks noChangeArrowheads="1" noChangeShapeType="1" noTextEdit="1"/>
          </xdr:cNvSpPr>
        </xdr:nvSpPr>
        <xdr:spPr bwMode="auto">
          <a:xfrm rot="18184725">
            <a:off x="3292040" y="3399859"/>
            <a:ext cx="1182221" cy="171986"/>
          </a:xfrm>
          <a:prstGeom prst="rect">
            <a:avLst/>
          </a:prstGeom>
        </xdr:spPr>
        <xdr:txBody>
          <a:bodyPr wrap="none" fromWordArt="1">
            <a:prstTxWarp prst="textPlain">
              <a:avLst>
                <a:gd name="adj" fmla="val 49408"/>
              </a:avLst>
            </a:prstTxWarp>
          </a:bodyPr>
          <a:lstStyle/>
          <a:p>
            <a:pPr algn="ctr" rtl="0"/>
            <a:r>
              <a:rPr lang="id-ID" sz="3600" kern="10" spc="0">
                <a:ln w="9525">
                  <a:noFill/>
                  <a:round/>
                  <a:headEnd/>
                  <a:tailEnd/>
                </a:ln>
                <a:solidFill>
                  <a:srgbClr val="000000"/>
                </a:solidFill>
                <a:effectLst/>
                <a:latin typeface="Times New Roman"/>
                <a:cs typeface="Times New Roman"/>
              </a:rPr>
              <a:t>Jl.</a:t>
            </a:r>
            <a:r>
              <a:rPr lang="id-ID" sz="3600" kern="10" spc="0" baseline="0">
                <a:ln w="9525">
                  <a:noFill/>
                  <a:round/>
                  <a:headEnd/>
                  <a:tailEnd/>
                </a:ln>
                <a:solidFill>
                  <a:srgbClr val="000000"/>
                </a:solidFill>
                <a:effectLst/>
                <a:latin typeface="Times New Roman"/>
                <a:cs typeface="Times New Roman"/>
              </a:rPr>
              <a:t> Prabu Kian Santang </a:t>
            </a:r>
            <a:endParaRPr lang="id-ID" sz="3600" kern="10" spc="0">
              <a:ln w="9525">
                <a:noFill/>
                <a:round/>
                <a:headEnd/>
                <a:tailEnd/>
              </a:ln>
              <a:solidFill>
                <a:srgbClr val="000000"/>
              </a:solidFill>
              <a:effectLst/>
              <a:latin typeface="Times New Roman"/>
              <a:cs typeface="Times New Roman"/>
            </a:endParaRPr>
          </a:p>
        </xdr:txBody>
      </xdr:sp>
      <xdr:sp macro="" textlink="">
        <xdr:nvSpPr>
          <xdr:cNvPr id="7" name="Freeform: Shape 6">
            <a:extLst>
              <a:ext uri="{FF2B5EF4-FFF2-40B4-BE49-F238E27FC236}"/>
            </a:extLst>
          </xdr:cNvPr>
          <xdr:cNvSpPr/>
        </xdr:nvSpPr>
        <xdr:spPr>
          <a:xfrm>
            <a:off x="3873596" y="3734997"/>
            <a:ext cx="1480991" cy="1494874"/>
          </a:xfrm>
          <a:custGeom>
            <a:avLst/>
            <a:gdLst>
              <a:gd name="connsiteX0" fmla="*/ 968829 w 1469572"/>
              <a:gd name="connsiteY0" fmla="*/ 1469571 h 1469571"/>
              <a:gd name="connsiteX1" fmla="*/ 1469572 w 1469572"/>
              <a:gd name="connsiteY1" fmla="*/ 783771 h 1469571"/>
              <a:gd name="connsiteX2" fmla="*/ 1317172 w 1469572"/>
              <a:gd name="connsiteY2" fmla="*/ 653143 h 1469571"/>
              <a:gd name="connsiteX3" fmla="*/ 321129 w 1469572"/>
              <a:gd name="connsiteY3" fmla="*/ 0 h 1469571"/>
              <a:gd name="connsiteX4" fmla="*/ 0 w 1469572"/>
              <a:gd name="connsiteY4" fmla="*/ 566057 h 1469571"/>
              <a:gd name="connsiteX5" fmla="*/ 968829 w 1469572"/>
              <a:gd name="connsiteY5" fmla="*/ 1469571 h 1469571"/>
              <a:gd name="connsiteX0" fmla="*/ 968829 w 1469572"/>
              <a:gd name="connsiteY0" fmla="*/ 1477736 h 1477736"/>
              <a:gd name="connsiteX1" fmla="*/ 1469572 w 1469572"/>
              <a:gd name="connsiteY1" fmla="*/ 791936 h 1477736"/>
              <a:gd name="connsiteX2" fmla="*/ 1317172 w 1469572"/>
              <a:gd name="connsiteY2" fmla="*/ 661308 h 1477736"/>
              <a:gd name="connsiteX3" fmla="*/ 300947 w 1469572"/>
              <a:gd name="connsiteY3" fmla="*/ 0 h 1477736"/>
              <a:gd name="connsiteX4" fmla="*/ 0 w 1469572"/>
              <a:gd name="connsiteY4" fmla="*/ 574222 h 1477736"/>
              <a:gd name="connsiteX5" fmla="*/ 968829 w 1469572"/>
              <a:gd name="connsiteY5" fmla="*/ 1477736 h 1477736"/>
              <a:gd name="connsiteX0" fmla="*/ 980938 w 1481681"/>
              <a:gd name="connsiteY0" fmla="*/ 1477736 h 1477736"/>
              <a:gd name="connsiteX1" fmla="*/ 1481681 w 1481681"/>
              <a:gd name="connsiteY1" fmla="*/ 791936 h 1477736"/>
              <a:gd name="connsiteX2" fmla="*/ 1329281 w 1481681"/>
              <a:gd name="connsiteY2" fmla="*/ 661308 h 1477736"/>
              <a:gd name="connsiteX3" fmla="*/ 313056 w 1481681"/>
              <a:gd name="connsiteY3" fmla="*/ 0 h 1477736"/>
              <a:gd name="connsiteX4" fmla="*/ 0 w 1481681"/>
              <a:gd name="connsiteY4" fmla="*/ 574222 h 1477736"/>
              <a:gd name="connsiteX5" fmla="*/ 980938 w 1481681"/>
              <a:gd name="connsiteY5" fmla="*/ 1477736 h 1477736"/>
              <a:gd name="connsiteX0" fmla="*/ 980938 w 1481681"/>
              <a:gd name="connsiteY0" fmla="*/ 1477736 h 1477736"/>
              <a:gd name="connsiteX1" fmla="*/ 1481681 w 1481681"/>
              <a:gd name="connsiteY1" fmla="*/ 791936 h 1477736"/>
              <a:gd name="connsiteX2" fmla="*/ 1329281 w 1481681"/>
              <a:gd name="connsiteY2" fmla="*/ 661308 h 1477736"/>
              <a:gd name="connsiteX3" fmla="*/ 325164 w 1481681"/>
              <a:gd name="connsiteY3" fmla="*/ 0 h 1477736"/>
              <a:gd name="connsiteX4" fmla="*/ 0 w 1481681"/>
              <a:gd name="connsiteY4" fmla="*/ 574222 h 1477736"/>
              <a:gd name="connsiteX5" fmla="*/ 980938 w 1481681"/>
              <a:gd name="connsiteY5" fmla="*/ 1477736 h 14777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481681" h="1477736">
                <a:moveTo>
                  <a:pt x="980938" y="1477736"/>
                </a:moveTo>
                <a:lnTo>
                  <a:pt x="1481681" y="791936"/>
                </a:lnTo>
                <a:lnTo>
                  <a:pt x="1329281" y="661308"/>
                </a:lnTo>
                <a:lnTo>
                  <a:pt x="325164" y="0"/>
                </a:lnTo>
                <a:lnTo>
                  <a:pt x="0" y="574222"/>
                </a:lnTo>
                <a:lnTo>
                  <a:pt x="980938" y="1477736"/>
                </a:lnTo>
                <a:close/>
              </a:path>
            </a:pathLst>
          </a:custGeom>
          <a:solidFill>
            <a:schemeClr val="accent6"/>
          </a:solidFill>
          <a:ln>
            <a:solidFill>
              <a:srgbClr val="000066"/>
            </a:solidFill>
          </a:ln>
          <a:scene3d>
            <a:camera prst="orthographicFront"/>
            <a:lightRig rig="threePt" dir="t"/>
          </a:scene3d>
          <a:sp3d extrusionH="76200" contourW="12700">
            <a:bevelT w="463550" h="279400" prst="angle"/>
            <a:extrusionClr>
              <a:schemeClr val="bg1"/>
            </a:extrusionClr>
            <a:contourClr>
              <a:schemeClr val="tx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11" name="Freeform: Shape 10">
            <a:extLst>
              <a:ext uri="{FF2B5EF4-FFF2-40B4-BE49-F238E27FC236}"/>
            </a:extLst>
          </xdr:cNvPr>
          <xdr:cNvSpPr/>
        </xdr:nvSpPr>
        <xdr:spPr>
          <a:xfrm>
            <a:off x="3462740" y="2396450"/>
            <a:ext cx="1500101" cy="2501227"/>
          </a:xfrm>
          <a:custGeom>
            <a:avLst/>
            <a:gdLst>
              <a:gd name="connsiteX0" fmla="*/ 0 w 1094362"/>
              <a:gd name="connsiteY0" fmla="*/ 1791511 h 1791511"/>
              <a:gd name="connsiteX1" fmla="*/ 389106 w 1094362"/>
              <a:gd name="connsiteY1" fmla="*/ 1215958 h 1791511"/>
              <a:gd name="connsiteX2" fmla="*/ 705255 w 1094362"/>
              <a:gd name="connsiteY2" fmla="*/ 648511 h 1791511"/>
              <a:gd name="connsiteX3" fmla="*/ 847117 w 1094362"/>
              <a:gd name="connsiteY3" fmla="*/ 409372 h 1791511"/>
              <a:gd name="connsiteX4" fmla="*/ 1094362 w 1094362"/>
              <a:gd name="connsiteY4" fmla="*/ 0 h 1791511"/>
              <a:gd name="connsiteX5" fmla="*/ 1094362 w 1094362"/>
              <a:gd name="connsiteY5" fmla="*/ 0 h 1791511"/>
              <a:gd name="connsiteX0" fmla="*/ 0 w 1475362"/>
              <a:gd name="connsiteY0" fmla="*/ 2346798 h 2346798"/>
              <a:gd name="connsiteX1" fmla="*/ 389106 w 1475362"/>
              <a:gd name="connsiteY1" fmla="*/ 1771245 h 2346798"/>
              <a:gd name="connsiteX2" fmla="*/ 705255 w 1475362"/>
              <a:gd name="connsiteY2" fmla="*/ 1203798 h 2346798"/>
              <a:gd name="connsiteX3" fmla="*/ 847117 w 1475362"/>
              <a:gd name="connsiteY3" fmla="*/ 964659 h 2346798"/>
              <a:gd name="connsiteX4" fmla="*/ 1094362 w 1475362"/>
              <a:gd name="connsiteY4" fmla="*/ 555287 h 2346798"/>
              <a:gd name="connsiteX5" fmla="*/ 1475362 w 1475362"/>
              <a:gd name="connsiteY5" fmla="*/ 0 h 2346798"/>
              <a:gd name="connsiteX0" fmla="*/ 0 w 1503734"/>
              <a:gd name="connsiteY0" fmla="*/ 2448128 h 2448128"/>
              <a:gd name="connsiteX1" fmla="*/ 389106 w 1503734"/>
              <a:gd name="connsiteY1" fmla="*/ 1872575 h 2448128"/>
              <a:gd name="connsiteX2" fmla="*/ 705255 w 1503734"/>
              <a:gd name="connsiteY2" fmla="*/ 1305128 h 2448128"/>
              <a:gd name="connsiteX3" fmla="*/ 847117 w 1503734"/>
              <a:gd name="connsiteY3" fmla="*/ 1065989 h 2448128"/>
              <a:gd name="connsiteX4" fmla="*/ 1094362 w 1503734"/>
              <a:gd name="connsiteY4" fmla="*/ 656617 h 2448128"/>
              <a:gd name="connsiteX5" fmla="*/ 1503734 w 1503734"/>
              <a:gd name="connsiteY5" fmla="*/ 0 h 244812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503734" h="2448128">
                <a:moveTo>
                  <a:pt x="0" y="2448128"/>
                </a:moveTo>
                <a:lnTo>
                  <a:pt x="389106" y="1872575"/>
                </a:lnTo>
                <a:lnTo>
                  <a:pt x="705255" y="1305128"/>
                </a:lnTo>
                <a:lnTo>
                  <a:pt x="847117" y="1065989"/>
                </a:lnTo>
                <a:cubicBezTo>
                  <a:pt x="929532" y="929532"/>
                  <a:pt x="984926" y="834282"/>
                  <a:pt x="1094362" y="656617"/>
                </a:cubicBezTo>
                <a:cubicBezTo>
                  <a:pt x="1203798" y="478952"/>
                  <a:pt x="1376734" y="185096"/>
                  <a:pt x="1503734" y="0"/>
                </a:cubicBezTo>
              </a:path>
            </a:pathLst>
          </a:cu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13" name="Freeform: Shape 12">
            <a:extLst>
              <a:ext uri="{FF2B5EF4-FFF2-40B4-BE49-F238E27FC236}"/>
            </a:extLst>
          </xdr:cNvPr>
          <xdr:cNvSpPr/>
        </xdr:nvSpPr>
        <xdr:spPr>
          <a:xfrm>
            <a:off x="3376747" y="2357368"/>
            <a:ext cx="1490546" cy="2462145"/>
          </a:xfrm>
          <a:custGeom>
            <a:avLst/>
            <a:gdLst>
              <a:gd name="connsiteX0" fmla="*/ 0 w 1498023"/>
              <a:gd name="connsiteY0" fmla="*/ 2376921 h 2376921"/>
              <a:gd name="connsiteX1" fmla="*/ 1498023 w 1498023"/>
              <a:gd name="connsiteY1" fmla="*/ 0 h 2376921"/>
            </a:gdLst>
            <a:ahLst/>
            <a:cxnLst>
              <a:cxn ang="0">
                <a:pos x="connsiteX0" y="connsiteY0"/>
              </a:cxn>
              <a:cxn ang="0">
                <a:pos x="connsiteX1" y="connsiteY1"/>
              </a:cxn>
            </a:cxnLst>
            <a:rect l="l" t="t" r="r" b="b"/>
            <a:pathLst>
              <a:path w="1498023" h="2376921">
                <a:moveTo>
                  <a:pt x="0" y="2376921"/>
                </a:moveTo>
                <a:lnTo>
                  <a:pt x="1498023" y="0"/>
                </a:lnTo>
              </a:path>
            </a:pathLst>
          </a:custGeom>
        </xdr:spPr>
        <xdr:style>
          <a:lnRef idx="2">
            <a:schemeClr val="dk1"/>
          </a:lnRef>
          <a:fillRef idx="0">
            <a:schemeClr val="dk1"/>
          </a:fillRef>
          <a:effectRef idx="1">
            <a:schemeClr val="dk1"/>
          </a:effectRef>
          <a:fontRef idx="minor">
            <a:schemeClr val="tx1"/>
          </a:fontRef>
        </xdr:style>
        <xdr:txBody>
          <a:bodyPr vertOverflow="clip" horzOverflow="clip" rtlCol="0" anchor="t"/>
          <a:lstStyle/>
          <a:p>
            <a:endParaRPr lang="en-US"/>
          </a:p>
        </xdr:txBody>
      </xdr:sp>
      <xdr:sp macro="" textlink="">
        <xdr:nvSpPr>
          <xdr:cNvPr id="37" name="Freeform: Shape 36">
            <a:extLst>
              <a:ext uri="{FF2B5EF4-FFF2-40B4-BE49-F238E27FC236}"/>
            </a:extLst>
          </xdr:cNvPr>
          <xdr:cNvSpPr/>
        </xdr:nvSpPr>
        <xdr:spPr>
          <a:xfrm>
            <a:off x="3013665" y="2005633"/>
            <a:ext cx="1500101" cy="2452375"/>
          </a:xfrm>
          <a:custGeom>
            <a:avLst/>
            <a:gdLst>
              <a:gd name="connsiteX0" fmla="*/ 0 w 1498023"/>
              <a:gd name="connsiteY0" fmla="*/ 2376921 h 2376921"/>
              <a:gd name="connsiteX1" fmla="*/ 1498023 w 1498023"/>
              <a:gd name="connsiteY1" fmla="*/ 0 h 2376921"/>
            </a:gdLst>
            <a:ahLst/>
            <a:cxnLst>
              <a:cxn ang="0">
                <a:pos x="connsiteX0" y="connsiteY0"/>
              </a:cxn>
              <a:cxn ang="0">
                <a:pos x="connsiteX1" y="connsiteY1"/>
              </a:cxn>
            </a:cxnLst>
            <a:rect l="l" t="t" r="r" b="b"/>
            <a:pathLst>
              <a:path w="1498023" h="2376921">
                <a:moveTo>
                  <a:pt x="0" y="2376921"/>
                </a:moveTo>
                <a:lnTo>
                  <a:pt x="1498023" y="0"/>
                </a:lnTo>
              </a:path>
            </a:pathLst>
          </a:custGeom>
        </xdr:spPr>
        <xdr:style>
          <a:lnRef idx="2">
            <a:schemeClr val="dk1"/>
          </a:lnRef>
          <a:fillRef idx="0">
            <a:schemeClr val="dk1"/>
          </a:fillRef>
          <a:effectRef idx="1">
            <a:schemeClr val="dk1"/>
          </a:effectRef>
          <a:fontRef idx="minor">
            <a:schemeClr val="tx1"/>
          </a:fontRef>
        </xdr:style>
        <xdr:txBody>
          <a:bodyPr vertOverflow="clip" horzOverflow="clip" rtlCol="0" anchor="t"/>
          <a:lstStyle/>
          <a:p>
            <a:endParaRPr lang="en-US"/>
          </a:p>
        </xdr:txBody>
      </xdr:sp>
    </xdr:grpSp>
    <xdr:clientData/>
  </xdr:twoCellAnchor>
  <xdr:twoCellAnchor editAs="oneCell">
    <xdr:from>
      <xdr:col>42</xdr:col>
      <xdr:colOff>152400</xdr:colOff>
      <xdr:row>13</xdr:row>
      <xdr:rowOff>104775</xdr:rowOff>
    </xdr:from>
    <xdr:to>
      <xdr:col>66</xdr:col>
      <xdr:colOff>19050</xdr:colOff>
      <xdr:row>50</xdr:row>
      <xdr:rowOff>95250</xdr:rowOff>
    </xdr:to>
    <xdr:pic>
      <xdr:nvPicPr>
        <xdr:cNvPr id="15491"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39150" y="2419350"/>
          <a:ext cx="4210050" cy="571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18</xdr:col>
      <xdr:colOff>109047</xdr:colOff>
      <xdr:row>44</xdr:row>
      <xdr:rowOff>31148</xdr:rowOff>
    </xdr:from>
    <xdr:to>
      <xdr:col>21</xdr:col>
      <xdr:colOff>113091</xdr:colOff>
      <xdr:row>45</xdr:row>
      <xdr:rowOff>36861</xdr:rowOff>
    </xdr:to>
    <xdr:sp macro="" textlink="">
      <xdr:nvSpPr>
        <xdr:cNvPr id="2" name="AutoShape 6">
          <a:extLst>
            <a:ext uri="{FF2B5EF4-FFF2-40B4-BE49-F238E27FC236}"/>
          </a:extLst>
        </xdr:cNvPr>
        <xdr:cNvSpPr>
          <a:spLocks/>
        </xdr:cNvSpPr>
      </xdr:nvSpPr>
      <xdr:spPr bwMode="auto">
        <a:xfrm rot="10800000">
          <a:off x="4147647" y="7098698"/>
          <a:ext cx="518394" cy="167638"/>
        </a:xfrm>
        <a:prstGeom prst="borderCallout2">
          <a:avLst>
            <a:gd name="adj1" fmla="val 50258"/>
            <a:gd name="adj2" fmla="val -200"/>
            <a:gd name="adj3" fmla="val 50575"/>
            <a:gd name="adj4" fmla="val -40805"/>
            <a:gd name="adj5" fmla="val -49948"/>
            <a:gd name="adj6" fmla="val -80486"/>
          </a:avLst>
        </a:prstGeom>
        <a:solidFill>
          <a:srgbClr val="FFFF00"/>
        </a:solidFill>
        <a:ln w="19050">
          <a:solidFill>
            <a:srgbClr val="0000CC"/>
          </a:solidFill>
          <a:miter lim="800000"/>
          <a:headEnd/>
          <a:tailEnd type="arrow" w="med" len="med"/>
        </a:ln>
      </xdr:spPr>
      <xdr:txBody>
        <a:bodyPr vertOverflow="clip" wrap="square" lIns="0" tIns="0" rIns="0" bIns="0" anchor="ctr" upright="1"/>
        <a:lstStyle/>
        <a:p>
          <a:pPr algn="ctr" rtl="1">
            <a:defRPr sz="1000"/>
          </a:pPr>
          <a:r>
            <a:rPr lang="en-US" sz="1000" b="1" i="0" strike="noStrike">
              <a:solidFill>
                <a:srgbClr val="000000"/>
              </a:solidFill>
              <a:latin typeface="Arial Narrow" pitchFamily="34" charset="0"/>
              <a:ea typeface="Tahoma"/>
              <a:cs typeface="Tahoma"/>
            </a:rPr>
            <a:t>Data 1</a:t>
          </a:r>
        </a:p>
        <a:p>
          <a:pPr algn="ctr" rtl="1">
            <a:defRPr sz="1000"/>
          </a:pPr>
          <a:endParaRPr lang="en-US" sz="1000" b="1" i="0" strike="noStrike">
            <a:solidFill>
              <a:srgbClr val="000000"/>
            </a:solidFill>
            <a:latin typeface="Arial Narrow" pitchFamily="34" charset="0"/>
            <a:ea typeface="Tahoma"/>
            <a:cs typeface="Tahoma"/>
          </a:endParaRPr>
        </a:p>
      </xdr:txBody>
    </xdr:sp>
    <xdr:clientData/>
  </xdr:twoCellAnchor>
  <xdr:twoCellAnchor>
    <xdr:from>
      <xdr:col>47</xdr:col>
      <xdr:colOff>81842</xdr:colOff>
      <xdr:row>56</xdr:row>
      <xdr:rowOff>41415</xdr:rowOff>
    </xdr:from>
    <xdr:to>
      <xdr:col>50</xdr:col>
      <xdr:colOff>47651</xdr:colOff>
      <xdr:row>57</xdr:row>
      <xdr:rowOff>50110</xdr:rowOff>
    </xdr:to>
    <xdr:sp macro="" textlink="">
      <xdr:nvSpPr>
        <xdr:cNvPr id="3" name="AutoShape 8">
          <a:extLst>
            <a:ext uri="{FF2B5EF4-FFF2-40B4-BE49-F238E27FC236}"/>
          </a:extLst>
        </xdr:cNvPr>
        <xdr:cNvSpPr>
          <a:spLocks/>
        </xdr:cNvSpPr>
      </xdr:nvSpPr>
      <xdr:spPr bwMode="auto">
        <a:xfrm>
          <a:off x="9300385" y="9259958"/>
          <a:ext cx="512462" cy="174348"/>
        </a:xfrm>
        <a:prstGeom prst="borderCallout2">
          <a:avLst>
            <a:gd name="adj1" fmla="val 46564"/>
            <a:gd name="adj2" fmla="val -854"/>
            <a:gd name="adj3" fmla="val 47347"/>
            <a:gd name="adj4" fmla="val -24239"/>
            <a:gd name="adj5" fmla="val -83759"/>
            <a:gd name="adj6" fmla="val -55580"/>
          </a:avLst>
        </a:prstGeom>
        <a:solidFill>
          <a:srgbClr val="FFFF00"/>
        </a:solidFill>
        <a:ln w="19050">
          <a:solidFill>
            <a:srgbClr val="0000CC"/>
          </a:solidFill>
          <a:miter lim="800000"/>
          <a:headEnd/>
          <a:tailEnd type="arrow" w="med" len="med"/>
        </a:ln>
      </xdr:spPr>
      <xdr:txBody>
        <a:bodyPr vertOverflow="clip" wrap="square" lIns="0" tIns="0" rIns="0" bIns="0" anchor="ctr" upright="1"/>
        <a:lstStyle/>
        <a:p>
          <a:pPr algn="ctr" rtl="1">
            <a:defRPr sz="1000"/>
          </a:pPr>
          <a:r>
            <a:rPr lang="en-US" sz="1000" b="1" i="0" strike="noStrike">
              <a:solidFill>
                <a:srgbClr val="000000"/>
              </a:solidFill>
              <a:latin typeface="Arial Narrow" pitchFamily="34" charset="0"/>
              <a:ea typeface="Tahoma"/>
              <a:cs typeface="Tahoma"/>
            </a:rPr>
            <a:t>Data 1</a:t>
          </a:r>
        </a:p>
      </xdr:txBody>
    </xdr:sp>
    <xdr:clientData/>
  </xdr:twoCellAnchor>
  <xdr:twoCellAnchor editAs="oneCell">
    <xdr:from>
      <xdr:col>51</xdr:col>
      <xdr:colOff>85725</xdr:colOff>
      <xdr:row>12</xdr:row>
      <xdr:rowOff>57150</xdr:rowOff>
    </xdr:from>
    <xdr:to>
      <xdr:col>54</xdr:col>
      <xdr:colOff>38100</xdr:colOff>
      <xdr:row>17</xdr:row>
      <xdr:rowOff>9525</xdr:rowOff>
    </xdr:to>
    <xdr:pic>
      <xdr:nvPicPr>
        <xdr:cNvPr id="15494" name="Picture 43" descr="z. Picture12.jp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001250" y="2209800"/>
          <a:ext cx="4953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36</xdr:col>
      <xdr:colOff>76200</xdr:colOff>
      <xdr:row>37</xdr:row>
      <xdr:rowOff>38100</xdr:rowOff>
    </xdr:from>
    <xdr:to>
      <xdr:col>38</xdr:col>
      <xdr:colOff>152400</xdr:colOff>
      <xdr:row>40</xdr:row>
      <xdr:rowOff>104775</xdr:rowOff>
    </xdr:to>
    <xdr:pic>
      <xdr:nvPicPr>
        <xdr:cNvPr id="15495" name="Picture 43" descr="z. Picture12.jp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343775" y="5972175"/>
          <a:ext cx="4381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63209</xdr:colOff>
      <xdr:row>61</xdr:row>
      <xdr:rowOff>82411</xdr:rowOff>
    </xdr:from>
    <xdr:to>
      <xdr:col>18</xdr:col>
      <xdr:colOff>24050</xdr:colOff>
      <xdr:row>62</xdr:row>
      <xdr:rowOff>84481</xdr:rowOff>
    </xdr:to>
    <xdr:sp macro="" textlink="">
      <xdr:nvSpPr>
        <xdr:cNvPr id="12" name="AutoShape 8">
          <a:extLst>
            <a:ext uri="{FF2B5EF4-FFF2-40B4-BE49-F238E27FC236}"/>
          </a:extLst>
        </xdr:cNvPr>
        <xdr:cNvSpPr>
          <a:spLocks/>
        </xdr:cNvSpPr>
      </xdr:nvSpPr>
      <xdr:spPr bwMode="auto">
        <a:xfrm>
          <a:off x="3558884" y="9902686"/>
          <a:ext cx="503766" cy="163995"/>
        </a:xfrm>
        <a:prstGeom prst="borderCallout2">
          <a:avLst>
            <a:gd name="adj1" fmla="val 46564"/>
            <a:gd name="adj2" fmla="val -854"/>
            <a:gd name="adj3" fmla="val 41645"/>
            <a:gd name="adj4" fmla="val -33750"/>
            <a:gd name="adj5" fmla="val -6529"/>
            <a:gd name="adj6" fmla="val -64046"/>
          </a:avLst>
        </a:prstGeom>
        <a:solidFill>
          <a:srgbClr val="FFFF00"/>
        </a:solidFill>
        <a:ln w="19050">
          <a:solidFill>
            <a:srgbClr val="0000CC"/>
          </a:solidFill>
          <a:miter lim="800000"/>
          <a:headEnd/>
          <a:tailEnd type="arrow" w="med" len="med"/>
        </a:ln>
      </xdr:spPr>
      <xdr:txBody>
        <a:bodyPr vertOverflow="clip" wrap="square" lIns="0" tIns="0" rIns="0" bIns="0" anchor="ctr" upright="1"/>
        <a:lstStyle/>
        <a:p>
          <a:pPr algn="ctr" rtl="1">
            <a:defRPr sz="1000"/>
          </a:pPr>
          <a:r>
            <a:rPr lang="en-US" sz="1000" b="1" i="0" strike="noStrike">
              <a:solidFill>
                <a:srgbClr val="000000"/>
              </a:solidFill>
              <a:latin typeface="Arial Narrow" pitchFamily="34" charset="0"/>
              <a:ea typeface="Tahoma"/>
              <a:cs typeface="Tahoma"/>
            </a:rPr>
            <a:t>Data 2</a:t>
          </a:r>
        </a:p>
      </xdr:txBody>
    </xdr:sp>
    <xdr:clientData/>
  </xdr:twoCellAnchor>
  <xdr:twoCellAnchor>
    <xdr:from>
      <xdr:col>18</xdr:col>
      <xdr:colOff>210344</xdr:colOff>
      <xdr:row>25</xdr:row>
      <xdr:rowOff>84903</xdr:rowOff>
    </xdr:from>
    <xdr:to>
      <xdr:col>23</xdr:col>
      <xdr:colOff>106430</xdr:colOff>
      <xdr:row>27</xdr:row>
      <xdr:rowOff>91609</xdr:rowOff>
    </xdr:to>
    <xdr:sp macro="" textlink="">
      <xdr:nvSpPr>
        <xdr:cNvPr id="18" name="Text Box 24">
          <a:extLst>
            <a:ext uri="{FF2B5EF4-FFF2-40B4-BE49-F238E27FC236}"/>
          </a:extLst>
        </xdr:cNvPr>
        <xdr:cNvSpPr txBox="1">
          <a:spLocks noChangeArrowheads="1"/>
        </xdr:cNvSpPr>
      </xdr:nvSpPr>
      <xdr:spPr bwMode="auto">
        <a:xfrm rot="5400000">
          <a:off x="4486838" y="4198691"/>
          <a:ext cx="338011" cy="774043"/>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id-ID" sz="800" b="1" i="0" u="none" strike="noStrike" baseline="0">
              <a:solidFill>
                <a:schemeClr val="tx2">
                  <a:lumMod val="50000"/>
                </a:schemeClr>
              </a:solidFill>
              <a:latin typeface="Arial Narrow" pitchFamily="34" charset="0"/>
              <a:cs typeface="Arial"/>
            </a:rPr>
            <a:t>SH</a:t>
          </a:r>
          <a:r>
            <a:rPr lang="en-US" sz="800" b="1" i="0" u="none" strike="noStrike" baseline="0">
              <a:solidFill>
                <a:schemeClr val="tx2">
                  <a:lumMod val="50000"/>
                </a:schemeClr>
              </a:solidFill>
              <a:latin typeface="Arial Narrow" pitchFamily="34" charset="0"/>
              <a:cs typeface="Arial"/>
            </a:rPr>
            <a:t>M</a:t>
          </a:r>
          <a:r>
            <a:rPr lang="id-ID" sz="800" b="1" i="0" u="none" strike="noStrike" baseline="0">
              <a:solidFill>
                <a:schemeClr val="tx2">
                  <a:lumMod val="50000"/>
                </a:schemeClr>
              </a:solidFill>
              <a:latin typeface="Arial Narrow" pitchFamily="34" charset="0"/>
              <a:cs typeface="Arial"/>
            </a:rPr>
            <a:t> No. 2716</a:t>
          </a:r>
        </a:p>
        <a:p>
          <a:pPr algn="ctr" rtl="0">
            <a:defRPr sz="1000"/>
          </a:pPr>
          <a:r>
            <a:rPr lang="id-ID" sz="800" b="1" i="0" u="none" strike="noStrike" baseline="0">
              <a:solidFill>
                <a:schemeClr val="tx2">
                  <a:lumMod val="50000"/>
                </a:schemeClr>
              </a:solidFill>
              <a:latin typeface="Arial Narrow" pitchFamily="34" charset="0"/>
              <a:cs typeface="Arial"/>
            </a:rPr>
            <a:t>Luas = 249</a:t>
          </a:r>
          <a:r>
            <a:rPr lang="en-US" sz="800" b="1" i="0" u="none" strike="noStrike" baseline="0">
              <a:solidFill>
                <a:schemeClr val="tx2">
                  <a:lumMod val="50000"/>
                </a:schemeClr>
              </a:solidFill>
              <a:latin typeface="Arial Narrow" pitchFamily="34" charset="0"/>
              <a:cs typeface="Arial"/>
            </a:rPr>
            <a:t> </a:t>
          </a:r>
          <a:r>
            <a:rPr lang="id-ID" sz="800" b="1" i="0" u="none" strike="noStrike" baseline="0">
              <a:solidFill>
                <a:schemeClr val="tx2">
                  <a:lumMod val="50000"/>
                </a:schemeClr>
              </a:solidFill>
              <a:latin typeface="Arial Narrow" pitchFamily="34" charset="0"/>
              <a:cs typeface="Arial"/>
            </a:rPr>
            <a:t>m²</a:t>
          </a:r>
        </a:p>
      </xdr:txBody>
    </xdr:sp>
    <xdr:clientData/>
  </xdr:twoCellAnchor>
  <xdr:twoCellAnchor editAs="oneCell">
    <xdr:from>
      <xdr:col>35</xdr:col>
      <xdr:colOff>38100</xdr:colOff>
      <xdr:row>62</xdr:row>
      <xdr:rowOff>142875</xdr:rowOff>
    </xdr:from>
    <xdr:to>
      <xdr:col>38</xdr:col>
      <xdr:colOff>142875</xdr:colOff>
      <xdr:row>64</xdr:row>
      <xdr:rowOff>133350</xdr:rowOff>
    </xdr:to>
    <xdr:pic>
      <xdr:nvPicPr>
        <xdr:cNvPr id="15498" name="Picture 18" descr="Image result for google maps"/>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124700" y="10125075"/>
          <a:ext cx="6477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42</xdr:col>
      <xdr:colOff>173119</xdr:colOff>
      <xdr:row>24</xdr:row>
      <xdr:rowOff>118178</xdr:rowOff>
    </xdr:from>
    <xdr:to>
      <xdr:col>46</xdr:col>
      <xdr:colOff>147074</xdr:colOff>
      <xdr:row>26</xdr:row>
      <xdr:rowOff>123211</xdr:rowOff>
    </xdr:to>
    <xdr:sp macro="" textlink="">
      <xdr:nvSpPr>
        <xdr:cNvPr id="15" name="Text Box 1400">
          <a:extLst>
            <a:ext uri="{FF2B5EF4-FFF2-40B4-BE49-F238E27FC236}"/>
          </a:extLst>
        </xdr:cNvPr>
        <xdr:cNvSpPr txBox="1">
          <a:spLocks noChangeArrowheads="1"/>
        </xdr:cNvSpPr>
      </xdr:nvSpPr>
      <xdr:spPr bwMode="auto">
        <a:xfrm>
          <a:off x="8078869" y="4337753"/>
          <a:ext cx="697855" cy="328883"/>
        </a:xfrm>
        <a:prstGeom prst="rect">
          <a:avLst/>
        </a:prstGeom>
        <a:solidFill>
          <a:srgbClr val="00B0F0"/>
        </a:solidFill>
        <a:ln>
          <a:noFill/>
          <a:headEnd/>
          <a:tailEnd/>
        </a:ln>
      </xdr:spPr>
      <xdr:style>
        <a:lnRef idx="1">
          <a:schemeClr val="accent1"/>
        </a:lnRef>
        <a:fillRef idx="3">
          <a:schemeClr val="accent1"/>
        </a:fillRef>
        <a:effectRef idx="2">
          <a:schemeClr val="accent1"/>
        </a:effectRef>
        <a:fontRef idx="minor">
          <a:schemeClr val="lt1"/>
        </a:fontRef>
      </xdr:style>
      <xdr:txBody>
        <a:bodyPr vertOverflow="clip" wrap="square" lIns="27432" tIns="27432" rIns="27432" bIns="27432" anchor="ctr" upright="1"/>
        <a:lstStyle/>
        <a:p>
          <a:pPr algn="ctr" rtl="1">
            <a:defRPr sz="1000"/>
          </a:pPr>
          <a:r>
            <a:rPr lang="en-US" sz="800" b="1" i="0" strike="noStrike">
              <a:solidFill>
                <a:srgbClr val="FF0000"/>
              </a:solidFill>
              <a:latin typeface="Arial Narrow"/>
            </a:rPr>
            <a:t>SHM No. xxx</a:t>
          </a:r>
        </a:p>
        <a:p>
          <a:pPr algn="ctr" rtl="1">
            <a:defRPr sz="1000"/>
          </a:pPr>
          <a:r>
            <a:rPr lang="en-US" sz="800" b="1" i="0" strike="noStrike">
              <a:solidFill>
                <a:srgbClr val="FF0000"/>
              </a:solidFill>
              <a:latin typeface="Arial Narrow"/>
            </a:rPr>
            <a:t>Luas = xxx m²</a:t>
          </a:r>
        </a:p>
      </xdr:txBody>
    </xdr:sp>
    <xdr:clientData/>
  </xdr:twoCellAnchor>
  <xdr:twoCellAnchor>
    <xdr:from>
      <xdr:col>55</xdr:col>
      <xdr:colOff>141902</xdr:colOff>
      <xdr:row>2</xdr:row>
      <xdr:rowOff>6520</xdr:rowOff>
    </xdr:from>
    <xdr:to>
      <xdr:col>59</xdr:col>
      <xdr:colOff>4682</xdr:colOff>
      <xdr:row>5</xdr:row>
      <xdr:rowOff>4228</xdr:rowOff>
    </xdr:to>
    <xdr:sp macro="" textlink="">
      <xdr:nvSpPr>
        <xdr:cNvPr id="20" name="Freeform 19">
          <a:extLst>
            <a:ext uri="{FF2B5EF4-FFF2-40B4-BE49-F238E27FC236}"/>
          </a:extLst>
        </xdr:cNvPr>
        <xdr:cNvSpPr/>
      </xdr:nvSpPr>
      <xdr:spPr>
        <a:xfrm>
          <a:off x="10533677" y="987595"/>
          <a:ext cx="586680" cy="426333"/>
        </a:xfrm>
        <a:custGeom>
          <a:avLst/>
          <a:gdLst>
            <a:gd name="connsiteX0" fmla="*/ 190500 w 448236"/>
            <a:gd name="connsiteY0" fmla="*/ 0 h 403412"/>
            <a:gd name="connsiteX1" fmla="*/ 0 w 448236"/>
            <a:gd name="connsiteY1" fmla="*/ 403412 h 403412"/>
            <a:gd name="connsiteX2" fmla="*/ 448236 w 448236"/>
            <a:gd name="connsiteY2" fmla="*/ 190500 h 403412"/>
          </a:gdLst>
          <a:ahLst/>
          <a:cxnLst>
            <a:cxn ang="0">
              <a:pos x="connsiteX0" y="connsiteY0"/>
            </a:cxn>
            <a:cxn ang="0">
              <a:pos x="connsiteX1" y="connsiteY1"/>
            </a:cxn>
            <a:cxn ang="0">
              <a:pos x="connsiteX2" y="connsiteY2"/>
            </a:cxn>
          </a:cxnLst>
          <a:rect l="l" t="t" r="r" b="b"/>
          <a:pathLst>
            <a:path w="448236" h="403412">
              <a:moveTo>
                <a:pt x="190500" y="0"/>
              </a:moveTo>
              <a:lnTo>
                <a:pt x="0" y="403412"/>
              </a:lnTo>
              <a:lnTo>
                <a:pt x="448236" y="190500"/>
              </a:lnTo>
            </a:path>
          </a:pathLst>
        </a:cu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endParaRPr lang="en-US"/>
        </a:p>
      </xdr:txBody>
    </xdr:sp>
    <xdr:clientData/>
  </xdr:twoCellAnchor>
  <xdr:twoCellAnchor>
    <xdr:from>
      <xdr:col>55</xdr:col>
      <xdr:colOff>41559</xdr:colOff>
      <xdr:row>4</xdr:row>
      <xdr:rowOff>67694</xdr:rowOff>
    </xdr:from>
    <xdr:to>
      <xdr:col>61</xdr:col>
      <xdr:colOff>180104</xdr:colOff>
      <xdr:row>18</xdr:row>
      <xdr:rowOff>32191</xdr:rowOff>
    </xdr:to>
    <xdr:sp macro="" textlink="">
      <xdr:nvSpPr>
        <xdr:cNvPr id="21" name="Freeform 20">
          <a:extLst>
            <a:ext uri="{FF2B5EF4-FFF2-40B4-BE49-F238E27FC236}"/>
          </a:extLst>
        </xdr:cNvPr>
        <xdr:cNvSpPr/>
      </xdr:nvSpPr>
      <xdr:spPr>
        <a:xfrm>
          <a:off x="10433334" y="1305944"/>
          <a:ext cx="1224395" cy="1974272"/>
        </a:xfrm>
        <a:custGeom>
          <a:avLst/>
          <a:gdLst>
            <a:gd name="connsiteX0" fmla="*/ 1075765 w 1075765"/>
            <a:gd name="connsiteY0" fmla="*/ 0 h 1882588"/>
            <a:gd name="connsiteX1" fmla="*/ 0 w 1075765"/>
            <a:gd name="connsiteY1" fmla="*/ 549088 h 1882588"/>
            <a:gd name="connsiteX2" fmla="*/ 739589 w 1075765"/>
            <a:gd name="connsiteY2" fmla="*/ 1882588 h 1882588"/>
          </a:gdLst>
          <a:ahLst/>
          <a:cxnLst>
            <a:cxn ang="0">
              <a:pos x="connsiteX0" y="connsiteY0"/>
            </a:cxn>
            <a:cxn ang="0">
              <a:pos x="connsiteX1" y="connsiteY1"/>
            </a:cxn>
            <a:cxn ang="0">
              <a:pos x="connsiteX2" y="connsiteY2"/>
            </a:cxn>
          </a:cxnLst>
          <a:rect l="l" t="t" r="r" b="b"/>
          <a:pathLst>
            <a:path w="1075765" h="1882588">
              <a:moveTo>
                <a:pt x="1075765" y="0"/>
              </a:moveTo>
              <a:lnTo>
                <a:pt x="0" y="549088"/>
              </a:lnTo>
              <a:lnTo>
                <a:pt x="739589" y="1882588"/>
              </a:lnTo>
            </a:path>
          </a:pathLst>
        </a:cu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endParaRPr lang="en-US"/>
        </a:p>
      </xdr:txBody>
    </xdr:sp>
    <xdr:clientData/>
  </xdr:twoCellAnchor>
  <xdr:twoCellAnchor>
    <xdr:from>
      <xdr:col>59</xdr:col>
      <xdr:colOff>26623</xdr:colOff>
      <xdr:row>21</xdr:row>
      <xdr:rowOff>85000</xdr:rowOff>
    </xdr:from>
    <xdr:to>
      <xdr:col>65</xdr:col>
      <xdr:colOff>156840</xdr:colOff>
      <xdr:row>35</xdr:row>
      <xdr:rowOff>10426</xdr:rowOff>
    </xdr:to>
    <xdr:sp macro="" textlink="">
      <xdr:nvSpPr>
        <xdr:cNvPr id="22" name="Rectangle 21">
          <a:extLst>
            <a:ext uri="{FF2B5EF4-FFF2-40B4-BE49-F238E27FC236}"/>
          </a:extLst>
        </xdr:cNvPr>
        <xdr:cNvSpPr/>
      </xdr:nvSpPr>
      <xdr:spPr>
        <a:xfrm>
          <a:off x="11299741" y="3626059"/>
          <a:ext cx="1205981" cy="2009720"/>
        </a:xfrm>
        <a:prstGeom prst="rect">
          <a:avLst/>
        </a:prstGeom>
        <a:solidFill>
          <a:schemeClr val="bg1">
            <a:lumMod val="85000"/>
          </a:schemeClr>
        </a:solidFill>
        <a:ln>
          <a:solidFill>
            <a:srgbClr val="00009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42</xdr:col>
      <xdr:colOff>57905</xdr:colOff>
      <xdr:row>2</xdr:row>
      <xdr:rowOff>12235</xdr:rowOff>
    </xdr:from>
    <xdr:to>
      <xdr:col>48</xdr:col>
      <xdr:colOff>97346</xdr:colOff>
      <xdr:row>9</xdr:row>
      <xdr:rowOff>14622</xdr:rowOff>
    </xdr:to>
    <xdr:sp macro="" textlink="">
      <xdr:nvSpPr>
        <xdr:cNvPr id="23" name="Freeform 22">
          <a:extLst>
            <a:ext uri="{FF2B5EF4-FFF2-40B4-BE49-F238E27FC236}"/>
          </a:extLst>
        </xdr:cNvPr>
        <xdr:cNvSpPr/>
      </xdr:nvSpPr>
      <xdr:spPr>
        <a:xfrm rot="19860000">
          <a:off x="7963655" y="993310"/>
          <a:ext cx="1125291" cy="945362"/>
        </a:xfrm>
        <a:custGeom>
          <a:avLst/>
          <a:gdLst>
            <a:gd name="connsiteX0" fmla="*/ 0 w 1123625"/>
            <a:gd name="connsiteY0" fmla="*/ 0 h 945362"/>
            <a:gd name="connsiteX1" fmla="*/ 1123625 w 1123625"/>
            <a:gd name="connsiteY1" fmla="*/ 0 h 945362"/>
            <a:gd name="connsiteX2" fmla="*/ 1123625 w 1123625"/>
            <a:gd name="connsiteY2" fmla="*/ 945362 h 945362"/>
            <a:gd name="connsiteX3" fmla="*/ 0 w 1123625"/>
            <a:gd name="connsiteY3" fmla="*/ 945362 h 945362"/>
            <a:gd name="connsiteX4" fmla="*/ 0 w 1123625"/>
            <a:gd name="connsiteY4" fmla="*/ 0 h 945362"/>
            <a:gd name="connsiteX0" fmla="*/ 0 w 1123625"/>
            <a:gd name="connsiteY0" fmla="*/ 0 h 945362"/>
            <a:gd name="connsiteX1" fmla="*/ 1123625 w 1123625"/>
            <a:gd name="connsiteY1" fmla="*/ 0 h 945362"/>
            <a:gd name="connsiteX2" fmla="*/ 656385 w 1123625"/>
            <a:gd name="connsiteY2" fmla="*/ 904175 h 945362"/>
            <a:gd name="connsiteX3" fmla="*/ 0 w 1123625"/>
            <a:gd name="connsiteY3" fmla="*/ 945362 h 945362"/>
            <a:gd name="connsiteX4" fmla="*/ 0 w 1123625"/>
            <a:gd name="connsiteY4" fmla="*/ 0 h 945362"/>
            <a:gd name="connsiteX0" fmla="*/ 0 w 1125291"/>
            <a:gd name="connsiteY0" fmla="*/ 0 h 945362"/>
            <a:gd name="connsiteX1" fmla="*/ 1123625 w 1125291"/>
            <a:gd name="connsiteY1" fmla="*/ 0 h 945362"/>
            <a:gd name="connsiteX2" fmla="*/ 1125291 w 1125291"/>
            <a:gd name="connsiteY2" fmla="*/ 437048 h 945362"/>
            <a:gd name="connsiteX3" fmla="*/ 656385 w 1125291"/>
            <a:gd name="connsiteY3" fmla="*/ 904175 h 945362"/>
            <a:gd name="connsiteX4" fmla="*/ 0 w 1125291"/>
            <a:gd name="connsiteY4" fmla="*/ 945362 h 945362"/>
            <a:gd name="connsiteX5" fmla="*/ 0 w 1125291"/>
            <a:gd name="connsiteY5" fmla="*/ 0 h 945362"/>
            <a:gd name="connsiteX0" fmla="*/ 0 w 1125291"/>
            <a:gd name="connsiteY0" fmla="*/ 0 h 945362"/>
            <a:gd name="connsiteX1" fmla="*/ 1123625 w 1125291"/>
            <a:gd name="connsiteY1" fmla="*/ 0 h 945362"/>
            <a:gd name="connsiteX2" fmla="*/ 1125291 w 1125291"/>
            <a:gd name="connsiteY2" fmla="*/ 437048 h 945362"/>
            <a:gd name="connsiteX3" fmla="*/ 688659 w 1125291"/>
            <a:gd name="connsiteY3" fmla="*/ 478171 h 945362"/>
            <a:gd name="connsiteX4" fmla="*/ 656385 w 1125291"/>
            <a:gd name="connsiteY4" fmla="*/ 904175 h 945362"/>
            <a:gd name="connsiteX5" fmla="*/ 0 w 1125291"/>
            <a:gd name="connsiteY5" fmla="*/ 945362 h 945362"/>
            <a:gd name="connsiteX6" fmla="*/ 0 w 1125291"/>
            <a:gd name="connsiteY6" fmla="*/ 0 h 945362"/>
            <a:gd name="connsiteX0" fmla="*/ 0 w 1125291"/>
            <a:gd name="connsiteY0" fmla="*/ 0 h 945362"/>
            <a:gd name="connsiteX1" fmla="*/ 1123625 w 1125291"/>
            <a:gd name="connsiteY1" fmla="*/ 0 h 945362"/>
            <a:gd name="connsiteX2" fmla="*/ 1125291 w 1125291"/>
            <a:gd name="connsiteY2" fmla="*/ 437048 h 945362"/>
            <a:gd name="connsiteX3" fmla="*/ 688659 w 1125291"/>
            <a:gd name="connsiteY3" fmla="*/ 478171 h 945362"/>
            <a:gd name="connsiteX4" fmla="*/ 703561 w 1125291"/>
            <a:gd name="connsiteY4" fmla="*/ 897654 h 945362"/>
            <a:gd name="connsiteX5" fmla="*/ 0 w 1125291"/>
            <a:gd name="connsiteY5" fmla="*/ 945362 h 945362"/>
            <a:gd name="connsiteX6" fmla="*/ 0 w 1125291"/>
            <a:gd name="connsiteY6" fmla="*/ 0 h 94536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25291" h="945362">
              <a:moveTo>
                <a:pt x="0" y="0"/>
              </a:moveTo>
              <a:lnTo>
                <a:pt x="1123625" y="0"/>
              </a:lnTo>
              <a:cubicBezTo>
                <a:pt x="1124180" y="145683"/>
                <a:pt x="1124736" y="291365"/>
                <a:pt x="1125291" y="437048"/>
              </a:cubicBezTo>
              <a:lnTo>
                <a:pt x="688659" y="478171"/>
              </a:lnTo>
              <a:lnTo>
                <a:pt x="703561" y="897654"/>
              </a:lnTo>
              <a:lnTo>
                <a:pt x="0" y="945362"/>
              </a:lnTo>
              <a:lnTo>
                <a:pt x="0" y="0"/>
              </a:lnTo>
              <a:close/>
            </a:path>
          </a:pathLst>
        </a:custGeom>
        <a:solidFill>
          <a:schemeClr val="bg1">
            <a:lumMod val="65000"/>
          </a:schemeClr>
        </a:solidFill>
        <a:ln>
          <a:noFill/>
        </a:ln>
        <a:scene3d>
          <a:camera prst="orthographicFront"/>
          <a:lightRig rig="threePt" dir="t"/>
        </a:scene3d>
        <a:sp3d>
          <a:bevelT w="635000" h="6350000" prst="convex"/>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41</xdr:col>
      <xdr:colOff>61706</xdr:colOff>
      <xdr:row>13</xdr:row>
      <xdr:rowOff>123825</xdr:rowOff>
    </xdr:from>
    <xdr:to>
      <xdr:col>42</xdr:col>
      <xdr:colOff>26289</xdr:colOff>
      <xdr:row>14</xdr:row>
      <xdr:rowOff>104409</xdr:rowOff>
    </xdr:to>
    <xdr:sp macro="" textlink="">
      <xdr:nvSpPr>
        <xdr:cNvPr id="24" name="Oval 19">
          <a:extLst>
            <a:ext uri="{FF2B5EF4-FFF2-40B4-BE49-F238E27FC236}"/>
          </a:extLst>
        </xdr:cNvPr>
        <xdr:cNvSpPr>
          <a:spLocks noChangeAspect="1" noChangeArrowheads="1"/>
        </xdr:cNvSpPr>
      </xdr:nvSpPr>
      <xdr:spPr bwMode="auto">
        <a:xfrm rot="20952402">
          <a:off x="7786481" y="2562225"/>
          <a:ext cx="145558" cy="142509"/>
        </a:xfrm>
        <a:prstGeom prst="ellipse">
          <a:avLst/>
        </a:prstGeom>
        <a:solidFill>
          <a:srgbClr val="FFFF00"/>
        </a:solidFill>
        <a:ln w="3175">
          <a:solidFill>
            <a:sysClr val="windowText" lastClr="000000"/>
          </a:solidFill>
          <a:round/>
          <a:headEnd/>
          <a:tailEnd/>
        </a:ln>
      </xdr:spPr>
      <xdr:txBody>
        <a:bodyPr vertOverflow="clip" wrap="square" lIns="0" tIns="0" rIns="0" bIns="0" anchor="ctr" upright="1"/>
        <a:lstStyle/>
        <a:p>
          <a:pPr algn="ctr" rtl="1">
            <a:defRPr sz="1000"/>
          </a:pPr>
          <a:r>
            <a:rPr lang="en-US" sz="700" b="1" i="0" strike="noStrike">
              <a:solidFill>
                <a:schemeClr val="tx1"/>
              </a:solidFill>
              <a:latin typeface="Arial"/>
              <a:cs typeface="Arial"/>
            </a:rPr>
            <a:t>1</a:t>
          </a:r>
        </a:p>
      </xdr:txBody>
    </xdr:sp>
    <xdr:clientData/>
  </xdr:twoCellAnchor>
  <xdr:twoCellAnchor>
    <xdr:from>
      <xdr:col>41</xdr:col>
      <xdr:colOff>57150</xdr:colOff>
      <xdr:row>15</xdr:row>
      <xdr:rowOff>72473</xdr:rowOff>
    </xdr:from>
    <xdr:to>
      <xdr:col>42</xdr:col>
      <xdr:colOff>21733</xdr:colOff>
      <xdr:row>16</xdr:row>
      <xdr:rowOff>53057</xdr:rowOff>
    </xdr:to>
    <xdr:sp macro="" textlink="">
      <xdr:nvSpPr>
        <xdr:cNvPr id="25" name="Oval 19">
          <a:extLst>
            <a:ext uri="{FF2B5EF4-FFF2-40B4-BE49-F238E27FC236}"/>
          </a:extLst>
        </xdr:cNvPr>
        <xdr:cNvSpPr>
          <a:spLocks noChangeAspect="1" noChangeArrowheads="1"/>
        </xdr:cNvSpPr>
      </xdr:nvSpPr>
      <xdr:spPr bwMode="auto">
        <a:xfrm rot="20952402">
          <a:off x="7781925" y="2834723"/>
          <a:ext cx="145558" cy="142509"/>
        </a:xfrm>
        <a:prstGeom prst="ellipse">
          <a:avLst/>
        </a:prstGeom>
        <a:solidFill>
          <a:srgbClr val="FFFF00"/>
        </a:solidFill>
        <a:ln w="3175">
          <a:solidFill>
            <a:sysClr val="windowText" lastClr="000000"/>
          </a:solidFill>
          <a:round/>
          <a:headEnd/>
          <a:tailEnd/>
        </a:ln>
      </xdr:spPr>
      <xdr:txBody>
        <a:bodyPr vertOverflow="clip" wrap="square" lIns="0" tIns="0" rIns="0" bIns="0" anchor="ctr" upright="1"/>
        <a:lstStyle/>
        <a:p>
          <a:pPr algn="ctr" rtl="1">
            <a:defRPr sz="1000"/>
          </a:pPr>
          <a:r>
            <a:rPr lang="id-ID" sz="700" b="1" i="0" strike="noStrike">
              <a:solidFill>
                <a:schemeClr val="tx1"/>
              </a:solidFill>
              <a:latin typeface="Arial"/>
              <a:cs typeface="Arial"/>
            </a:rPr>
            <a:t>2</a:t>
          </a:r>
          <a:endParaRPr lang="en-US" sz="700" b="1" i="0" strike="noStrike">
            <a:solidFill>
              <a:schemeClr val="tx1"/>
            </a:solidFill>
            <a:latin typeface="Arial"/>
            <a:cs typeface="Arial"/>
          </a:endParaRPr>
        </a:p>
      </xdr:txBody>
    </xdr:sp>
    <xdr:clientData/>
  </xdr:twoCellAnchor>
  <xdr:twoCellAnchor>
    <xdr:from>
      <xdr:col>22</xdr:col>
      <xdr:colOff>114300</xdr:colOff>
      <xdr:row>43</xdr:row>
      <xdr:rowOff>152400</xdr:rowOff>
    </xdr:from>
    <xdr:to>
      <xdr:col>30</xdr:col>
      <xdr:colOff>161925</xdr:colOff>
      <xdr:row>46</xdr:row>
      <xdr:rowOff>133350</xdr:rowOff>
    </xdr:to>
    <xdr:grpSp>
      <xdr:nvGrpSpPr>
        <xdr:cNvPr id="15506" name="Group 32"/>
        <xdr:cNvGrpSpPr>
          <a:grpSpLocks/>
        </xdr:cNvGrpSpPr>
      </xdr:nvGrpSpPr>
      <xdr:grpSpPr bwMode="auto">
        <a:xfrm>
          <a:off x="4848225" y="7058025"/>
          <a:ext cx="1495425" cy="466725"/>
          <a:chOff x="3850610" y="8547688"/>
          <a:chExt cx="1489906" cy="465188"/>
        </a:xfrm>
      </xdr:grpSpPr>
      <xdr:sp macro="" textlink="">
        <xdr:nvSpPr>
          <xdr:cNvPr id="15516" name="AutoShape 9"/>
          <xdr:cNvSpPr>
            <a:spLocks/>
          </xdr:cNvSpPr>
        </xdr:nvSpPr>
        <xdr:spPr bwMode="auto">
          <a:xfrm>
            <a:off x="3850610" y="8701701"/>
            <a:ext cx="103004" cy="147185"/>
          </a:xfrm>
          <a:prstGeom prst="callout2">
            <a:avLst>
              <a:gd name="adj1" fmla="val 23875"/>
              <a:gd name="adj2" fmla="val 1155403"/>
              <a:gd name="adj3" fmla="val 20444"/>
              <a:gd name="adj4" fmla="val 866356"/>
              <a:gd name="adj5" fmla="val -133815"/>
              <a:gd name="adj6" fmla="val 618380"/>
            </a:avLst>
          </a:prstGeom>
          <a:noFill/>
          <a:ln w="22225">
            <a:solidFill>
              <a:srgbClr val="FF0000"/>
            </a:solidFill>
            <a:miter lim="800000"/>
            <a:headEnd/>
            <a:tailEnd type="arrow" w="med" len="med"/>
          </a:ln>
          <a:extLst>
            <a:ext uri="{909E8E84-426E-40DD-AFC4-6F175D3DCCD1}">
              <a14:hiddenFill xmlns:a14="http://schemas.microsoft.com/office/drawing/2010/main">
                <a:solidFill>
                  <a:srgbClr val="FFFFFF"/>
                </a:solidFill>
              </a14:hiddenFill>
            </a:ext>
          </a:extLst>
        </xdr:spPr>
      </xdr:sp>
      <xdr:grpSp>
        <xdr:nvGrpSpPr>
          <xdr:cNvPr id="40" name="Group 10">
            <a:extLst>
              <a:ext uri="{FF2B5EF4-FFF2-40B4-BE49-F238E27FC236}"/>
            </a:extLst>
          </xdr:cNvPr>
          <xdr:cNvGrpSpPr>
            <a:grpSpLocks/>
          </xdr:cNvGrpSpPr>
        </xdr:nvGrpSpPr>
        <xdr:grpSpPr bwMode="auto">
          <a:xfrm>
            <a:off x="4866024" y="8547688"/>
            <a:ext cx="474492" cy="465188"/>
            <a:chOff x="225" y="282"/>
            <a:chExt cx="49" cy="50"/>
          </a:xfrm>
          <a:solidFill>
            <a:srgbClr val="66FF33"/>
          </a:solidFill>
        </xdr:grpSpPr>
        <xdr:pic>
          <xdr:nvPicPr>
            <xdr:cNvPr id="27" name="Picture 11" descr="Slide3">
              <a:extLst>
                <a:ext uri="{FF2B5EF4-FFF2-40B4-BE49-F238E27FC236}"/>
              </a:extLst>
            </xdr:cNvPr>
            <xdr:cNvPicPr preferRelativeResize="0">
              <a:picLocks noChangeArrowheads="1"/>
            </xdr:cNvPicPr>
          </xdr:nvPicPr>
          <xdr:blipFill>
            <a:blip xmlns:r="http://schemas.openxmlformats.org/officeDocument/2006/relationships" r:embed="rId5" cstate="print">
              <a:clrChange>
                <a:clrFrom>
                  <a:srgbClr val="FFFFFF"/>
                </a:clrFrom>
                <a:clrTo>
                  <a:srgbClr val="FFFFFF">
                    <a:alpha val="0"/>
                  </a:srgbClr>
                </a:clrTo>
              </a:clrChange>
            </a:blip>
            <a:srcRect l="4124" t="21851" r="3093" b="11116"/>
            <a:stretch>
              <a:fillRect/>
            </a:stretch>
          </xdr:blipFill>
          <xdr:spPr bwMode="auto">
            <a:xfrm>
              <a:off x="227" y="282"/>
              <a:ext cx="46" cy="38"/>
            </a:xfrm>
            <a:prstGeom prst="rect">
              <a:avLst/>
            </a:prstGeom>
            <a:grpFill/>
            <a:ln w="9525">
              <a:noFill/>
              <a:miter lim="800000"/>
              <a:headEnd/>
              <a:tailEnd/>
            </a:ln>
          </xdr:spPr>
        </xdr:pic>
        <xdr:sp macro="" textlink="" fLocksText="0">
          <xdr:nvSpPr>
            <xdr:cNvPr id="28" name="AutoShape 12">
              <a:extLst>
                <a:ext uri="{FF2B5EF4-FFF2-40B4-BE49-F238E27FC236}"/>
              </a:extLst>
            </xdr:cNvPr>
            <xdr:cNvSpPr>
              <a:spLocks noChangeArrowheads="1"/>
            </xdr:cNvSpPr>
          </xdr:nvSpPr>
          <xdr:spPr bwMode="auto">
            <a:xfrm>
              <a:off x="225" y="318"/>
              <a:ext cx="49" cy="14"/>
            </a:xfrm>
            <a:prstGeom prst="flowChartTerminator">
              <a:avLst/>
            </a:prstGeom>
            <a:grpFill/>
            <a:ln>
              <a:noFill/>
              <a:headEnd/>
              <a:tailEnd/>
            </a:ln>
          </xdr:spPr>
          <xdr:style>
            <a:lnRef idx="1">
              <a:schemeClr val="accent2"/>
            </a:lnRef>
            <a:fillRef idx="3">
              <a:schemeClr val="accent2"/>
            </a:fillRef>
            <a:effectRef idx="2">
              <a:schemeClr val="accent2"/>
            </a:effectRef>
            <a:fontRef idx="minor">
              <a:schemeClr val="lt1"/>
            </a:fontRef>
          </xdr:style>
          <xdr:txBody>
            <a:bodyPr vertOverflow="clip" wrap="square" lIns="0" tIns="0" rIns="0" bIns="0" anchor="ctr" upright="1"/>
            <a:lstStyle/>
            <a:p>
              <a:pPr algn="ctr" rtl="1">
                <a:defRPr sz="1000"/>
              </a:pPr>
              <a:r>
                <a:rPr lang="en-US" sz="800" b="1" i="0" strike="noStrike" cap="none" spc="0">
                  <a:ln w="0"/>
                  <a:solidFill>
                    <a:schemeClr val="tx1"/>
                  </a:solidFill>
                  <a:effectLst>
                    <a:outerShdw blurRad="38100" dist="19050" dir="2700000" algn="tl" rotWithShape="0">
                      <a:schemeClr val="dk1">
                        <a:alpha val="40000"/>
                      </a:schemeClr>
                    </a:outerShdw>
                  </a:effectLst>
                  <a:latin typeface="Arial Narrow" pitchFamily="34" charset="0"/>
                  <a:cs typeface="Tahoma"/>
                </a:rPr>
                <a:t>LOKASI</a:t>
              </a:r>
            </a:p>
          </xdr:txBody>
        </xdr:sp>
      </xdr:grpSp>
    </xdr:grpSp>
    <xdr:clientData/>
  </xdr:twoCellAnchor>
  <xdr:twoCellAnchor>
    <xdr:from>
      <xdr:col>44</xdr:col>
      <xdr:colOff>57150</xdr:colOff>
      <xdr:row>27</xdr:row>
      <xdr:rowOff>142876</xdr:rowOff>
    </xdr:from>
    <xdr:to>
      <xdr:col>45</xdr:col>
      <xdr:colOff>19050</xdr:colOff>
      <xdr:row>28</xdr:row>
      <xdr:rowOff>57151</xdr:rowOff>
    </xdr:to>
    <xdr:sp macro="" textlink="">
      <xdr:nvSpPr>
        <xdr:cNvPr id="29" name="WordArt 19">
          <a:extLst>
            <a:ext uri="{FF2B5EF4-FFF2-40B4-BE49-F238E27FC236}"/>
          </a:extLst>
        </xdr:cNvPr>
        <xdr:cNvSpPr>
          <a:spLocks noChangeArrowheads="1" noChangeShapeType="1" noTextEdit="1"/>
        </xdr:cNvSpPr>
      </xdr:nvSpPr>
      <xdr:spPr bwMode="auto">
        <a:xfrm>
          <a:off x="8324850" y="4848226"/>
          <a:ext cx="142875" cy="76200"/>
        </a:xfrm>
        <a:prstGeom prst="rect">
          <a:avLst/>
        </a:prstGeom>
      </xdr:spPr>
      <xdr:txBody>
        <a:bodyPr wrap="none" fromWordArt="1">
          <a:prstTxWarp prst="textPlain">
            <a:avLst>
              <a:gd name="adj" fmla="val 50000"/>
            </a:avLst>
          </a:prstTxWarp>
        </a:bodyPr>
        <a:lstStyle/>
        <a:p>
          <a:pPr algn="ctr" rtl="0"/>
          <a:r>
            <a:rPr lang="en-US" sz="3600" kern="10" spc="0">
              <a:ln w="9525">
                <a:noFill/>
                <a:round/>
                <a:headEnd/>
                <a:tailEnd/>
              </a:ln>
              <a:solidFill>
                <a:srgbClr val="000000"/>
              </a:solidFill>
              <a:effectLst/>
              <a:latin typeface="Times New Roman"/>
              <a:cs typeface="Times New Roman"/>
            </a:rPr>
            <a:t>2 m</a:t>
          </a:r>
        </a:p>
      </xdr:txBody>
    </xdr:sp>
    <xdr:clientData/>
  </xdr:twoCellAnchor>
  <xdr:twoCellAnchor>
    <xdr:from>
      <xdr:col>41</xdr:col>
      <xdr:colOff>171450</xdr:colOff>
      <xdr:row>28</xdr:row>
      <xdr:rowOff>66675</xdr:rowOff>
    </xdr:from>
    <xdr:to>
      <xdr:col>47</xdr:col>
      <xdr:colOff>38100</xdr:colOff>
      <xdr:row>32</xdr:row>
      <xdr:rowOff>19050</xdr:rowOff>
    </xdr:to>
    <xdr:sp macro="" textlink="">
      <xdr:nvSpPr>
        <xdr:cNvPr id="15508" name="Line 21"/>
        <xdr:cNvSpPr>
          <a:spLocks noChangeShapeType="1"/>
        </xdr:cNvSpPr>
      </xdr:nvSpPr>
      <xdr:spPr bwMode="auto">
        <a:xfrm flipV="1">
          <a:off x="8277225" y="4810125"/>
          <a:ext cx="952500" cy="600075"/>
        </a:xfrm>
        <a:prstGeom prst="line">
          <a:avLst/>
        </a:prstGeom>
        <a:noFill/>
        <a:ln w="38100">
          <a:pattFill prst="zigZag">
            <a:fgClr>
              <a:srgbClr val="0000FF"/>
            </a:fgClr>
            <a:bgClr>
              <a:srgbClr val="33CCCC"/>
            </a:bgClr>
          </a:pattFill>
          <a:round/>
          <a:headEnd/>
          <a:tailEnd/>
        </a:ln>
        <a:extLst>
          <a:ext uri="{909E8E84-426E-40DD-AFC4-6F175D3DCCD1}">
            <a14:hiddenFill xmlns:a14="http://schemas.microsoft.com/office/drawing/2010/main">
              <a:noFill/>
            </a14:hiddenFill>
          </a:ext>
        </a:extLst>
      </xdr:spPr>
    </xdr:sp>
    <xdr:clientData/>
  </xdr:twoCellAnchor>
  <xdr:twoCellAnchor>
    <xdr:from>
      <xdr:col>42</xdr:col>
      <xdr:colOff>104775</xdr:colOff>
      <xdr:row>30</xdr:row>
      <xdr:rowOff>142876</xdr:rowOff>
    </xdr:from>
    <xdr:to>
      <xdr:col>47</xdr:col>
      <xdr:colOff>57150</xdr:colOff>
      <xdr:row>31</xdr:row>
      <xdr:rowOff>47626</xdr:rowOff>
    </xdr:to>
    <xdr:sp macro="" textlink="">
      <xdr:nvSpPr>
        <xdr:cNvPr id="31" name="WordArt 22">
          <a:extLst>
            <a:ext uri="{FF2B5EF4-FFF2-40B4-BE49-F238E27FC236}"/>
          </a:extLst>
        </xdr:cNvPr>
        <xdr:cNvSpPr>
          <a:spLocks noChangeArrowheads="1" noChangeShapeType="1" noTextEdit="1"/>
        </xdr:cNvSpPr>
      </xdr:nvSpPr>
      <xdr:spPr bwMode="auto">
        <a:xfrm rot="-1857826">
          <a:off x="8010525" y="5334001"/>
          <a:ext cx="857250" cy="66675"/>
        </a:xfrm>
        <a:prstGeom prst="rect">
          <a:avLst/>
        </a:prstGeom>
      </xdr:spPr>
      <xdr:txBody>
        <a:bodyPr wrap="none" fromWordArt="1">
          <a:prstTxWarp prst="textPlain">
            <a:avLst>
              <a:gd name="adj" fmla="val 50000"/>
            </a:avLst>
          </a:prstTxWarp>
        </a:bodyPr>
        <a:lstStyle/>
        <a:p>
          <a:pPr algn="ctr" rtl="0"/>
          <a:r>
            <a:rPr lang="en-US" sz="3600" i="1" kern="10" spc="0">
              <a:ln w="9525">
                <a:noFill/>
                <a:round/>
                <a:headEnd/>
                <a:tailEnd/>
              </a:ln>
              <a:solidFill>
                <a:srgbClr val="000000"/>
              </a:solidFill>
              <a:effectLst/>
              <a:latin typeface="Times New Roman"/>
              <a:cs typeface="Times New Roman"/>
            </a:rPr>
            <a:t>Saluran Air / Selokan</a:t>
          </a:r>
        </a:p>
      </xdr:txBody>
    </xdr:sp>
    <xdr:clientData/>
  </xdr:twoCellAnchor>
  <xdr:twoCellAnchor>
    <xdr:from>
      <xdr:col>56</xdr:col>
      <xdr:colOff>95250</xdr:colOff>
      <xdr:row>17</xdr:row>
      <xdr:rowOff>39161</xdr:rowOff>
    </xdr:from>
    <xdr:to>
      <xdr:col>62</xdr:col>
      <xdr:colOff>158862</xdr:colOff>
      <xdr:row>20</xdr:row>
      <xdr:rowOff>47702</xdr:rowOff>
    </xdr:to>
    <xdr:sp macro="" textlink="">
      <xdr:nvSpPr>
        <xdr:cNvPr id="34" name="Freeform 33">
          <a:extLst>
            <a:ext uri="{FF2B5EF4-FFF2-40B4-BE49-F238E27FC236}"/>
          </a:extLst>
        </xdr:cNvPr>
        <xdr:cNvSpPr/>
      </xdr:nvSpPr>
      <xdr:spPr>
        <a:xfrm>
          <a:off x="10830485" y="2952690"/>
          <a:ext cx="1139377" cy="479188"/>
        </a:xfrm>
        <a:custGeom>
          <a:avLst/>
          <a:gdLst>
            <a:gd name="connsiteX0" fmla="*/ 0 w 1010478"/>
            <a:gd name="connsiteY0" fmla="*/ 414130 h 463826"/>
            <a:gd name="connsiteX1" fmla="*/ 919369 w 1010478"/>
            <a:gd name="connsiteY1" fmla="*/ 463826 h 463826"/>
            <a:gd name="connsiteX2" fmla="*/ 969065 w 1010478"/>
            <a:gd name="connsiteY2" fmla="*/ 438978 h 463826"/>
            <a:gd name="connsiteX3" fmla="*/ 993913 w 1010478"/>
            <a:gd name="connsiteY3" fmla="*/ 422413 h 463826"/>
            <a:gd name="connsiteX4" fmla="*/ 1010478 w 1010478"/>
            <a:gd name="connsiteY4" fmla="*/ 381000 h 463826"/>
            <a:gd name="connsiteX5" fmla="*/ 919369 w 1010478"/>
            <a:gd name="connsiteY5" fmla="*/ 0 h 463826"/>
            <a:gd name="connsiteX6" fmla="*/ 919369 w 1010478"/>
            <a:gd name="connsiteY6" fmla="*/ 0 h 463826"/>
            <a:gd name="connsiteX0" fmla="*/ 0 w 1010478"/>
            <a:gd name="connsiteY0" fmla="*/ 414130 h 463826"/>
            <a:gd name="connsiteX1" fmla="*/ 919369 w 1010478"/>
            <a:gd name="connsiteY1" fmla="*/ 463826 h 463826"/>
            <a:gd name="connsiteX2" fmla="*/ 969065 w 1010478"/>
            <a:gd name="connsiteY2" fmla="*/ 438978 h 463826"/>
            <a:gd name="connsiteX3" fmla="*/ 993913 w 1010478"/>
            <a:gd name="connsiteY3" fmla="*/ 422413 h 463826"/>
            <a:gd name="connsiteX4" fmla="*/ 1010478 w 1010478"/>
            <a:gd name="connsiteY4" fmla="*/ 381000 h 463826"/>
            <a:gd name="connsiteX5" fmla="*/ 919369 w 1010478"/>
            <a:gd name="connsiteY5" fmla="*/ 0 h 463826"/>
            <a:gd name="connsiteX0" fmla="*/ 0 w 1010478"/>
            <a:gd name="connsiteY0" fmla="*/ 457171 h 506867"/>
            <a:gd name="connsiteX1" fmla="*/ 919369 w 1010478"/>
            <a:gd name="connsiteY1" fmla="*/ 506867 h 506867"/>
            <a:gd name="connsiteX2" fmla="*/ 969065 w 1010478"/>
            <a:gd name="connsiteY2" fmla="*/ 482019 h 506867"/>
            <a:gd name="connsiteX3" fmla="*/ 993913 w 1010478"/>
            <a:gd name="connsiteY3" fmla="*/ 465454 h 506867"/>
            <a:gd name="connsiteX4" fmla="*/ 1010478 w 1010478"/>
            <a:gd name="connsiteY4" fmla="*/ 424041 h 506867"/>
            <a:gd name="connsiteX5" fmla="*/ 943578 w 1010478"/>
            <a:gd name="connsiteY5" fmla="*/ 0 h 506867"/>
            <a:gd name="connsiteX0" fmla="*/ 147888 w 1158366"/>
            <a:gd name="connsiteY0" fmla="*/ 457171 h 506867"/>
            <a:gd name="connsiteX1" fmla="*/ 0 w 1158366"/>
            <a:gd name="connsiteY1" fmla="*/ 444578 h 506867"/>
            <a:gd name="connsiteX2" fmla="*/ 1067257 w 1158366"/>
            <a:gd name="connsiteY2" fmla="*/ 506867 h 506867"/>
            <a:gd name="connsiteX3" fmla="*/ 1116953 w 1158366"/>
            <a:gd name="connsiteY3" fmla="*/ 482019 h 506867"/>
            <a:gd name="connsiteX4" fmla="*/ 1141801 w 1158366"/>
            <a:gd name="connsiteY4" fmla="*/ 465454 h 506867"/>
            <a:gd name="connsiteX5" fmla="*/ 1158366 w 1158366"/>
            <a:gd name="connsiteY5" fmla="*/ 424041 h 506867"/>
            <a:gd name="connsiteX6" fmla="*/ 1091466 w 1158366"/>
            <a:gd name="connsiteY6" fmla="*/ 0 h 50686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58366" h="506867">
              <a:moveTo>
                <a:pt x="147888" y="457171"/>
              </a:moveTo>
              <a:lnTo>
                <a:pt x="0" y="444578"/>
              </a:lnTo>
              <a:lnTo>
                <a:pt x="1067257" y="506867"/>
              </a:lnTo>
              <a:lnTo>
                <a:pt x="1116953" y="482019"/>
              </a:lnTo>
              <a:lnTo>
                <a:pt x="1141801" y="465454"/>
              </a:lnTo>
              <a:lnTo>
                <a:pt x="1158366" y="424041"/>
              </a:lnTo>
              <a:lnTo>
                <a:pt x="1091466" y="0"/>
              </a:lnTo>
            </a:path>
          </a:pathLst>
        </a:cu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endParaRPr lang="en-US"/>
        </a:p>
      </xdr:txBody>
    </xdr:sp>
    <xdr:clientData/>
  </xdr:twoCellAnchor>
  <xdr:twoCellAnchor>
    <xdr:from>
      <xdr:col>54</xdr:col>
      <xdr:colOff>25071</xdr:colOff>
      <xdr:row>38</xdr:row>
      <xdr:rowOff>31174</xdr:rowOff>
    </xdr:from>
    <xdr:to>
      <xdr:col>69</xdr:col>
      <xdr:colOff>145656</xdr:colOff>
      <xdr:row>39</xdr:row>
      <xdr:rowOff>1896</xdr:rowOff>
    </xdr:to>
    <xdr:sp macro="" textlink="">
      <xdr:nvSpPr>
        <xdr:cNvPr id="35" name="Freeform 34">
          <a:extLst>
            <a:ext uri="{FF2B5EF4-FFF2-40B4-BE49-F238E27FC236}"/>
          </a:extLst>
        </xdr:cNvPr>
        <xdr:cNvSpPr/>
      </xdr:nvSpPr>
      <xdr:spPr>
        <a:xfrm>
          <a:off x="10401718" y="6003909"/>
          <a:ext cx="2809997" cy="127605"/>
        </a:xfrm>
        <a:custGeom>
          <a:avLst/>
          <a:gdLst>
            <a:gd name="connsiteX0" fmla="*/ 0 w 1010478"/>
            <a:gd name="connsiteY0" fmla="*/ 414130 h 463826"/>
            <a:gd name="connsiteX1" fmla="*/ 919369 w 1010478"/>
            <a:gd name="connsiteY1" fmla="*/ 463826 h 463826"/>
            <a:gd name="connsiteX2" fmla="*/ 969065 w 1010478"/>
            <a:gd name="connsiteY2" fmla="*/ 438978 h 463826"/>
            <a:gd name="connsiteX3" fmla="*/ 993913 w 1010478"/>
            <a:gd name="connsiteY3" fmla="*/ 422413 h 463826"/>
            <a:gd name="connsiteX4" fmla="*/ 1010478 w 1010478"/>
            <a:gd name="connsiteY4" fmla="*/ 381000 h 463826"/>
            <a:gd name="connsiteX5" fmla="*/ 919369 w 1010478"/>
            <a:gd name="connsiteY5" fmla="*/ 0 h 463826"/>
            <a:gd name="connsiteX6" fmla="*/ 919369 w 1010478"/>
            <a:gd name="connsiteY6" fmla="*/ 0 h 463826"/>
            <a:gd name="connsiteX0" fmla="*/ 0 w 1010478"/>
            <a:gd name="connsiteY0" fmla="*/ 414130 h 463826"/>
            <a:gd name="connsiteX1" fmla="*/ 919369 w 1010478"/>
            <a:gd name="connsiteY1" fmla="*/ 463826 h 463826"/>
            <a:gd name="connsiteX2" fmla="*/ 969065 w 1010478"/>
            <a:gd name="connsiteY2" fmla="*/ 438978 h 463826"/>
            <a:gd name="connsiteX3" fmla="*/ 993913 w 1010478"/>
            <a:gd name="connsiteY3" fmla="*/ 422413 h 463826"/>
            <a:gd name="connsiteX4" fmla="*/ 1010478 w 1010478"/>
            <a:gd name="connsiteY4" fmla="*/ 381000 h 463826"/>
            <a:gd name="connsiteX5" fmla="*/ 919369 w 1010478"/>
            <a:gd name="connsiteY5" fmla="*/ 0 h 463826"/>
            <a:gd name="connsiteX0" fmla="*/ 0 w 1010478"/>
            <a:gd name="connsiteY0" fmla="*/ 457171 h 506867"/>
            <a:gd name="connsiteX1" fmla="*/ 919369 w 1010478"/>
            <a:gd name="connsiteY1" fmla="*/ 506867 h 506867"/>
            <a:gd name="connsiteX2" fmla="*/ 969065 w 1010478"/>
            <a:gd name="connsiteY2" fmla="*/ 482019 h 506867"/>
            <a:gd name="connsiteX3" fmla="*/ 993913 w 1010478"/>
            <a:gd name="connsiteY3" fmla="*/ 465454 h 506867"/>
            <a:gd name="connsiteX4" fmla="*/ 1010478 w 1010478"/>
            <a:gd name="connsiteY4" fmla="*/ 424041 h 506867"/>
            <a:gd name="connsiteX5" fmla="*/ 943578 w 1010478"/>
            <a:gd name="connsiteY5" fmla="*/ 0 h 506867"/>
            <a:gd name="connsiteX0" fmla="*/ 0 w 1010478"/>
            <a:gd name="connsiteY0" fmla="*/ 457171 h 506867"/>
            <a:gd name="connsiteX1" fmla="*/ 919369 w 1010478"/>
            <a:gd name="connsiteY1" fmla="*/ 506867 h 506867"/>
            <a:gd name="connsiteX2" fmla="*/ 969065 w 1010478"/>
            <a:gd name="connsiteY2" fmla="*/ 482019 h 506867"/>
            <a:gd name="connsiteX3" fmla="*/ 1010478 w 1010478"/>
            <a:gd name="connsiteY3" fmla="*/ 424041 h 506867"/>
            <a:gd name="connsiteX4" fmla="*/ 943578 w 1010478"/>
            <a:gd name="connsiteY4" fmla="*/ 0 h 506867"/>
            <a:gd name="connsiteX0" fmla="*/ 0 w 969065"/>
            <a:gd name="connsiteY0" fmla="*/ 457171 h 506867"/>
            <a:gd name="connsiteX1" fmla="*/ 919369 w 969065"/>
            <a:gd name="connsiteY1" fmla="*/ 506867 h 506867"/>
            <a:gd name="connsiteX2" fmla="*/ 969065 w 969065"/>
            <a:gd name="connsiteY2" fmla="*/ 482019 h 506867"/>
            <a:gd name="connsiteX3" fmla="*/ 943578 w 969065"/>
            <a:gd name="connsiteY3" fmla="*/ 0 h 506867"/>
            <a:gd name="connsiteX0" fmla="*/ 0 w 943578"/>
            <a:gd name="connsiteY0" fmla="*/ 457171 h 506867"/>
            <a:gd name="connsiteX1" fmla="*/ 919369 w 943578"/>
            <a:gd name="connsiteY1" fmla="*/ 506867 h 506867"/>
            <a:gd name="connsiteX2" fmla="*/ 943578 w 943578"/>
            <a:gd name="connsiteY2" fmla="*/ 0 h 506867"/>
            <a:gd name="connsiteX0" fmla="*/ 0 w 919369"/>
            <a:gd name="connsiteY0" fmla="*/ 0 h 49696"/>
            <a:gd name="connsiteX1" fmla="*/ 919369 w 919369"/>
            <a:gd name="connsiteY1" fmla="*/ 49696 h 49696"/>
            <a:gd name="connsiteX0" fmla="*/ 0 w 2844012"/>
            <a:gd name="connsiteY0" fmla="*/ 0 h 135778"/>
            <a:gd name="connsiteX1" fmla="*/ 2844012 w 2844012"/>
            <a:gd name="connsiteY1" fmla="*/ 135778 h 135778"/>
          </a:gdLst>
          <a:ahLst/>
          <a:cxnLst>
            <a:cxn ang="0">
              <a:pos x="connsiteX0" y="connsiteY0"/>
            </a:cxn>
            <a:cxn ang="0">
              <a:pos x="connsiteX1" y="connsiteY1"/>
            </a:cxn>
          </a:cxnLst>
          <a:rect l="l" t="t" r="r" b="b"/>
          <a:pathLst>
            <a:path w="2844012" h="135778">
              <a:moveTo>
                <a:pt x="0" y="0"/>
              </a:moveTo>
              <a:lnTo>
                <a:pt x="2844012" y="135778"/>
              </a:lnTo>
            </a:path>
          </a:pathLst>
        </a:cu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endParaRPr lang="en-US"/>
        </a:p>
      </xdr:txBody>
    </xdr:sp>
    <xdr:clientData/>
  </xdr:twoCellAnchor>
  <xdr:twoCellAnchor>
    <xdr:from>
      <xdr:col>64</xdr:col>
      <xdr:colOff>39939</xdr:colOff>
      <xdr:row>9</xdr:row>
      <xdr:rowOff>105962</xdr:rowOff>
    </xdr:from>
    <xdr:to>
      <xdr:col>69</xdr:col>
      <xdr:colOff>59445</xdr:colOff>
      <xdr:row>13</xdr:row>
      <xdr:rowOff>114302</xdr:rowOff>
    </xdr:to>
    <xdr:sp macro="" textlink="">
      <xdr:nvSpPr>
        <xdr:cNvPr id="36" name="Freeform 35">
          <a:extLst>
            <a:ext uri="{FF2B5EF4-FFF2-40B4-BE49-F238E27FC236}"/>
          </a:extLst>
        </xdr:cNvPr>
        <xdr:cNvSpPr/>
      </xdr:nvSpPr>
      <xdr:spPr>
        <a:xfrm rot="348566" flipH="1">
          <a:off x="12209527" y="1887697"/>
          <a:ext cx="915977" cy="512605"/>
        </a:xfrm>
        <a:custGeom>
          <a:avLst/>
          <a:gdLst>
            <a:gd name="connsiteX0" fmla="*/ 0 w 1010478"/>
            <a:gd name="connsiteY0" fmla="*/ 414130 h 463826"/>
            <a:gd name="connsiteX1" fmla="*/ 919369 w 1010478"/>
            <a:gd name="connsiteY1" fmla="*/ 463826 h 463826"/>
            <a:gd name="connsiteX2" fmla="*/ 969065 w 1010478"/>
            <a:gd name="connsiteY2" fmla="*/ 438978 h 463826"/>
            <a:gd name="connsiteX3" fmla="*/ 993913 w 1010478"/>
            <a:gd name="connsiteY3" fmla="*/ 422413 h 463826"/>
            <a:gd name="connsiteX4" fmla="*/ 1010478 w 1010478"/>
            <a:gd name="connsiteY4" fmla="*/ 381000 h 463826"/>
            <a:gd name="connsiteX5" fmla="*/ 919369 w 1010478"/>
            <a:gd name="connsiteY5" fmla="*/ 0 h 463826"/>
            <a:gd name="connsiteX6" fmla="*/ 919369 w 1010478"/>
            <a:gd name="connsiteY6" fmla="*/ 0 h 463826"/>
            <a:gd name="connsiteX0" fmla="*/ 0 w 1010478"/>
            <a:gd name="connsiteY0" fmla="*/ 414130 h 463826"/>
            <a:gd name="connsiteX1" fmla="*/ 919369 w 1010478"/>
            <a:gd name="connsiteY1" fmla="*/ 463826 h 463826"/>
            <a:gd name="connsiteX2" fmla="*/ 969065 w 1010478"/>
            <a:gd name="connsiteY2" fmla="*/ 438978 h 463826"/>
            <a:gd name="connsiteX3" fmla="*/ 993913 w 1010478"/>
            <a:gd name="connsiteY3" fmla="*/ 422413 h 463826"/>
            <a:gd name="connsiteX4" fmla="*/ 1010478 w 1010478"/>
            <a:gd name="connsiteY4" fmla="*/ 381000 h 463826"/>
            <a:gd name="connsiteX5" fmla="*/ 919369 w 1010478"/>
            <a:gd name="connsiteY5" fmla="*/ 0 h 463826"/>
            <a:gd name="connsiteX0" fmla="*/ 0 w 1010478"/>
            <a:gd name="connsiteY0" fmla="*/ 457171 h 506867"/>
            <a:gd name="connsiteX1" fmla="*/ 919369 w 1010478"/>
            <a:gd name="connsiteY1" fmla="*/ 506867 h 506867"/>
            <a:gd name="connsiteX2" fmla="*/ 969065 w 1010478"/>
            <a:gd name="connsiteY2" fmla="*/ 482019 h 506867"/>
            <a:gd name="connsiteX3" fmla="*/ 993913 w 1010478"/>
            <a:gd name="connsiteY3" fmla="*/ 465454 h 506867"/>
            <a:gd name="connsiteX4" fmla="*/ 1010478 w 1010478"/>
            <a:gd name="connsiteY4" fmla="*/ 424041 h 506867"/>
            <a:gd name="connsiteX5" fmla="*/ 943578 w 1010478"/>
            <a:gd name="connsiteY5" fmla="*/ 0 h 506867"/>
            <a:gd name="connsiteX0" fmla="*/ 147888 w 1158366"/>
            <a:gd name="connsiteY0" fmla="*/ 457171 h 506867"/>
            <a:gd name="connsiteX1" fmla="*/ 0 w 1158366"/>
            <a:gd name="connsiteY1" fmla="*/ 444578 h 506867"/>
            <a:gd name="connsiteX2" fmla="*/ 1067257 w 1158366"/>
            <a:gd name="connsiteY2" fmla="*/ 506867 h 506867"/>
            <a:gd name="connsiteX3" fmla="*/ 1116953 w 1158366"/>
            <a:gd name="connsiteY3" fmla="*/ 482019 h 506867"/>
            <a:gd name="connsiteX4" fmla="*/ 1141801 w 1158366"/>
            <a:gd name="connsiteY4" fmla="*/ 465454 h 506867"/>
            <a:gd name="connsiteX5" fmla="*/ 1158366 w 1158366"/>
            <a:gd name="connsiteY5" fmla="*/ 424041 h 506867"/>
            <a:gd name="connsiteX6" fmla="*/ 1091466 w 1158366"/>
            <a:gd name="connsiteY6" fmla="*/ 0 h 506867"/>
            <a:gd name="connsiteX0" fmla="*/ 147888 w 1295681"/>
            <a:gd name="connsiteY0" fmla="*/ 491686 h 541382"/>
            <a:gd name="connsiteX1" fmla="*/ 0 w 1295681"/>
            <a:gd name="connsiteY1" fmla="*/ 479093 h 541382"/>
            <a:gd name="connsiteX2" fmla="*/ 1067257 w 1295681"/>
            <a:gd name="connsiteY2" fmla="*/ 541382 h 541382"/>
            <a:gd name="connsiteX3" fmla="*/ 1116953 w 1295681"/>
            <a:gd name="connsiteY3" fmla="*/ 516534 h 541382"/>
            <a:gd name="connsiteX4" fmla="*/ 1141801 w 1295681"/>
            <a:gd name="connsiteY4" fmla="*/ 499969 h 541382"/>
            <a:gd name="connsiteX5" fmla="*/ 1158366 w 1295681"/>
            <a:gd name="connsiteY5" fmla="*/ 458556 h 541382"/>
            <a:gd name="connsiteX6" fmla="*/ 1295681 w 1295681"/>
            <a:gd name="connsiteY6" fmla="*/ 0 h 541382"/>
            <a:gd name="connsiteX0" fmla="*/ 0 w 1147793"/>
            <a:gd name="connsiteY0" fmla="*/ 491686 h 541382"/>
            <a:gd name="connsiteX1" fmla="*/ 919369 w 1147793"/>
            <a:gd name="connsiteY1" fmla="*/ 541382 h 541382"/>
            <a:gd name="connsiteX2" fmla="*/ 969065 w 1147793"/>
            <a:gd name="connsiteY2" fmla="*/ 516534 h 541382"/>
            <a:gd name="connsiteX3" fmla="*/ 993913 w 1147793"/>
            <a:gd name="connsiteY3" fmla="*/ 499969 h 541382"/>
            <a:gd name="connsiteX4" fmla="*/ 1010478 w 1147793"/>
            <a:gd name="connsiteY4" fmla="*/ 458556 h 541382"/>
            <a:gd name="connsiteX5" fmla="*/ 1147793 w 1147793"/>
            <a:gd name="connsiteY5" fmla="*/ 0 h 541382"/>
            <a:gd name="connsiteX0" fmla="*/ 0 w 1147793"/>
            <a:gd name="connsiteY0" fmla="*/ 491686 h 541382"/>
            <a:gd name="connsiteX1" fmla="*/ 219570 w 1147793"/>
            <a:gd name="connsiteY1" fmla="*/ 504624 h 541382"/>
            <a:gd name="connsiteX2" fmla="*/ 919369 w 1147793"/>
            <a:gd name="connsiteY2" fmla="*/ 541382 h 541382"/>
            <a:gd name="connsiteX3" fmla="*/ 969065 w 1147793"/>
            <a:gd name="connsiteY3" fmla="*/ 516534 h 541382"/>
            <a:gd name="connsiteX4" fmla="*/ 993913 w 1147793"/>
            <a:gd name="connsiteY4" fmla="*/ 499969 h 541382"/>
            <a:gd name="connsiteX5" fmla="*/ 1010478 w 1147793"/>
            <a:gd name="connsiteY5" fmla="*/ 458556 h 541382"/>
            <a:gd name="connsiteX6" fmla="*/ 1147793 w 1147793"/>
            <a:gd name="connsiteY6" fmla="*/ 0 h 541382"/>
            <a:gd name="connsiteX0" fmla="*/ 0 w 928223"/>
            <a:gd name="connsiteY0" fmla="*/ 504624 h 541382"/>
            <a:gd name="connsiteX1" fmla="*/ 699799 w 928223"/>
            <a:gd name="connsiteY1" fmla="*/ 541382 h 541382"/>
            <a:gd name="connsiteX2" fmla="*/ 749495 w 928223"/>
            <a:gd name="connsiteY2" fmla="*/ 516534 h 541382"/>
            <a:gd name="connsiteX3" fmla="*/ 774343 w 928223"/>
            <a:gd name="connsiteY3" fmla="*/ 499969 h 541382"/>
            <a:gd name="connsiteX4" fmla="*/ 790908 w 928223"/>
            <a:gd name="connsiteY4" fmla="*/ 458556 h 541382"/>
            <a:gd name="connsiteX5" fmla="*/ 928223 w 928223"/>
            <a:gd name="connsiteY5" fmla="*/ 0 h 54138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928223" h="541382">
              <a:moveTo>
                <a:pt x="0" y="504624"/>
              </a:moveTo>
              <a:lnTo>
                <a:pt x="699799" y="541382"/>
              </a:lnTo>
              <a:lnTo>
                <a:pt x="749495" y="516534"/>
              </a:lnTo>
              <a:lnTo>
                <a:pt x="774343" y="499969"/>
              </a:lnTo>
              <a:lnTo>
                <a:pt x="790908" y="458556"/>
              </a:lnTo>
              <a:lnTo>
                <a:pt x="928223" y="0"/>
              </a:lnTo>
            </a:path>
          </a:pathLst>
        </a:cu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endParaRPr lang="en-US"/>
        </a:p>
      </xdr:txBody>
    </xdr:sp>
    <xdr:clientData/>
  </xdr:twoCellAnchor>
  <xdr:twoCellAnchor>
    <xdr:from>
      <xdr:col>49</xdr:col>
      <xdr:colOff>7903</xdr:colOff>
      <xdr:row>12</xdr:row>
      <xdr:rowOff>113842</xdr:rowOff>
    </xdr:from>
    <xdr:to>
      <xdr:col>55</xdr:col>
      <xdr:colOff>81316</xdr:colOff>
      <xdr:row>22</xdr:row>
      <xdr:rowOff>56758</xdr:rowOff>
    </xdr:to>
    <xdr:sp macro="" textlink="">
      <xdr:nvSpPr>
        <xdr:cNvPr id="38" name="Rectangle 37">
          <a:extLst>
            <a:ext uri="{FF2B5EF4-FFF2-40B4-BE49-F238E27FC236}"/>
          </a:extLst>
        </xdr:cNvPr>
        <xdr:cNvSpPr/>
      </xdr:nvSpPr>
      <xdr:spPr>
        <a:xfrm>
          <a:off x="9488079" y="2242960"/>
          <a:ext cx="1149178" cy="1511739"/>
        </a:xfrm>
        <a:prstGeom prst="rect">
          <a:avLst/>
        </a:prstGeom>
        <a:solidFill>
          <a:schemeClr val="accent2"/>
        </a:solidFill>
        <a:ln w="12700">
          <a:solidFill>
            <a:schemeClr val="tx1"/>
          </a:solidFill>
        </a:ln>
        <a:scene3d>
          <a:camera prst="orthographicFront"/>
          <a:lightRig rig="threePt" dir="t"/>
        </a:scene3d>
        <a:sp3d>
          <a:bevelT w="635000" h="762000" prst="convex"/>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7</xdr:col>
      <xdr:colOff>118027</xdr:colOff>
      <xdr:row>56</xdr:row>
      <xdr:rowOff>152401</xdr:rowOff>
    </xdr:from>
    <xdr:to>
      <xdr:col>10</xdr:col>
      <xdr:colOff>78867</xdr:colOff>
      <xdr:row>57</xdr:row>
      <xdr:rowOff>154472</xdr:rowOff>
    </xdr:to>
    <xdr:sp macro="" textlink="">
      <xdr:nvSpPr>
        <xdr:cNvPr id="32" name="AutoShape 8">
          <a:extLst>
            <a:ext uri="{FF2B5EF4-FFF2-40B4-BE49-F238E27FC236}"/>
          </a:extLst>
        </xdr:cNvPr>
        <xdr:cNvSpPr>
          <a:spLocks/>
        </xdr:cNvSpPr>
      </xdr:nvSpPr>
      <xdr:spPr bwMode="auto">
        <a:xfrm rot="10800000">
          <a:off x="2165902" y="9163051"/>
          <a:ext cx="503765" cy="163996"/>
        </a:xfrm>
        <a:prstGeom prst="borderCallout2">
          <a:avLst>
            <a:gd name="adj1" fmla="val 46564"/>
            <a:gd name="adj2" fmla="val -854"/>
            <a:gd name="adj3" fmla="val 51521"/>
            <a:gd name="adj4" fmla="val -23958"/>
            <a:gd name="adj5" fmla="val -105266"/>
            <a:gd name="adj6" fmla="val -43248"/>
          </a:avLst>
        </a:prstGeom>
        <a:solidFill>
          <a:srgbClr val="FFFF00"/>
        </a:solidFill>
        <a:ln w="19050">
          <a:solidFill>
            <a:srgbClr val="0000CC"/>
          </a:solidFill>
          <a:miter lim="800000"/>
          <a:headEnd/>
          <a:tailEnd type="arrow" w="med" len="med"/>
        </a:ln>
      </xdr:spPr>
      <xdr:txBody>
        <a:bodyPr vertOverflow="clip" wrap="square" lIns="0" tIns="0" rIns="0" bIns="0" anchor="ctr" upright="1"/>
        <a:lstStyle/>
        <a:p>
          <a:pPr algn="ctr" rtl="1">
            <a:defRPr sz="1000"/>
          </a:pPr>
          <a:r>
            <a:rPr lang="en-US" sz="1000" b="1" i="0" strike="noStrike">
              <a:solidFill>
                <a:srgbClr val="000000"/>
              </a:solidFill>
              <a:latin typeface="Arial Narrow" pitchFamily="34" charset="0"/>
              <a:ea typeface="Tahoma"/>
              <a:cs typeface="Tahoma"/>
            </a:rPr>
            <a:t>Data 3</a:t>
          </a:r>
        </a:p>
      </xdr:txBody>
    </xdr:sp>
    <xdr:clientData/>
  </xdr:twoCellAnchor>
  <xdr:twoCellAnchor editAs="oneCell">
    <xdr:from>
      <xdr:col>36</xdr:col>
      <xdr:colOff>76200</xdr:colOff>
      <xdr:row>11</xdr:row>
      <xdr:rowOff>38100</xdr:rowOff>
    </xdr:from>
    <xdr:to>
      <xdr:col>38</xdr:col>
      <xdr:colOff>152400</xdr:colOff>
      <xdr:row>14</xdr:row>
      <xdr:rowOff>104775</xdr:rowOff>
    </xdr:to>
    <xdr:pic>
      <xdr:nvPicPr>
        <xdr:cNvPr id="15515" name="Picture 43" descr="z. Picture12.jp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343775" y="2028825"/>
          <a:ext cx="4381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17</xdr:col>
      <xdr:colOff>142875</xdr:colOff>
      <xdr:row>32</xdr:row>
      <xdr:rowOff>104775</xdr:rowOff>
    </xdr:from>
    <xdr:to>
      <xdr:col>19</xdr:col>
      <xdr:colOff>19050</xdr:colOff>
      <xdr:row>45</xdr:row>
      <xdr:rowOff>95250</xdr:rowOff>
    </xdr:to>
    <xdr:grpSp>
      <xdr:nvGrpSpPr>
        <xdr:cNvPr id="13505" name="Group 5"/>
        <xdr:cNvGrpSpPr>
          <a:grpSpLocks/>
        </xdr:cNvGrpSpPr>
      </xdr:nvGrpSpPr>
      <xdr:grpSpPr bwMode="auto">
        <a:xfrm>
          <a:off x="4610100" y="5676900"/>
          <a:ext cx="238125" cy="2095500"/>
          <a:chOff x="5841" y="7384"/>
          <a:chExt cx="360" cy="2880"/>
        </a:xfrm>
      </xdr:grpSpPr>
      <xdr:sp macro="" textlink="">
        <xdr:nvSpPr>
          <xdr:cNvPr id="13508" name="Line 6"/>
          <xdr:cNvSpPr>
            <a:spLocks noChangeShapeType="1"/>
          </xdr:cNvSpPr>
        </xdr:nvSpPr>
        <xdr:spPr bwMode="auto">
          <a:xfrm>
            <a:off x="6021" y="7384"/>
            <a:ext cx="0" cy="288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509" name="Line 7"/>
          <xdr:cNvSpPr>
            <a:spLocks noChangeShapeType="1"/>
          </xdr:cNvSpPr>
        </xdr:nvSpPr>
        <xdr:spPr bwMode="auto">
          <a:xfrm>
            <a:off x="6201" y="7744"/>
            <a:ext cx="0" cy="216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510" name="Line 8"/>
          <xdr:cNvSpPr>
            <a:spLocks noChangeShapeType="1"/>
          </xdr:cNvSpPr>
        </xdr:nvSpPr>
        <xdr:spPr bwMode="auto">
          <a:xfrm>
            <a:off x="5841" y="7744"/>
            <a:ext cx="0" cy="216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10</xdr:col>
      <xdr:colOff>238125</xdr:colOff>
      <xdr:row>19</xdr:row>
      <xdr:rowOff>152400</xdr:rowOff>
    </xdr:from>
    <xdr:to>
      <xdr:col>27</xdr:col>
      <xdr:colOff>161925</xdr:colOff>
      <xdr:row>19</xdr:row>
      <xdr:rowOff>152400</xdr:rowOff>
    </xdr:to>
    <xdr:sp macro="" textlink="">
      <xdr:nvSpPr>
        <xdr:cNvPr id="13506" name="Line 7"/>
        <xdr:cNvSpPr>
          <a:spLocks noChangeShapeType="1"/>
        </xdr:cNvSpPr>
      </xdr:nvSpPr>
      <xdr:spPr bwMode="auto">
        <a:xfrm>
          <a:off x="3371850" y="3438525"/>
          <a:ext cx="3057525"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142875</xdr:colOff>
      <xdr:row>50</xdr:row>
      <xdr:rowOff>95250</xdr:rowOff>
    </xdr:from>
    <xdr:to>
      <xdr:col>25</xdr:col>
      <xdr:colOff>85725</xdr:colOff>
      <xdr:row>54</xdr:row>
      <xdr:rowOff>0</xdr:rowOff>
    </xdr:to>
    <xdr:pic>
      <xdr:nvPicPr>
        <xdr:cNvPr id="13507" name="Picture 7" descr="KOP SURAT KJPP ASUS 2016 - Valuation (1).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05225" y="8582025"/>
          <a:ext cx="228600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
      <sheetName val="resume"/>
      <sheetName val="Entry"/>
      <sheetName val="DB"/>
      <sheetName val="BTB"/>
      <sheetName val="BCT"/>
      <sheetName val="Surat-01"/>
      <sheetName val="Surat-02"/>
      <sheetName val="Asumtas"/>
      <sheetName val="Tanah"/>
      <sheetName val="B1"/>
      <sheetName val="FAKTOR LAIN"/>
      <sheetName val="DB-PRINT"/>
      <sheetName val="BCT-PRINT"/>
      <sheetName val="Foto"/>
      <sheetName val="Gbr-Peta"/>
      <sheetName val="TAKOT"/>
      <sheetName val="Gbr-Peta (2)"/>
      <sheetName val="CVR"/>
    </sheetNames>
    <sheetDataSet>
      <sheetData sheetId="0"/>
      <sheetData sheetId="1"/>
      <sheetData sheetId="2">
        <row r="9">
          <cell r="L9" t="str">
            <v>0336-RTL/KJPP-ASUS/I/18</v>
          </cell>
        </row>
        <row r="26">
          <cell r="L26" t="str">
            <v>Jaminan/Agunan Kredit</v>
          </cell>
        </row>
      </sheetData>
      <sheetData sheetId="3"/>
      <sheetData sheetId="4"/>
      <sheetData sheetId="5"/>
      <sheetData sheetId="6">
        <row r="30">
          <cell r="N30" t="str">
            <v>PT. BANK RAKYAT INDONESIA (PERSERO), Tbk.</v>
          </cell>
        </row>
        <row r="31">
          <cell r="N31" t="str">
            <v>H. UJANG WAHYUDI</v>
          </cell>
        </row>
        <row r="32">
          <cell r="N32" t="str">
            <v>0811 873 152</v>
          </cell>
        </row>
        <row r="37">
          <cell r="J37" t="str">
            <v>Pondok Indah</v>
          </cell>
        </row>
        <row r="38">
          <cell r="J38" t="str">
            <v>Via Telepon</v>
          </cell>
        </row>
        <row r="39">
          <cell r="J39">
            <v>43115</v>
          </cell>
        </row>
        <row r="40">
          <cell r="J40" t="str">
            <v>Bpk. Agus</v>
          </cell>
        </row>
        <row r="41">
          <cell r="J41" t="str">
            <v>Account Officer</v>
          </cell>
        </row>
      </sheetData>
      <sheetData sheetId="7">
        <row r="15">
          <cell r="P15">
            <v>250</v>
          </cell>
          <cell r="T15">
            <v>3030000000</v>
          </cell>
        </row>
        <row r="16">
          <cell r="P16">
            <v>107.99999999999999</v>
          </cell>
          <cell r="T16">
            <v>296167300</v>
          </cell>
        </row>
        <row r="17">
          <cell r="T17">
            <v>42330000.000000007</v>
          </cell>
        </row>
        <row r="20">
          <cell r="T20" t="str">
            <v># Tiga Miliar Tiga Ratus Enam Puluh Delapan Juta - Rupiah #</v>
          </cell>
          <cell r="AD20" t="str">
            <v># Dua Miliar Tiga Ratus Lima Puluh Delapan Juta - Rupiah #</v>
          </cell>
        </row>
      </sheetData>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www.hargamaterial.xyz/harga-asbes/"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1"/>
  </sheetPr>
  <dimension ref="B1:EN974"/>
  <sheetViews>
    <sheetView showGridLines="0" topLeftCell="CG1" zoomScaleNormal="100" workbookViewId="0">
      <selection activeCell="CR32" sqref="CR32"/>
    </sheetView>
  </sheetViews>
  <sheetFormatPr defaultColWidth="10.7109375" defaultRowHeight="11.1" customHeight="1"/>
  <cols>
    <col min="1" max="1" width="2.7109375" style="2" customWidth="1"/>
    <col min="2" max="2" width="33.28515625" style="2" customWidth="1"/>
    <col min="3" max="3" width="22.5703125" style="2" customWidth="1"/>
    <col min="4" max="4" width="1.7109375" style="2" customWidth="1"/>
    <col min="5" max="7" width="19.7109375" style="2" customWidth="1"/>
    <col min="8" max="8" width="1.7109375" style="2" customWidth="1"/>
    <col min="9" max="9" width="27.7109375" style="2" customWidth="1"/>
    <col min="10" max="10" width="25.28515625" style="2" customWidth="1"/>
    <col min="11" max="11" width="3.85546875" style="16" customWidth="1"/>
    <col min="12" max="45" width="10.7109375" style="2" customWidth="1"/>
    <col min="46" max="46" width="1.7109375" style="2" customWidth="1"/>
    <col min="47" max="47" width="28.140625" style="2" customWidth="1"/>
    <col min="48" max="48" width="30" style="2" customWidth="1"/>
    <col min="49" max="49" width="1.7109375" style="2" customWidth="1"/>
    <col min="50" max="50" width="26.85546875" style="2" customWidth="1"/>
    <col min="51" max="51" width="3.85546875" style="55" customWidth="1"/>
    <col min="52" max="52" width="1.7109375" style="2" customWidth="1"/>
    <col min="53" max="53" width="30.140625" style="2" customWidth="1"/>
    <col min="54" max="54" width="23.85546875" style="2" customWidth="1"/>
    <col min="55" max="55" width="1.7109375" style="2" customWidth="1"/>
    <col min="56" max="63" width="14.7109375" style="2" customWidth="1"/>
    <col min="64" max="64" width="1.7109375" style="2" customWidth="1"/>
    <col min="65" max="65" width="13.85546875" style="2" bestFit="1" customWidth="1"/>
    <col min="66" max="66" width="15.7109375" style="2" customWidth="1"/>
    <col min="67" max="67" width="5.7109375" style="194" customWidth="1"/>
    <col min="68" max="68" width="1.7109375" style="63" customWidth="1"/>
    <col min="69" max="69" width="15.7109375" style="2" customWidth="1"/>
    <col min="70" max="70" width="5.7109375" style="194" customWidth="1"/>
    <col min="71" max="71" width="1.7109375" style="63" customWidth="1"/>
    <col min="72" max="72" width="15.7109375" style="2" customWidth="1"/>
    <col min="73" max="73" width="5.7109375" style="194" customWidth="1"/>
    <col min="74" max="74" width="1.7109375" style="63" customWidth="1"/>
    <col min="75" max="75" width="15.7109375" style="2" customWidth="1"/>
    <col min="76" max="76" width="5.7109375" style="194" customWidth="1"/>
    <col min="77" max="77" width="1.7109375" style="63" customWidth="1"/>
    <col min="78" max="78" width="15.7109375" style="2" customWidth="1"/>
    <col min="79" max="79" width="5.7109375" style="194" customWidth="1"/>
    <col min="80" max="80" width="1.7109375" style="63" customWidth="1"/>
    <col min="81" max="81" width="15.7109375" style="2" customWidth="1"/>
    <col min="82" max="82" width="5.7109375" style="194" customWidth="1"/>
    <col min="83" max="83" width="1.7109375" style="63" customWidth="1"/>
    <col min="84" max="84" width="15.7109375" style="2" customWidth="1"/>
    <col min="85" max="85" width="5.7109375" style="194" customWidth="1"/>
    <col min="86" max="86" width="1.7109375" style="63" customWidth="1"/>
    <col min="87" max="87" width="15.7109375" style="2" customWidth="1"/>
    <col min="88" max="88" width="5.7109375" style="194" customWidth="1"/>
    <col min="89" max="89" width="1.7109375" style="2" customWidth="1"/>
    <col min="90" max="90" width="17.140625" style="2" customWidth="1"/>
    <col min="91" max="91" width="1.7109375" style="2" customWidth="1"/>
    <col min="92" max="92" width="12.28515625" style="2" customWidth="1"/>
    <col min="93" max="100" width="10.7109375" style="2" customWidth="1"/>
    <col min="101" max="101" width="1.7109375" style="2" customWidth="1"/>
    <col min="102" max="103" width="6.140625" style="2" customWidth="1"/>
    <col min="104" max="104" width="31.5703125" style="2" bestFit="1" customWidth="1"/>
    <col min="105" max="105" width="9.42578125" style="166" customWidth="1"/>
    <col min="106" max="106" width="1.7109375" style="2" customWidth="1"/>
    <col min="107" max="108" width="4.42578125" style="2" customWidth="1"/>
    <col min="109" max="109" width="32.42578125" style="2" customWidth="1"/>
    <col min="110" max="110" width="8.140625" style="166" customWidth="1"/>
    <col min="111" max="111" width="1.7109375" style="2" customWidth="1"/>
    <col min="112" max="113" width="4.42578125" style="2" customWidth="1"/>
    <col min="114" max="114" width="32.42578125" style="2" customWidth="1"/>
    <col min="115" max="115" width="8.140625" style="166" customWidth="1"/>
    <col min="116" max="116" width="1.7109375" style="2" customWidth="1"/>
    <col min="117" max="117" width="13.7109375" style="2" customWidth="1"/>
    <col min="118" max="118" width="22.5703125" style="2" customWidth="1"/>
    <col min="119" max="119" width="28.140625" style="2" customWidth="1"/>
    <col min="120" max="125" width="22.5703125" style="2" customWidth="1"/>
    <col min="126" max="126" width="1.7109375" style="2" customWidth="1"/>
    <col min="127" max="127" width="5.140625" style="2" customWidth="1"/>
    <col min="128" max="133" width="10.7109375" style="2"/>
    <col min="134" max="134" width="1.7109375" style="2" customWidth="1"/>
    <col min="135" max="135" width="12.42578125" style="2" customWidth="1"/>
    <col min="136" max="136" width="5.7109375" style="2" bestFit="1" customWidth="1"/>
    <col min="137" max="137" width="1.7109375" style="2" customWidth="1"/>
    <col min="138" max="141" width="14" style="55" customWidth="1"/>
    <col min="142" max="144" width="14" style="2" customWidth="1"/>
    <col min="145" max="145" width="1.7109375" style="2" customWidth="1"/>
    <col min="146" max="16384" width="10.7109375" style="2"/>
  </cols>
  <sheetData>
    <row r="1" spans="2:144" ht="11.1" customHeight="1">
      <c r="D1"/>
      <c r="E1"/>
      <c r="F1"/>
      <c r="G1"/>
    </row>
    <row r="2" spans="2:144" ht="11.1" customHeight="1">
      <c r="B2" s="5" t="s">
        <v>1178</v>
      </c>
      <c r="C2" s="5" t="s">
        <v>1197</v>
      </c>
      <c r="D2"/>
      <c r="E2" s="5" t="s">
        <v>1246</v>
      </c>
      <c r="F2" s="5" t="s">
        <v>1278</v>
      </c>
      <c r="G2" s="5" t="s">
        <v>1281</v>
      </c>
      <c r="I2" s="5" t="s">
        <v>55</v>
      </c>
      <c r="J2" s="6"/>
      <c r="K2" s="13"/>
      <c r="L2" s="7" t="s">
        <v>56</v>
      </c>
      <c r="M2" s="8" t="s">
        <v>57</v>
      </c>
      <c r="N2" s="8" t="s">
        <v>58</v>
      </c>
      <c r="O2" s="8" t="s">
        <v>59</v>
      </c>
      <c r="P2" s="8" t="s">
        <v>60</v>
      </c>
      <c r="Q2" s="8" t="s">
        <v>61</v>
      </c>
      <c r="R2" s="8" t="s">
        <v>62</v>
      </c>
      <c r="S2" s="8" t="s">
        <v>63</v>
      </c>
      <c r="T2" s="8" t="s">
        <v>64</v>
      </c>
      <c r="U2" s="8" t="s">
        <v>65</v>
      </c>
      <c r="V2" s="8" t="s">
        <v>66</v>
      </c>
      <c r="W2" s="8" t="s">
        <v>67</v>
      </c>
      <c r="X2" s="8" t="s">
        <v>68</v>
      </c>
      <c r="Y2" s="8" t="s">
        <v>69</v>
      </c>
      <c r="Z2" s="8" t="s">
        <v>70</v>
      </c>
      <c r="AA2" s="8" t="s">
        <v>71</v>
      </c>
      <c r="AB2" s="8" t="s">
        <v>72</v>
      </c>
      <c r="AC2" s="8" t="s">
        <v>73</v>
      </c>
      <c r="AD2" s="8" t="s">
        <v>74</v>
      </c>
      <c r="AE2" s="8" t="s">
        <v>75</v>
      </c>
      <c r="AF2" s="8" t="s">
        <v>76</v>
      </c>
      <c r="AG2" s="8" t="s">
        <v>77</v>
      </c>
      <c r="AH2" s="8" t="s">
        <v>78</v>
      </c>
      <c r="AI2" s="8" t="s">
        <v>79</v>
      </c>
      <c r="AJ2" s="8" t="s">
        <v>80</v>
      </c>
      <c r="AK2" s="8" t="s">
        <v>81</v>
      </c>
      <c r="AL2" s="8" t="s">
        <v>82</v>
      </c>
      <c r="AM2" s="8" t="s">
        <v>83</v>
      </c>
      <c r="AN2" s="8" t="s">
        <v>84</v>
      </c>
      <c r="AO2" s="8" t="s">
        <v>85</v>
      </c>
      <c r="AP2" s="8" t="s">
        <v>86</v>
      </c>
      <c r="AQ2" s="8" t="s">
        <v>87</v>
      </c>
      <c r="AR2" s="8" t="s">
        <v>88</v>
      </c>
      <c r="AS2" s="8" t="s">
        <v>89</v>
      </c>
      <c r="BM2" s="68" t="s">
        <v>1561</v>
      </c>
      <c r="BN2" s="68"/>
      <c r="BO2" s="187"/>
      <c r="BQ2" s="68"/>
      <c r="BR2" s="187"/>
      <c r="BT2" s="68"/>
      <c r="BU2" s="187"/>
      <c r="BW2" s="68"/>
      <c r="BX2" s="187"/>
      <c r="BZ2" s="68"/>
      <c r="CA2" s="187"/>
      <c r="CC2" s="68"/>
      <c r="CD2" s="187"/>
      <c r="CF2" s="68"/>
      <c r="CG2" s="187"/>
      <c r="CI2" s="68"/>
      <c r="CJ2" s="187"/>
      <c r="CL2" s="68" t="s">
        <v>1560</v>
      </c>
      <c r="CM2" s="81"/>
      <c r="CN2" s="68"/>
      <c r="CO2" s="82"/>
      <c r="CP2" s="82"/>
      <c r="CQ2" s="82"/>
      <c r="CR2" s="82"/>
      <c r="CS2" s="82"/>
      <c r="CT2" s="82"/>
      <c r="CU2" s="82"/>
      <c r="CV2" s="82"/>
      <c r="CX2" s="68" t="s">
        <v>1562</v>
      </c>
      <c r="CZ2" s="122"/>
      <c r="DA2" s="177"/>
      <c r="DB2" s="97"/>
    </row>
    <row r="3" spans="2:144" ht="11.1" customHeight="1">
      <c r="B3" s="4" t="s">
        <v>6</v>
      </c>
      <c r="C3" s="4" t="s">
        <v>6</v>
      </c>
      <c r="D3"/>
      <c r="E3" s="4" t="s">
        <v>6</v>
      </c>
      <c r="F3" s="4" t="s">
        <v>6</v>
      </c>
      <c r="G3" s="4" t="s">
        <v>6</v>
      </c>
      <c r="I3" s="4" t="s">
        <v>6</v>
      </c>
      <c r="J3" s="4" t="s">
        <v>6</v>
      </c>
      <c r="K3" s="14"/>
      <c r="L3" s="4" t="s">
        <v>6</v>
      </c>
      <c r="M3" s="4" t="s">
        <v>6</v>
      </c>
      <c r="N3" s="4" t="s">
        <v>6</v>
      </c>
      <c r="O3" s="4" t="s">
        <v>6</v>
      </c>
      <c r="P3" s="4" t="s">
        <v>6</v>
      </c>
      <c r="Q3" s="4" t="s">
        <v>6</v>
      </c>
      <c r="R3" s="4" t="s">
        <v>6</v>
      </c>
      <c r="S3" s="4" t="s">
        <v>6</v>
      </c>
      <c r="T3" s="4" t="s">
        <v>6</v>
      </c>
      <c r="U3" s="4" t="s">
        <v>6</v>
      </c>
      <c r="V3" s="4" t="s">
        <v>6</v>
      </c>
      <c r="W3" s="4" t="s">
        <v>6</v>
      </c>
      <c r="X3" s="4" t="s">
        <v>6</v>
      </c>
      <c r="Y3" s="4" t="s">
        <v>6</v>
      </c>
      <c r="Z3" s="4" t="s">
        <v>6</v>
      </c>
      <c r="AA3" s="4" t="s">
        <v>6</v>
      </c>
      <c r="AB3" s="4" t="s">
        <v>6</v>
      </c>
      <c r="AC3" s="4" t="s">
        <v>6</v>
      </c>
      <c r="AD3" s="4" t="s">
        <v>6</v>
      </c>
      <c r="AE3" s="4" t="s">
        <v>6</v>
      </c>
      <c r="AF3" s="4" t="s">
        <v>6</v>
      </c>
      <c r="AG3" s="4" t="s">
        <v>6</v>
      </c>
      <c r="AH3" s="4" t="s">
        <v>6</v>
      </c>
      <c r="AI3" s="4" t="s">
        <v>6</v>
      </c>
      <c r="AJ3" s="4" t="s">
        <v>6</v>
      </c>
      <c r="AK3" s="4" t="s">
        <v>6</v>
      </c>
      <c r="AL3" s="4" t="s">
        <v>6</v>
      </c>
      <c r="AM3" s="4" t="s">
        <v>6</v>
      </c>
      <c r="AN3" s="4" t="s">
        <v>6</v>
      </c>
      <c r="AO3" s="4" t="s">
        <v>6</v>
      </c>
      <c r="AP3" s="4" t="s">
        <v>6</v>
      </c>
      <c r="AQ3" s="4" t="s">
        <v>6</v>
      </c>
      <c r="AR3" s="4" t="s">
        <v>6</v>
      </c>
      <c r="AS3" s="4" t="s">
        <v>6</v>
      </c>
      <c r="AU3" s="1" t="s">
        <v>1381</v>
      </c>
      <c r="AV3" s="1"/>
      <c r="AX3" s="57" t="s">
        <v>1391</v>
      </c>
      <c r="AY3" s="56"/>
      <c r="BA3" s="57" t="s">
        <v>1505</v>
      </c>
      <c r="BB3" s="57"/>
      <c r="BD3" s="64" t="s">
        <v>1415</v>
      </c>
      <c r="BE3" s="64" t="s">
        <v>1416</v>
      </c>
      <c r="BF3" s="64" t="s">
        <v>1417</v>
      </c>
      <c r="BG3" s="64" t="s">
        <v>1418</v>
      </c>
      <c r="BH3" s="64" t="s">
        <v>1283</v>
      </c>
      <c r="BI3" s="64" t="s">
        <v>1486</v>
      </c>
      <c r="BJ3" s="64" t="s">
        <v>1487</v>
      </c>
      <c r="BK3" s="64" t="s">
        <v>1488</v>
      </c>
      <c r="BM3" s="69"/>
      <c r="BN3" s="70"/>
      <c r="BO3" s="188"/>
      <c r="BQ3" s="70"/>
      <c r="BR3" s="188"/>
      <c r="BT3" s="70"/>
      <c r="BU3" s="188"/>
      <c r="BW3" s="70"/>
      <c r="BX3" s="188"/>
      <c r="BZ3" s="70"/>
      <c r="CA3" s="188"/>
      <c r="CC3" s="70"/>
      <c r="CD3" s="188"/>
      <c r="CF3" s="70"/>
      <c r="CG3" s="188"/>
      <c r="CI3" s="70"/>
      <c r="CJ3" s="188"/>
      <c r="CL3" s="82"/>
      <c r="CM3" s="81"/>
      <c r="CN3" s="82"/>
      <c r="CO3" s="82"/>
      <c r="CP3" s="82"/>
      <c r="CQ3" s="82"/>
      <c r="CR3" s="82"/>
      <c r="CS3" s="82"/>
      <c r="CT3" s="82"/>
      <c r="CU3" s="82"/>
      <c r="CV3" s="82"/>
      <c r="CX3" s="113"/>
      <c r="CY3" s="113"/>
      <c r="CZ3" s="114"/>
      <c r="DA3" s="178"/>
      <c r="EH3" s="201"/>
      <c r="EI3" s="201"/>
      <c r="EJ3" s="201"/>
      <c r="EK3" s="201"/>
      <c r="EL3" s="226" t="s">
        <v>1665</v>
      </c>
      <c r="EM3" s="226" t="s">
        <v>1666</v>
      </c>
      <c r="EN3" s="226" t="s">
        <v>1667</v>
      </c>
    </row>
    <row r="4" spans="2:144" ht="11.1" customHeight="1">
      <c r="B4" s="22" t="s">
        <v>1177</v>
      </c>
      <c r="C4" s="22" t="s">
        <v>1177</v>
      </c>
      <c r="D4"/>
      <c r="E4" s="3" t="s">
        <v>1206</v>
      </c>
      <c r="F4" s="3" t="s">
        <v>1206</v>
      </c>
      <c r="G4" s="3" t="s">
        <v>1279</v>
      </c>
      <c r="I4" s="17" t="s">
        <v>19</v>
      </c>
      <c r="J4" s="20" t="s">
        <v>90</v>
      </c>
      <c r="K4" s="15"/>
      <c r="L4" s="9" t="s">
        <v>91</v>
      </c>
      <c r="M4" s="10" t="s">
        <v>92</v>
      </c>
      <c r="N4" s="11" t="s">
        <v>93</v>
      </c>
      <c r="O4" s="9" t="s">
        <v>94</v>
      </c>
      <c r="P4" s="9" t="s">
        <v>95</v>
      </c>
      <c r="Q4" s="9" t="s">
        <v>96</v>
      </c>
      <c r="R4" s="9" t="s">
        <v>97</v>
      </c>
      <c r="S4" s="9" t="s">
        <v>98</v>
      </c>
      <c r="T4" s="9" t="s">
        <v>99</v>
      </c>
      <c r="U4" s="9" t="s">
        <v>100</v>
      </c>
      <c r="V4" s="9" t="s">
        <v>101</v>
      </c>
      <c r="W4" s="9" t="s">
        <v>102</v>
      </c>
      <c r="X4" s="9" t="s">
        <v>103</v>
      </c>
      <c r="Y4" s="9" t="s">
        <v>104</v>
      </c>
      <c r="Z4" s="9" t="s">
        <v>105</v>
      </c>
      <c r="AA4" s="9" t="s">
        <v>106</v>
      </c>
      <c r="AB4" s="9" t="s">
        <v>107</v>
      </c>
      <c r="AC4" s="9" t="s">
        <v>108</v>
      </c>
      <c r="AD4" s="9" t="s">
        <v>109</v>
      </c>
      <c r="AE4" s="9" t="s">
        <v>110</v>
      </c>
      <c r="AF4" s="9" t="s">
        <v>111</v>
      </c>
      <c r="AG4" s="9" t="s">
        <v>112</v>
      </c>
      <c r="AH4" s="9" t="s">
        <v>113</v>
      </c>
      <c r="AI4" s="9" t="s">
        <v>114</v>
      </c>
      <c r="AJ4" s="9" t="s">
        <v>115</v>
      </c>
      <c r="AK4" s="9" t="s">
        <v>116</v>
      </c>
      <c r="AL4" s="9" t="s">
        <v>117</v>
      </c>
      <c r="AM4" s="9" t="s">
        <v>118</v>
      </c>
      <c r="AN4" s="9" t="s">
        <v>119</v>
      </c>
      <c r="AO4" s="9" t="s">
        <v>120</v>
      </c>
      <c r="AP4" s="9" t="s">
        <v>121</v>
      </c>
      <c r="AQ4" s="9" t="s">
        <v>122</v>
      </c>
      <c r="AR4" s="9" t="s">
        <v>123</v>
      </c>
      <c r="AS4" s="9" t="s">
        <v>124</v>
      </c>
      <c r="AU4" s="4" t="s">
        <v>6</v>
      </c>
      <c r="AV4" s="4" t="s">
        <v>6</v>
      </c>
      <c r="AX4" s="4" t="s">
        <v>6</v>
      </c>
      <c r="AY4" s="56">
        <v>0</v>
      </c>
      <c r="BA4" s="4" t="s">
        <v>6</v>
      </c>
      <c r="BB4" s="4" t="s">
        <v>6</v>
      </c>
      <c r="BD4" s="3" t="s">
        <v>1565</v>
      </c>
      <c r="BE4" s="3" t="s">
        <v>1566</v>
      </c>
      <c r="BF4" s="3" t="s">
        <v>1567</v>
      </c>
      <c r="BG4" s="3" t="s">
        <v>1568</v>
      </c>
      <c r="BH4" s="3" t="s">
        <v>1569</v>
      </c>
      <c r="BI4" s="3" t="s">
        <v>1570</v>
      </c>
      <c r="BJ4" s="3" t="s">
        <v>1571</v>
      </c>
      <c r="BK4" s="3" t="s">
        <v>1572</v>
      </c>
      <c r="BM4" s="71" t="s">
        <v>1289</v>
      </c>
      <c r="BN4" s="195" t="s">
        <v>1415</v>
      </c>
      <c r="BO4" s="212"/>
      <c r="BQ4" s="195" t="s">
        <v>1416</v>
      </c>
      <c r="BR4" s="212"/>
      <c r="BT4" s="195" t="s">
        <v>1417</v>
      </c>
      <c r="BU4" s="212"/>
      <c r="BV4" s="77"/>
      <c r="BW4" s="195" t="s">
        <v>1418</v>
      </c>
      <c r="BX4" s="212"/>
      <c r="BY4" s="77"/>
      <c r="BZ4" s="195" t="s">
        <v>1283</v>
      </c>
      <c r="CA4" s="212"/>
      <c r="CB4" s="77"/>
      <c r="CC4" s="195" t="s">
        <v>1486</v>
      </c>
      <c r="CD4" s="212"/>
      <c r="CE4" s="77"/>
      <c r="CF4" s="195" t="s">
        <v>1487</v>
      </c>
      <c r="CG4" s="212"/>
      <c r="CH4" s="77"/>
      <c r="CI4" s="195" t="s">
        <v>1488</v>
      </c>
      <c r="CJ4" s="212"/>
      <c r="CL4" s="96" t="s">
        <v>1520</v>
      </c>
      <c r="CM4" s="94" t="s">
        <v>5</v>
      </c>
      <c r="CN4" s="1300" t="s">
        <v>1531</v>
      </c>
      <c r="CO4" s="1301"/>
      <c r="CP4" s="1302"/>
      <c r="CQ4" s="82"/>
      <c r="CR4" s="82"/>
      <c r="CS4" s="82"/>
      <c r="CT4" s="82"/>
      <c r="CU4" s="82"/>
      <c r="CV4" s="82"/>
      <c r="CX4" s="115" t="s">
        <v>1192</v>
      </c>
      <c r="CY4" s="115" t="s">
        <v>1535</v>
      </c>
      <c r="CZ4" s="116" t="s">
        <v>1536</v>
      </c>
      <c r="DA4" s="176" t="s">
        <v>1537</v>
      </c>
      <c r="DC4" s="155" t="s">
        <v>1192</v>
      </c>
      <c r="DD4" s="156" t="s">
        <v>1535</v>
      </c>
      <c r="DE4" s="157" t="s">
        <v>1629</v>
      </c>
      <c r="DF4" s="167" t="s">
        <v>1537</v>
      </c>
      <c r="DG4" s="158"/>
      <c r="DH4" s="155" t="s">
        <v>1192</v>
      </c>
      <c r="DI4" s="156" t="s">
        <v>1535</v>
      </c>
      <c r="DJ4" s="157" t="s">
        <v>1629</v>
      </c>
      <c r="DK4" s="167" t="s">
        <v>1537</v>
      </c>
      <c r="DM4" s="198"/>
      <c r="DN4" s="141" t="s">
        <v>1415</v>
      </c>
      <c r="DO4" s="141" t="s">
        <v>1416</v>
      </c>
      <c r="DP4" s="141" t="s">
        <v>1417</v>
      </c>
      <c r="DQ4" s="141" t="s">
        <v>1418</v>
      </c>
      <c r="DR4" s="141" t="s">
        <v>1283</v>
      </c>
      <c r="DS4" s="141" t="s">
        <v>1486</v>
      </c>
      <c r="DT4" s="141" t="s">
        <v>1487</v>
      </c>
      <c r="DU4" s="142" t="s">
        <v>1488</v>
      </c>
      <c r="DW4" s="218"/>
      <c r="DX4" s="217" t="s">
        <v>1671</v>
      </c>
      <c r="DY4" s="217" t="s">
        <v>1672</v>
      </c>
      <c r="DZ4" s="217" t="s">
        <v>1673</v>
      </c>
      <c r="EA4" s="217" t="s">
        <v>1674</v>
      </c>
      <c r="EB4" s="217" t="s">
        <v>1675</v>
      </c>
      <c r="EC4" s="217" t="s">
        <v>1676</v>
      </c>
      <c r="EE4" s="213" t="s">
        <v>1679</v>
      </c>
      <c r="EF4" s="214" t="s">
        <v>1290</v>
      </c>
      <c r="EH4" s="202" t="s">
        <v>1193</v>
      </c>
      <c r="EI4" s="241" t="s">
        <v>1415</v>
      </c>
      <c r="EJ4" s="241" t="s">
        <v>1416</v>
      </c>
      <c r="EK4" s="241" t="s">
        <v>1417</v>
      </c>
      <c r="EL4" s="241" t="s">
        <v>1486</v>
      </c>
      <c r="EM4" s="241" t="s">
        <v>1487</v>
      </c>
      <c r="EN4" s="242" t="s">
        <v>1488</v>
      </c>
    </row>
    <row r="5" spans="2:144" ht="11.1" customHeight="1">
      <c r="B5" s="22" t="s">
        <v>1179</v>
      </c>
      <c r="C5" s="22" t="s">
        <v>1244</v>
      </c>
      <c r="D5"/>
      <c r="E5" s="3" t="s">
        <v>1247</v>
      </c>
      <c r="F5" s="3" t="s">
        <v>1207</v>
      </c>
      <c r="G5" s="3" t="s">
        <v>1277</v>
      </c>
      <c r="I5" s="18" t="s">
        <v>22</v>
      </c>
      <c r="J5" s="21" t="s">
        <v>125</v>
      </c>
      <c r="K5" s="15"/>
      <c r="L5" s="12" t="s">
        <v>126</v>
      </c>
      <c r="M5" s="10" t="s">
        <v>127</v>
      </c>
      <c r="N5" s="11" t="s">
        <v>128</v>
      </c>
      <c r="O5" s="9" t="s">
        <v>129</v>
      </c>
      <c r="P5" s="9" t="s">
        <v>130</v>
      </c>
      <c r="Q5" s="9" t="s">
        <v>131</v>
      </c>
      <c r="R5" s="9" t="s">
        <v>132</v>
      </c>
      <c r="S5" s="9" t="s">
        <v>133</v>
      </c>
      <c r="T5" s="9" t="s">
        <v>134</v>
      </c>
      <c r="U5" s="9" t="s">
        <v>135</v>
      </c>
      <c r="V5" s="9" t="s">
        <v>136</v>
      </c>
      <c r="W5" s="9" t="s">
        <v>137</v>
      </c>
      <c r="X5" s="9" t="s">
        <v>138</v>
      </c>
      <c r="Y5" s="9" t="s">
        <v>139</v>
      </c>
      <c r="Z5" s="9" t="s">
        <v>140</v>
      </c>
      <c r="AA5" s="9" t="s">
        <v>141</v>
      </c>
      <c r="AB5" s="9" t="s">
        <v>142</v>
      </c>
      <c r="AC5" s="9" t="s">
        <v>143</v>
      </c>
      <c r="AD5" s="9" t="s">
        <v>144</v>
      </c>
      <c r="AE5" s="9" t="s">
        <v>145</v>
      </c>
      <c r="AF5" s="9" t="s">
        <v>146</v>
      </c>
      <c r="AG5" s="9" t="s">
        <v>147</v>
      </c>
      <c r="AH5" s="9" t="s">
        <v>148</v>
      </c>
      <c r="AI5" s="9" t="s">
        <v>149</v>
      </c>
      <c r="AJ5" s="9" t="s">
        <v>150</v>
      </c>
      <c r="AK5" s="9" t="s">
        <v>151</v>
      </c>
      <c r="AL5" s="9" t="s">
        <v>152</v>
      </c>
      <c r="AM5" s="9" t="s">
        <v>153</v>
      </c>
      <c r="AN5" s="9" t="s">
        <v>154</v>
      </c>
      <c r="AO5" s="9" t="s">
        <v>155</v>
      </c>
      <c r="AP5" s="9" t="s">
        <v>156</v>
      </c>
      <c r="AQ5" s="9" t="s">
        <v>157</v>
      </c>
      <c r="AR5" s="9" t="s">
        <v>158</v>
      </c>
      <c r="AS5" s="9" t="s">
        <v>159</v>
      </c>
      <c r="AU5" s="3" t="s">
        <v>1282</v>
      </c>
      <c r="AV5" s="3" t="s">
        <v>1383</v>
      </c>
      <c r="AX5" s="50" t="s">
        <v>1401</v>
      </c>
      <c r="AY5" s="56">
        <v>10</v>
      </c>
      <c r="BA5" s="50" t="s">
        <v>1415</v>
      </c>
      <c r="BB5" s="64" t="s">
        <v>1489</v>
      </c>
      <c r="BD5" s="3" t="s">
        <v>1573</v>
      </c>
      <c r="BE5" s="3" t="s">
        <v>1574</v>
      </c>
      <c r="BF5" s="3" t="s">
        <v>1575</v>
      </c>
      <c r="BG5" s="3" t="s">
        <v>1576</v>
      </c>
      <c r="BH5" s="3" t="s">
        <v>1577</v>
      </c>
      <c r="BI5" s="3" t="s">
        <v>1578</v>
      </c>
      <c r="BJ5" s="3" t="s">
        <v>1579</v>
      </c>
      <c r="BK5" s="3" t="s">
        <v>1580</v>
      </c>
      <c r="BM5" s="72"/>
      <c r="BN5" s="74" t="s">
        <v>1284</v>
      </c>
      <c r="BO5" s="189" t="s">
        <v>1290</v>
      </c>
      <c r="BP5" s="67"/>
      <c r="BQ5" s="74" t="s">
        <v>1284</v>
      </c>
      <c r="BR5" s="189" t="s">
        <v>1290</v>
      </c>
      <c r="BS5" s="67"/>
      <c r="BT5" s="74" t="s">
        <v>1285</v>
      </c>
      <c r="BU5" s="189" t="s">
        <v>1290</v>
      </c>
      <c r="BV5" s="67"/>
      <c r="BW5" s="74" t="s">
        <v>1285</v>
      </c>
      <c r="BX5" s="189" t="s">
        <v>1290</v>
      </c>
      <c r="BY5" s="67"/>
      <c r="BZ5" s="74" t="s">
        <v>1285</v>
      </c>
      <c r="CA5" s="189" t="s">
        <v>1290</v>
      </c>
      <c r="CB5" s="67"/>
      <c r="CC5" s="78" t="s">
        <v>1367</v>
      </c>
      <c r="CD5" s="189" t="s">
        <v>1290</v>
      </c>
      <c r="CE5" s="67"/>
      <c r="CF5" s="78" t="s">
        <v>1368</v>
      </c>
      <c r="CG5" s="189" t="s">
        <v>1290</v>
      </c>
      <c r="CH5" s="67"/>
      <c r="CI5" s="78" t="s">
        <v>1369</v>
      </c>
      <c r="CJ5" s="189" t="s">
        <v>1290</v>
      </c>
      <c r="CL5" s="96"/>
      <c r="CM5" s="94"/>
      <c r="CN5" s="95"/>
      <c r="CO5" s="95"/>
      <c r="CP5" s="96"/>
      <c r="CQ5" s="82"/>
      <c r="CR5" s="82"/>
      <c r="CS5" s="82"/>
      <c r="CT5" s="82"/>
      <c r="CU5" s="82"/>
      <c r="CV5" s="82"/>
      <c r="CX5" s="117" t="s">
        <v>17</v>
      </c>
      <c r="CY5" s="117">
        <v>3100</v>
      </c>
      <c r="CZ5" s="172" t="s">
        <v>636</v>
      </c>
      <c r="DA5" s="179">
        <f>DF108</f>
        <v>1</v>
      </c>
      <c r="DC5" s="159" t="s">
        <v>7</v>
      </c>
      <c r="DD5" s="159">
        <v>1100</v>
      </c>
      <c r="DE5" s="160" t="s">
        <v>637</v>
      </c>
      <c r="DF5" s="168">
        <v>0.83169427191166312</v>
      </c>
      <c r="DG5" s="161"/>
      <c r="DH5" s="162">
        <v>12</v>
      </c>
      <c r="DI5" s="162">
        <v>1112</v>
      </c>
      <c r="DJ5" s="163" t="s">
        <v>649</v>
      </c>
      <c r="DK5" s="169">
        <v>0.81547619047619047</v>
      </c>
      <c r="DM5" s="196" t="s">
        <v>1291</v>
      </c>
      <c r="DN5" s="197" t="s">
        <v>1292</v>
      </c>
      <c r="DO5" s="197" t="s">
        <v>1292</v>
      </c>
      <c r="DP5" s="197" t="s">
        <v>1292</v>
      </c>
      <c r="DQ5" s="197" t="s">
        <v>1293</v>
      </c>
      <c r="DR5" s="197" t="s">
        <v>1354</v>
      </c>
      <c r="DS5" s="197" t="s">
        <v>1355</v>
      </c>
      <c r="DT5" s="197" t="s">
        <v>1355</v>
      </c>
      <c r="DU5" s="197" t="s">
        <v>1355</v>
      </c>
      <c r="DW5" s="219">
        <v>1</v>
      </c>
      <c r="DX5" s="220" t="s">
        <v>3</v>
      </c>
      <c r="DY5" s="220">
        <v>1</v>
      </c>
      <c r="DZ5" s="220">
        <v>2</v>
      </c>
      <c r="EA5" s="220">
        <v>3</v>
      </c>
      <c r="EB5" s="220">
        <v>4</v>
      </c>
      <c r="EC5" s="220">
        <v>5</v>
      </c>
      <c r="EE5" s="4" t="s">
        <v>6</v>
      </c>
      <c r="EF5" s="215"/>
      <c r="EH5" s="4" t="s">
        <v>6</v>
      </c>
      <c r="EI5" s="239">
        <v>0</v>
      </c>
      <c r="EJ5" s="239">
        <v>0</v>
      </c>
      <c r="EK5" s="239">
        <v>0</v>
      </c>
      <c r="EL5" s="239">
        <v>0</v>
      </c>
      <c r="EM5" s="239">
        <v>0</v>
      </c>
      <c r="EN5" s="239">
        <v>0</v>
      </c>
    </row>
    <row r="6" spans="2:144" ht="11.1" customHeight="1">
      <c r="B6" s="22" t="s">
        <v>1180</v>
      </c>
      <c r="C6" s="22" t="s">
        <v>1245</v>
      </c>
      <c r="D6"/>
      <c r="E6" s="3" t="s">
        <v>1248</v>
      </c>
      <c r="F6" s="3" t="s">
        <v>1208</v>
      </c>
      <c r="G6" s="3" t="s">
        <v>1276</v>
      </c>
      <c r="I6" s="18" t="s">
        <v>23</v>
      </c>
      <c r="J6" s="21" t="s">
        <v>160</v>
      </c>
      <c r="K6" s="15"/>
      <c r="L6" s="12" t="s">
        <v>20</v>
      </c>
      <c r="M6" s="10" t="s">
        <v>161</v>
      </c>
      <c r="N6" s="11" t="s">
        <v>162</v>
      </c>
      <c r="O6" s="9" t="s">
        <v>163</v>
      </c>
      <c r="P6" s="9" t="s">
        <v>164</v>
      </c>
      <c r="Q6" s="9" t="s">
        <v>165</v>
      </c>
      <c r="R6" s="9" t="s">
        <v>166</v>
      </c>
      <c r="S6" s="9" t="s">
        <v>167</v>
      </c>
      <c r="T6" s="9" t="s">
        <v>168</v>
      </c>
      <c r="U6" s="9" t="s">
        <v>169</v>
      </c>
      <c r="V6" s="9" t="s">
        <v>170</v>
      </c>
      <c r="W6" s="9" t="s">
        <v>171</v>
      </c>
      <c r="X6" s="9" t="s">
        <v>172</v>
      </c>
      <c r="Y6" s="9" t="s">
        <v>173</v>
      </c>
      <c r="Z6" s="9" t="s">
        <v>174</v>
      </c>
      <c r="AA6" s="9" t="s">
        <v>175</v>
      </c>
      <c r="AB6" s="9" t="s">
        <v>176</v>
      </c>
      <c r="AC6" s="9" t="s">
        <v>177</v>
      </c>
      <c r="AD6" s="9" t="s">
        <v>178</v>
      </c>
      <c r="AE6" s="9" t="s">
        <v>179</v>
      </c>
      <c r="AF6" s="9" t="s">
        <v>180</v>
      </c>
      <c r="AG6" s="9" t="s">
        <v>181</v>
      </c>
      <c r="AH6" s="9" t="s">
        <v>182</v>
      </c>
      <c r="AI6" s="9" t="s">
        <v>183</v>
      </c>
      <c r="AJ6" s="9" t="s">
        <v>184</v>
      </c>
      <c r="AK6" s="9" t="s">
        <v>185</v>
      </c>
      <c r="AL6" s="9" t="s">
        <v>186</v>
      </c>
      <c r="AM6" s="9" t="s">
        <v>187</v>
      </c>
      <c r="AN6" s="9" t="s">
        <v>188</v>
      </c>
      <c r="AO6" s="9" t="s">
        <v>189</v>
      </c>
      <c r="AP6" s="9" t="s">
        <v>190</v>
      </c>
      <c r="AQ6" s="9" t="s">
        <v>191</v>
      </c>
      <c r="AR6" s="9" t="s">
        <v>192</v>
      </c>
      <c r="AS6" s="9" t="s">
        <v>193</v>
      </c>
      <c r="AU6" s="3" t="s">
        <v>1371</v>
      </c>
      <c r="AV6" s="3" t="s">
        <v>1384</v>
      </c>
      <c r="AX6" s="50" t="s">
        <v>1402</v>
      </c>
      <c r="AY6" s="56">
        <v>20</v>
      </c>
      <c r="BA6" s="50" t="s">
        <v>1416</v>
      </c>
      <c r="BB6" s="64" t="s">
        <v>1490</v>
      </c>
      <c r="BD6" s="3" t="s">
        <v>1605</v>
      </c>
      <c r="BE6" s="3" t="s">
        <v>1606</v>
      </c>
      <c r="BF6" s="3" t="s">
        <v>1607</v>
      </c>
      <c r="BG6" s="3" t="s">
        <v>1608</v>
      </c>
      <c r="BH6" s="3" t="s">
        <v>1609</v>
      </c>
      <c r="BI6" s="3" t="s">
        <v>1610</v>
      </c>
      <c r="BJ6" s="3" t="s">
        <v>1611</v>
      </c>
      <c r="BK6" s="3" t="s">
        <v>1612</v>
      </c>
      <c r="BM6" s="154"/>
      <c r="BN6" s="64" t="s">
        <v>1498</v>
      </c>
      <c r="BO6" s="190"/>
      <c r="BP6" s="67"/>
      <c r="BQ6" s="64" t="s">
        <v>1499</v>
      </c>
      <c r="BR6" s="190"/>
      <c r="BS6" s="67"/>
      <c r="BT6" s="64" t="s">
        <v>1500</v>
      </c>
      <c r="BU6" s="190"/>
      <c r="BV6" s="67"/>
      <c r="BW6" s="64" t="s">
        <v>1501</v>
      </c>
      <c r="BX6" s="190"/>
      <c r="BY6" s="67"/>
      <c r="BZ6" s="64" t="s">
        <v>1497</v>
      </c>
      <c r="CA6" s="190"/>
      <c r="CB6" s="67"/>
      <c r="CC6" s="64" t="s">
        <v>1502</v>
      </c>
      <c r="CD6" s="190"/>
      <c r="CE6" s="67"/>
      <c r="CF6" s="64" t="s">
        <v>1503</v>
      </c>
      <c r="CG6" s="190"/>
      <c r="CH6" s="67"/>
      <c r="CI6" s="64" t="s">
        <v>1504</v>
      </c>
      <c r="CJ6" s="190"/>
      <c r="CL6" s="96" t="s">
        <v>1521</v>
      </c>
      <c r="CM6" s="94" t="s">
        <v>5</v>
      </c>
      <c r="CN6" s="1300" t="s">
        <v>1532</v>
      </c>
      <c r="CO6" s="1301"/>
      <c r="CP6" s="1302"/>
      <c r="CQ6" s="82"/>
      <c r="CR6" s="82"/>
      <c r="CS6" s="82"/>
      <c r="CT6" s="82"/>
      <c r="CU6" s="82"/>
      <c r="CV6" s="82"/>
      <c r="CX6" s="120">
        <v>1</v>
      </c>
      <c r="CY6" s="175">
        <v>3101</v>
      </c>
      <c r="CZ6" s="174" t="s">
        <v>264</v>
      </c>
      <c r="DA6" s="182">
        <f>DF109</f>
        <v>1.0964458247066942</v>
      </c>
      <c r="DC6" s="162">
        <v>1</v>
      </c>
      <c r="DD6" s="162">
        <v>1101</v>
      </c>
      <c r="DE6" s="163" t="s">
        <v>638</v>
      </c>
      <c r="DF6" s="169">
        <v>0.9133022774327122</v>
      </c>
      <c r="DG6" s="161"/>
      <c r="DH6" s="162">
        <v>13</v>
      </c>
      <c r="DI6" s="162">
        <v>1113</v>
      </c>
      <c r="DJ6" s="163" t="s">
        <v>650</v>
      </c>
      <c r="DK6" s="169">
        <v>0.78994133885438222</v>
      </c>
      <c r="DM6" s="196" t="s">
        <v>1295</v>
      </c>
      <c r="DN6" s="197" t="s">
        <v>1292</v>
      </c>
      <c r="DO6" s="197" t="s">
        <v>1292</v>
      </c>
      <c r="DP6" s="197" t="s">
        <v>1292</v>
      </c>
      <c r="DQ6" s="197" t="s">
        <v>1293</v>
      </c>
      <c r="DR6" s="197" t="s">
        <v>1354</v>
      </c>
      <c r="DS6" s="197" t="s">
        <v>1355</v>
      </c>
      <c r="DT6" s="197" t="s">
        <v>1355</v>
      </c>
      <c r="DU6" s="197" t="s">
        <v>1355</v>
      </c>
      <c r="DW6" s="221">
        <v>2</v>
      </c>
      <c r="DX6" s="220">
        <v>1</v>
      </c>
      <c r="DY6" s="220">
        <v>2</v>
      </c>
      <c r="DZ6" s="220">
        <v>4</v>
      </c>
      <c r="EA6" s="220">
        <v>5</v>
      </c>
      <c r="EB6" s="220">
        <v>6</v>
      </c>
      <c r="EC6" s="220">
        <v>7</v>
      </c>
      <c r="EE6" s="216" t="s">
        <v>1671</v>
      </c>
      <c r="EF6" s="217">
        <v>1</v>
      </c>
      <c r="EH6" s="226">
        <v>1</v>
      </c>
      <c r="EI6" s="239">
        <v>0.9174311926605504</v>
      </c>
      <c r="EJ6" s="239">
        <v>0.9174311926605504</v>
      </c>
      <c r="EK6" s="240">
        <v>1</v>
      </c>
      <c r="EL6" s="239">
        <v>0.89285714285714279</v>
      </c>
      <c r="EM6" s="239">
        <v>0</v>
      </c>
      <c r="EN6" s="239">
        <v>0</v>
      </c>
    </row>
    <row r="7" spans="2:144" ht="11.1" customHeight="1">
      <c r="B7" s="22" t="s">
        <v>1181</v>
      </c>
      <c r="C7" s="22" t="s">
        <v>1201</v>
      </c>
      <c r="D7"/>
      <c r="E7" s="3" t="s">
        <v>1207</v>
      </c>
      <c r="F7" s="3" t="s">
        <v>1209</v>
      </c>
      <c r="G7" s="3" t="s">
        <v>1280</v>
      </c>
      <c r="I7" s="18" t="s">
        <v>24</v>
      </c>
      <c r="J7" s="21" t="s">
        <v>194</v>
      </c>
      <c r="K7" s="15"/>
      <c r="L7" s="12" t="s">
        <v>195</v>
      </c>
      <c r="M7" s="10" t="s">
        <v>196</v>
      </c>
      <c r="N7" s="11" t="s">
        <v>197</v>
      </c>
      <c r="O7" s="9" t="s">
        <v>1630</v>
      </c>
      <c r="P7" s="9" t="s">
        <v>198</v>
      </c>
      <c r="Q7" s="9" t="s">
        <v>199</v>
      </c>
      <c r="R7" s="9" t="s">
        <v>200</v>
      </c>
      <c r="S7" s="9" t="s">
        <v>201</v>
      </c>
      <c r="T7" s="9" t="s">
        <v>202</v>
      </c>
      <c r="U7" s="9" t="s">
        <v>203</v>
      </c>
      <c r="V7" s="9" t="s">
        <v>204</v>
      </c>
      <c r="W7" s="9" t="s">
        <v>205</v>
      </c>
      <c r="X7" s="9" t="s">
        <v>206</v>
      </c>
      <c r="Y7" s="9" t="s">
        <v>207</v>
      </c>
      <c r="Z7" s="9" t="s">
        <v>208</v>
      </c>
      <c r="AA7" s="9" t="s">
        <v>209</v>
      </c>
      <c r="AB7" s="9" t="s">
        <v>210</v>
      </c>
      <c r="AC7" s="9" t="s">
        <v>211</v>
      </c>
      <c r="AD7" s="9" t="s">
        <v>212</v>
      </c>
      <c r="AE7" s="9" t="s">
        <v>213</v>
      </c>
      <c r="AF7" s="9" t="s">
        <v>214</v>
      </c>
      <c r="AG7" s="9" t="s">
        <v>215</v>
      </c>
      <c r="AH7" s="9" t="s">
        <v>216</v>
      </c>
      <c r="AI7" s="9" t="s">
        <v>217</v>
      </c>
      <c r="AJ7" s="9" t="s">
        <v>218</v>
      </c>
      <c r="AK7" s="9" t="s">
        <v>219</v>
      </c>
      <c r="AL7" s="9" t="s">
        <v>220</v>
      </c>
      <c r="AM7" s="9" t="s">
        <v>221</v>
      </c>
      <c r="AN7" s="9" t="s">
        <v>222</v>
      </c>
      <c r="AO7" s="9" t="s">
        <v>223</v>
      </c>
      <c r="AP7" s="9" t="s">
        <v>224</v>
      </c>
      <c r="AQ7" s="9" t="s">
        <v>225</v>
      </c>
      <c r="AR7" s="9" t="s">
        <v>226</v>
      </c>
      <c r="AS7" s="9" t="s">
        <v>227</v>
      </c>
      <c r="AU7" s="3" t="s">
        <v>1380</v>
      </c>
      <c r="AV7" s="3" t="s">
        <v>1385</v>
      </c>
      <c r="AX7" s="50" t="s">
        <v>1403</v>
      </c>
      <c r="AY7" s="56">
        <v>30</v>
      </c>
      <c r="BA7" s="50" t="s">
        <v>1417</v>
      </c>
      <c r="BB7" s="64" t="s">
        <v>1491</v>
      </c>
      <c r="BD7" s="3" t="s">
        <v>1613</v>
      </c>
      <c r="BE7" s="3" t="s">
        <v>1614</v>
      </c>
      <c r="BF7" s="3" t="s">
        <v>1615</v>
      </c>
      <c r="BG7" s="3" t="s">
        <v>1616</v>
      </c>
      <c r="BH7" s="3" t="s">
        <v>1617</v>
      </c>
      <c r="BI7" s="3" t="s">
        <v>1618</v>
      </c>
      <c r="BJ7" s="3" t="s">
        <v>1619</v>
      </c>
      <c r="BK7" s="3" t="s">
        <v>1620</v>
      </c>
      <c r="BM7" s="75" t="s">
        <v>1291</v>
      </c>
      <c r="BN7" s="65" t="s">
        <v>1422</v>
      </c>
      <c r="BO7" s="191"/>
      <c r="BP7" s="67"/>
      <c r="BQ7" s="65" t="s">
        <v>1423</v>
      </c>
      <c r="BR7" s="191"/>
      <c r="BS7" s="67"/>
      <c r="BT7" s="65" t="s">
        <v>1424</v>
      </c>
      <c r="BU7" s="191"/>
      <c r="BV7" s="67"/>
      <c r="BW7" s="65" t="s">
        <v>1425</v>
      </c>
      <c r="BX7" s="191"/>
      <c r="BY7" s="67"/>
      <c r="BZ7" s="65" t="s">
        <v>1454</v>
      </c>
      <c r="CA7" s="191"/>
      <c r="CB7" s="67"/>
      <c r="CC7" s="65" t="s">
        <v>1455</v>
      </c>
      <c r="CD7" s="191"/>
      <c r="CE7" s="67"/>
      <c r="CF7" s="65" t="s">
        <v>1456</v>
      </c>
      <c r="CG7" s="191"/>
      <c r="CH7" s="67"/>
      <c r="CI7" s="65" t="s">
        <v>1457</v>
      </c>
      <c r="CJ7" s="191"/>
      <c r="CL7" s="83"/>
      <c r="CM7" s="84"/>
      <c r="CN7" s="85"/>
      <c r="CO7" s="83"/>
      <c r="CP7" s="83"/>
      <c r="CQ7" s="83"/>
      <c r="CR7" s="83"/>
      <c r="CS7" s="83"/>
      <c r="CT7" s="83"/>
      <c r="CU7" s="83"/>
      <c r="CV7" s="83"/>
      <c r="CX7" s="120">
        <v>2</v>
      </c>
      <c r="CY7" s="175">
        <v>3102</v>
      </c>
      <c r="CZ7" s="174" t="s">
        <v>20</v>
      </c>
      <c r="DA7" s="182">
        <f>DF110</f>
        <v>1</v>
      </c>
      <c r="DC7" s="162">
        <v>2</v>
      </c>
      <c r="DD7" s="162">
        <v>1102</v>
      </c>
      <c r="DE7" s="163" t="s">
        <v>639</v>
      </c>
      <c r="DF7" s="169">
        <v>0.80167356797791589</v>
      </c>
      <c r="DG7" s="161"/>
      <c r="DH7" s="162">
        <v>14</v>
      </c>
      <c r="DI7" s="162">
        <v>1114</v>
      </c>
      <c r="DJ7" s="163" t="s">
        <v>651</v>
      </c>
      <c r="DK7" s="169">
        <v>0.73352311939268466</v>
      </c>
      <c r="DM7" s="196" t="s">
        <v>1296</v>
      </c>
      <c r="DN7" s="197" t="s">
        <v>1662</v>
      </c>
      <c r="DO7" s="197" t="s">
        <v>1662</v>
      </c>
      <c r="DP7" s="197" t="s">
        <v>1293</v>
      </c>
      <c r="DQ7" s="197" t="s">
        <v>1293</v>
      </c>
      <c r="DR7" s="197" t="s">
        <v>1631</v>
      </c>
      <c r="DS7" s="197" t="s">
        <v>1669</v>
      </c>
      <c r="DT7" s="197" t="s">
        <v>1669</v>
      </c>
      <c r="DU7" s="197" t="s">
        <v>1669</v>
      </c>
      <c r="DW7" s="221">
        <v>3</v>
      </c>
      <c r="DX7" s="220">
        <v>2</v>
      </c>
      <c r="DY7" s="220">
        <v>3</v>
      </c>
      <c r="DZ7" s="220">
        <v>6</v>
      </c>
      <c r="EA7" s="220">
        <v>7</v>
      </c>
      <c r="EB7" s="220">
        <v>8</v>
      </c>
      <c r="EC7" s="220">
        <v>9</v>
      </c>
      <c r="EE7" s="216" t="s">
        <v>1672</v>
      </c>
      <c r="EF7" s="217">
        <v>2</v>
      </c>
      <c r="EH7" s="226">
        <v>2</v>
      </c>
      <c r="EI7" s="240">
        <v>1</v>
      </c>
      <c r="EJ7" s="240">
        <v>1</v>
      </c>
      <c r="EK7" s="239">
        <v>1.0900000000000001</v>
      </c>
      <c r="EL7" s="239">
        <v>0.9732142857142857</v>
      </c>
      <c r="EM7" s="239">
        <v>0</v>
      </c>
      <c r="EN7" s="239">
        <v>0</v>
      </c>
    </row>
    <row r="8" spans="2:144" ht="11.1" customHeight="1">
      <c r="B8" s="22" t="s">
        <v>1182</v>
      </c>
      <c r="C8" s="22" t="s">
        <v>1239</v>
      </c>
      <c r="D8"/>
      <c r="E8" s="3" t="s">
        <v>1249</v>
      </c>
      <c r="F8" s="3" t="s">
        <v>1210</v>
      </c>
      <c r="G8" s="3"/>
      <c r="I8" s="18" t="s">
        <v>25</v>
      </c>
      <c r="J8" s="21" t="s">
        <v>228</v>
      </c>
      <c r="K8" s="15"/>
      <c r="L8" s="12" t="s">
        <v>229</v>
      </c>
      <c r="M8" s="10" t="s">
        <v>230</v>
      </c>
      <c r="N8" s="11" t="s">
        <v>231</v>
      </c>
      <c r="O8" s="9" t="s">
        <v>232</v>
      </c>
      <c r="P8" s="9" t="s">
        <v>233</v>
      </c>
      <c r="Q8" s="9" t="s">
        <v>234</v>
      </c>
      <c r="R8" s="9" t="s">
        <v>235</v>
      </c>
      <c r="S8" s="9" t="s">
        <v>236</v>
      </c>
      <c r="T8" s="9" t="s">
        <v>237</v>
      </c>
      <c r="U8" s="9" t="s">
        <v>238</v>
      </c>
      <c r="V8" s="9" t="s">
        <v>239</v>
      </c>
      <c r="W8" s="9" t="s">
        <v>240</v>
      </c>
      <c r="X8" s="9" t="s">
        <v>241</v>
      </c>
      <c r="Y8" s="9" t="s">
        <v>242</v>
      </c>
      <c r="Z8" s="9" t="s">
        <v>243</v>
      </c>
      <c r="AA8" s="9" t="s">
        <v>244</v>
      </c>
      <c r="AB8" s="9" t="s">
        <v>245</v>
      </c>
      <c r="AC8" s="9" t="s">
        <v>246</v>
      </c>
      <c r="AD8" s="9" t="s">
        <v>247</v>
      </c>
      <c r="AE8" s="9" t="s">
        <v>248</v>
      </c>
      <c r="AF8" s="9" t="s">
        <v>249</v>
      </c>
      <c r="AG8" s="9" t="s">
        <v>250</v>
      </c>
      <c r="AH8" s="9" t="s">
        <v>251</v>
      </c>
      <c r="AI8" s="9" t="s">
        <v>252</v>
      </c>
      <c r="AJ8" s="9" t="s">
        <v>253</v>
      </c>
      <c r="AK8" s="9" t="s">
        <v>254</v>
      </c>
      <c r="AL8" s="9" t="s">
        <v>255</v>
      </c>
      <c r="AM8" s="9" t="s">
        <v>256</v>
      </c>
      <c r="AN8" s="9" t="s">
        <v>257</v>
      </c>
      <c r="AO8" s="9" t="s">
        <v>258</v>
      </c>
      <c r="AP8" s="9" t="s">
        <v>259</v>
      </c>
      <c r="AQ8" s="9" t="s">
        <v>260</v>
      </c>
      <c r="AR8" s="9" t="s">
        <v>261</v>
      </c>
      <c r="AS8" s="9" t="s">
        <v>262</v>
      </c>
      <c r="AU8" s="3" t="s">
        <v>1376</v>
      </c>
      <c r="AV8" s="3" t="s">
        <v>1399</v>
      </c>
      <c r="AX8" s="50" t="s">
        <v>1404</v>
      </c>
      <c r="AY8" s="56">
        <v>40</v>
      </c>
      <c r="BA8" s="50" t="s">
        <v>1418</v>
      </c>
      <c r="BB8" s="64" t="s">
        <v>1492</v>
      </c>
      <c r="BD8" s="3" t="s">
        <v>1581</v>
      </c>
      <c r="BE8" s="3" t="s">
        <v>1582</v>
      </c>
      <c r="BF8" s="3" t="s">
        <v>1583</v>
      </c>
      <c r="BG8" s="3" t="s">
        <v>1584</v>
      </c>
      <c r="BH8" s="3" t="s">
        <v>1585</v>
      </c>
      <c r="BI8" s="3" t="s">
        <v>1586</v>
      </c>
      <c r="BJ8" s="3" t="s">
        <v>1587</v>
      </c>
      <c r="BK8" s="3" t="s">
        <v>1588</v>
      </c>
      <c r="BM8" s="76">
        <v>1</v>
      </c>
      <c r="BN8" s="207" t="s">
        <v>1670</v>
      </c>
      <c r="BO8" s="192">
        <v>1</v>
      </c>
      <c r="BP8" s="67"/>
      <c r="BQ8" s="207" t="s">
        <v>1670</v>
      </c>
      <c r="BR8" s="192">
        <v>1</v>
      </c>
      <c r="BS8" s="67"/>
      <c r="BT8" s="207" t="s">
        <v>1670</v>
      </c>
      <c r="BU8" s="192">
        <v>1</v>
      </c>
      <c r="BV8" s="67"/>
      <c r="BW8" s="207" t="s">
        <v>1670</v>
      </c>
      <c r="BX8" s="192">
        <v>1</v>
      </c>
      <c r="BY8" s="67"/>
      <c r="BZ8" s="207" t="s">
        <v>1670</v>
      </c>
      <c r="CA8" s="192">
        <v>1</v>
      </c>
      <c r="CB8" s="67"/>
      <c r="CC8" s="207" t="s">
        <v>1670</v>
      </c>
      <c r="CD8" s="192">
        <v>1</v>
      </c>
      <c r="CE8" s="67"/>
      <c r="CF8" s="207" t="s">
        <v>1670</v>
      </c>
      <c r="CG8" s="192">
        <v>1</v>
      </c>
      <c r="CH8" s="67"/>
      <c r="CI8" s="207" t="s">
        <v>1670</v>
      </c>
      <c r="CJ8" s="192">
        <v>1</v>
      </c>
      <c r="CL8" s="1287" t="s">
        <v>1289</v>
      </c>
      <c r="CM8" s="1288"/>
      <c r="CN8" s="1288"/>
      <c r="CO8" s="1303" t="s">
        <v>1415</v>
      </c>
      <c r="CP8" s="1303" t="s">
        <v>1416</v>
      </c>
      <c r="CQ8" s="1303" t="s">
        <v>1417</v>
      </c>
      <c r="CR8" s="1303" t="s">
        <v>1418</v>
      </c>
      <c r="CS8" s="1303" t="s">
        <v>1283</v>
      </c>
      <c r="CT8" s="1303" t="s">
        <v>1486</v>
      </c>
      <c r="CU8" s="1303" t="s">
        <v>1487</v>
      </c>
      <c r="CV8" s="1308" t="s">
        <v>1488</v>
      </c>
      <c r="CX8" s="120">
        <v>3</v>
      </c>
      <c r="CY8" s="175">
        <v>3103</v>
      </c>
      <c r="CZ8" s="174" t="s">
        <v>195</v>
      </c>
      <c r="DA8" s="182">
        <f>DF111</f>
        <v>1</v>
      </c>
      <c r="DC8" s="162">
        <v>3</v>
      </c>
      <c r="DD8" s="162">
        <v>1103</v>
      </c>
      <c r="DE8" s="163" t="s">
        <v>640</v>
      </c>
      <c r="DF8" s="169">
        <v>0.83652518978605928</v>
      </c>
      <c r="DG8" s="161"/>
      <c r="DH8" s="162">
        <v>15</v>
      </c>
      <c r="DI8" s="162">
        <v>1115</v>
      </c>
      <c r="DJ8" s="163" t="s">
        <v>652</v>
      </c>
      <c r="DK8" s="169">
        <v>0.83497239475500351</v>
      </c>
      <c r="DM8" s="196" t="s">
        <v>1298</v>
      </c>
      <c r="DN8" s="197" t="s">
        <v>1632</v>
      </c>
      <c r="DO8" s="197" t="s">
        <v>1304</v>
      </c>
      <c r="DP8" s="197" t="s">
        <v>1635</v>
      </c>
      <c r="DQ8" s="197" t="s">
        <v>1635</v>
      </c>
      <c r="DR8" s="197" t="s">
        <v>1307</v>
      </c>
      <c r="DS8" s="197" t="s">
        <v>1300</v>
      </c>
      <c r="DT8" s="197" t="s">
        <v>1300</v>
      </c>
      <c r="DU8" s="197" t="s">
        <v>1300</v>
      </c>
      <c r="DW8" s="221">
        <v>4</v>
      </c>
      <c r="DX8" s="220">
        <v>3</v>
      </c>
      <c r="DY8" s="220">
        <v>4</v>
      </c>
      <c r="DZ8" s="220">
        <v>8</v>
      </c>
      <c r="EA8" s="220">
        <v>9</v>
      </c>
      <c r="EB8" s="220">
        <v>10</v>
      </c>
      <c r="EC8" s="220">
        <v>11</v>
      </c>
      <c r="EE8" s="216" t="s">
        <v>1673</v>
      </c>
      <c r="EF8" s="217">
        <v>3</v>
      </c>
      <c r="EH8" s="226">
        <v>3</v>
      </c>
      <c r="EI8" s="239">
        <v>1.0275229357798166</v>
      </c>
      <c r="EJ8" s="239">
        <v>1.0275229357798166</v>
      </c>
      <c r="EK8" s="239">
        <v>1.1200000000000001</v>
      </c>
      <c r="EL8" s="240">
        <v>1</v>
      </c>
      <c r="EM8" s="239">
        <v>0</v>
      </c>
      <c r="EN8" s="239">
        <v>0</v>
      </c>
    </row>
    <row r="9" spans="2:144" ht="11.1" customHeight="1">
      <c r="B9" s="22" t="s">
        <v>1183</v>
      </c>
      <c r="C9" s="22" t="s">
        <v>1241</v>
      </c>
      <c r="D9"/>
      <c r="E9" s="3" t="s">
        <v>1250</v>
      </c>
      <c r="F9" s="3" t="s">
        <v>1211</v>
      </c>
      <c r="G9" s="3"/>
      <c r="I9" s="18" t="s">
        <v>26</v>
      </c>
      <c r="J9" s="21" t="s">
        <v>263</v>
      </c>
      <c r="K9" s="15"/>
      <c r="L9" s="12" t="s">
        <v>264</v>
      </c>
      <c r="M9" s="10" t="s">
        <v>265</v>
      </c>
      <c r="N9" s="11" t="s">
        <v>266</v>
      </c>
      <c r="O9" s="9" t="s">
        <v>267</v>
      </c>
      <c r="P9" s="9" t="s">
        <v>268</v>
      </c>
      <c r="Q9" s="9" t="s">
        <v>269</v>
      </c>
      <c r="R9" s="9" t="s">
        <v>270</v>
      </c>
      <c r="S9" s="9" t="s">
        <v>271</v>
      </c>
      <c r="T9" s="9" t="s">
        <v>272</v>
      </c>
      <c r="U9" s="9" t="s">
        <v>273</v>
      </c>
      <c r="V9" s="9" t="s">
        <v>274</v>
      </c>
      <c r="W9" s="9" t="s">
        <v>275</v>
      </c>
      <c r="X9" s="9" t="s">
        <v>276</v>
      </c>
      <c r="Y9" s="12"/>
      <c r="Z9" s="9" t="s">
        <v>277</v>
      </c>
      <c r="AA9" s="9" t="s">
        <v>278</v>
      </c>
      <c r="AB9" s="9" t="s">
        <v>279</v>
      </c>
      <c r="AC9" s="9" t="s">
        <v>280</v>
      </c>
      <c r="AD9" s="9" t="s">
        <v>281</v>
      </c>
      <c r="AE9" s="9" t="s">
        <v>282</v>
      </c>
      <c r="AF9" s="9" t="s">
        <v>283</v>
      </c>
      <c r="AG9" s="9" t="s">
        <v>284</v>
      </c>
      <c r="AH9" s="9" t="s">
        <v>285</v>
      </c>
      <c r="AI9" s="12"/>
      <c r="AJ9" s="9" t="s">
        <v>286</v>
      </c>
      <c r="AK9" s="9" t="s">
        <v>287</v>
      </c>
      <c r="AL9" s="9" t="s">
        <v>288</v>
      </c>
      <c r="AM9" s="9" t="s">
        <v>289</v>
      </c>
      <c r="AN9" s="9" t="s">
        <v>290</v>
      </c>
      <c r="AO9" s="9" t="s">
        <v>291</v>
      </c>
      <c r="AP9" s="9" t="s">
        <v>292</v>
      </c>
      <c r="AQ9" s="9" t="s">
        <v>293</v>
      </c>
      <c r="AR9" s="9" t="s">
        <v>294</v>
      </c>
      <c r="AS9" s="9" t="s">
        <v>295</v>
      </c>
      <c r="AU9" s="3" t="s">
        <v>1377</v>
      </c>
      <c r="AV9" s="3" t="s">
        <v>1386</v>
      </c>
      <c r="AX9" s="50" t="s">
        <v>1405</v>
      </c>
      <c r="AY9" s="56">
        <v>50</v>
      </c>
      <c r="BA9" s="50" t="s">
        <v>1283</v>
      </c>
      <c r="BB9" s="64" t="s">
        <v>1493</v>
      </c>
      <c r="BD9" s="3" t="s">
        <v>1589</v>
      </c>
      <c r="BE9" s="3" t="s">
        <v>1590</v>
      </c>
      <c r="BF9" s="3" t="s">
        <v>1591</v>
      </c>
      <c r="BG9" s="3" t="s">
        <v>1592</v>
      </c>
      <c r="BH9" s="3" t="s">
        <v>1593</v>
      </c>
      <c r="BI9" s="3" t="s">
        <v>1594</v>
      </c>
      <c r="BJ9" s="3" t="s">
        <v>1595</v>
      </c>
      <c r="BK9" s="3" t="s">
        <v>1596</v>
      </c>
      <c r="BM9" s="76">
        <v>2</v>
      </c>
      <c r="BN9" s="66" t="s">
        <v>1292</v>
      </c>
      <c r="BO9" s="192">
        <v>1</v>
      </c>
      <c r="BP9" s="67"/>
      <c r="BQ9" s="66" t="s">
        <v>1292</v>
      </c>
      <c r="BR9" s="192">
        <v>1</v>
      </c>
      <c r="BS9" s="67"/>
      <c r="BT9" s="66" t="s">
        <v>1292</v>
      </c>
      <c r="BU9" s="192">
        <v>1</v>
      </c>
      <c r="BV9" s="67"/>
      <c r="BW9" s="66" t="s">
        <v>1293</v>
      </c>
      <c r="BX9" s="192">
        <v>1</v>
      </c>
      <c r="BY9" s="67"/>
      <c r="BZ9" s="66" t="s">
        <v>1354</v>
      </c>
      <c r="CA9" s="192">
        <v>1</v>
      </c>
      <c r="CB9" s="67"/>
      <c r="CC9" s="66" t="s">
        <v>1355</v>
      </c>
      <c r="CD9" s="192">
        <v>1</v>
      </c>
      <c r="CE9" s="67"/>
      <c r="CF9" s="66" t="s">
        <v>1355</v>
      </c>
      <c r="CG9" s="192">
        <v>1</v>
      </c>
      <c r="CH9" s="67"/>
      <c r="CI9" s="66" t="s">
        <v>1355</v>
      </c>
      <c r="CJ9" s="192">
        <v>1</v>
      </c>
      <c r="CL9" s="1289"/>
      <c r="CM9" s="1290"/>
      <c r="CN9" s="1290"/>
      <c r="CO9" s="1304"/>
      <c r="CP9" s="1304"/>
      <c r="CQ9" s="1304"/>
      <c r="CR9" s="1304"/>
      <c r="CS9" s="1304"/>
      <c r="CT9" s="1304"/>
      <c r="CU9" s="1304"/>
      <c r="CV9" s="1309"/>
      <c r="CX9" s="120">
        <v>4</v>
      </c>
      <c r="CY9" s="175">
        <v>3104</v>
      </c>
      <c r="CZ9" s="174" t="s">
        <v>126</v>
      </c>
      <c r="DA9" s="182">
        <f>DK108</f>
        <v>1</v>
      </c>
      <c r="DC9" s="162">
        <v>4</v>
      </c>
      <c r="DD9" s="162">
        <v>1104</v>
      </c>
      <c r="DE9" s="163" t="s">
        <v>641</v>
      </c>
      <c r="DF9" s="169">
        <v>0.83963077984817114</v>
      </c>
      <c r="DG9" s="161"/>
      <c r="DH9" s="162">
        <v>16</v>
      </c>
      <c r="DI9" s="162">
        <v>1116</v>
      </c>
      <c r="DJ9" s="163" t="s">
        <v>653</v>
      </c>
      <c r="DK9" s="169">
        <v>0.82712215320910965</v>
      </c>
      <c r="DM9" s="196" t="s">
        <v>1507</v>
      </c>
      <c r="DN9" s="197" t="s">
        <v>1639</v>
      </c>
      <c r="DO9" s="197" t="s">
        <v>1640</v>
      </c>
      <c r="DP9" s="197" t="s">
        <v>1642</v>
      </c>
      <c r="DQ9" s="197" t="s">
        <v>1642</v>
      </c>
      <c r="DR9" s="197" t="s">
        <v>1663</v>
      </c>
      <c r="DS9" s="197" t="s">
        <v>1641</v>
      </c>
      <c r="DT9" s="197" t="s">
        <v>1309</v>
      </c>
      <c r="DU9" s="197" t="s">
        <v>1309</v>
      </c>
      <c r="DW9" s="221">
        <v>5</v>
      </c>
      <c r="DX9" s="220">
        <v>4</v>
      </c>
      <c r="DY9" s="220">
        <v>5</v>
      </c>
      <c r="DZ9" s="220">
        <v>10</v>
      </c>
      <c r="EA9" s="220">
        <v>11</v>
      </c>
      <c r="EB9" s="220">
        <v>12</v>
      </c>
      <c r="EC9" s="220">
        <v>13</v>
      </c>
      <c r="EE9" s="216" t="s">
        <v>1674</v>
      </c>
      <c r="EF9" s="217">
        <v>4</v>
      </c>
      <c r="EH9" s="200">
        <v>4</v>
      </c>
      <c r="EI9" s="239">
        <v>1.0412844036697246</v>
      </c>
      <c r="EJ9" s="239">
        <v>1.0412844036697246</v>
      </c>
      <c r="EK9" s="239"/>
      <c r="EL9" s="239">
        <v>1.013392857142857</v>
      </c>
      <c r="EM9" s="243">
        <v>0</v>
      </c>
      <c r="EN9" s="239">
        <v>0</v>
      </c>
    </row>
    <row r="10" spans="2:144" ht="11.1" customHeight="1">
      <c r="B10" s="22" t="s">
        <v>1184</v>
      </c>
      <c r="C10" s="22" t="s">
        <v>1198</v>
      </c>
      <c r="D10"/>
      <c r="E10" s="3" t="s">
        <v>1209</v>
      </c>
      <c r="F10" s="3" t="s">
        <v>1212</v>
      </c>
      <c r="G10" s="3"/>
      <c r="I10" s="18" t="s">
        <v>27</v>
      </c>
      <c r="J10" s="21" t="s">
        <v>296</v>
      </c>
      <c r="K10" s="15"/>
      <c r="L10" s="12"/>
      <c r="M10" s="10" t="s">
        <v>297</v>
      </c>
      <c r="N10" s="11" t="s">
        <v>298</v>
      </c>
      <c r="O10" s="9" t="s">
        <v>299</v>
      </c>
      <c r="P10" s="9" t="s">
        <v>300</v>
      </c>
      <c r="Q10" s="9" t="s">
        <v>301</v>
      </c>
      <c r="R10" s="9" t="s">
        <v>302</v>
      </c>
      <c r="S10" s="9" t="s">
        <v>303</v>
      </c>
      <c r="T10" s="9" t="s">
        <v>304</v>
      </c>
      <c r="U10" s="9" t="s">
        <v>305</v>
      </c>
      <c r="V10" s="9" t="s">
        <v>306</v>
      </c>
      <c r="W10" s="9" t="s">
        <v>307</v>
      </c>
      <c r="X10" s="9" t="s">
        <v>308</v>
      </c>
      <c r="Y10" s="12"/>
      <c r="Z10" s="9" t="s">
        <v>309</v>
      </c>
      <c r="AA10" s="9" t="s">
        <v>310</v>
      </c>
      <c r="AB10" s="9" t="s">
        <v>311</v>
      </c>
      <c r="AC10" s="9" t="s">
        <v>312</v>
      </c>
      <c r="AD10" s="9" t="s">
        <v>313</v>
      </c>
      <c r="AE10" s="9" t="s">
        <v>314</v>
      </c>
      <c r="AF10" s="9" t="s">
        <v>315</v>
      </c>
      <c r="AG10" s="9" t="s">
        <v>316</v>
      </c>
      <c r="AH10" s="9" t="s">
        <v>317</v>
      </c>
      <c r="AI10" s="12"/>
      <c r="AJ10" s="9" t="s">
        <v>318</v>
      </c>
      <c r="AK10" s="9" t="s">
        <v>319</v>
      </c>
      <c r="AL10" s="9" t="s">
        <v>320</v>
      </c>
      <c r="AM10" s="9" t="s">
        <v>321</v>
      </c>
      <c r="AN10" s="12"/>
      <c r="AO10" s="12"/>
      <c r="AP10" s="9" t="s">
        <v>322</v>
      </c>
      <c r="AQ10" s="9" t="s">
        <v>323</v>
      </c>
      <c r="AR10" s="9" t="s">
        <v>324</v>
      </c>
      <c r="AS10" s="9" t="s">
        <v>325</v>
      </c>
      <c r="AU10" s="3" t="s">
        <v>1370</v>
      </c>
      <c r="AV10" s="3" t="s">
        <v>1387</v>
      </c>
      <c r="BA10" s="50" t="s">
        <v>1486</v>
      </c>
      <c r="BB10" s="64" t="s">
        <v>1494</v>
      </c>
      <c r="BD10" s="3" t="s">
        <v>1621</v>
      </c>
      <c r="BE10" s="3" t="s">
        <v>1622</v>
      </c>
      <c r="BF10" s="3" t="s">
        <v>1623</v>
      </c>
      <c r="BG10" s="3" t="s">
        <v>1624</v>
      </c>
      <c r="BH10" s="3" t="s">
        <v>1625</v>
      </c>
      <c r="BI10" s="3" t="s">
        <v>1626</v>
      </c>
      <c r="BJ10" s="3" t="s">
        <v>1627</v>
      </c>
      <c r="BK10" s="3" t="s">
        <v>1628</v>
      </c>
      <c r="BM10" s="76">
        <v>3</v>
      </c>
      <c r="BN10" s="66" t="s">
        <v>1294</v>
      </c>
      <c r="BO10" s="192">
        <v>0.8</v>
      </c>
      <c r="BP10" s="67"/>
      <c r="BQ10" s="66" t="s">
        <v>1293</v>
      </c>
      <c r="BR10" s="192">
        <v>0.8</v>
      </c>
      <c r="BS10" s="67"/>
      <c r="BT10" s="66" t="s">
        <v>1293</v>
      </c>
      <c r="BU10" s="192">
        <v>0.8</v>
      </c>
      <c r="BV10" s="67"/>
      <c r="BW10" s="66" t="s">
        <v>1530</v>
      </c>
      <c r="BX10" s="192"/>
      <c r="BY10" s="67"/>
      <c r="BZ10" s="66" t="s">
        <v>1292</v>
      </c>
      <c r="CA10" s="192">
        <v>0.74999389782518489</v>
      </c>
      <c r="CB10" s="67"/>
      <c r="CC10" s="66" t="s">
        <v>1356</v>
      </c>
      <c r="CD10" s="192">
        <v>2.164269213596568</v>
      </c>
      <c r="CE10" s="67"/>
      <c r="CF10" s="66" t="s">
        <v>1356</v>
      </c>
      <c r="CG10" s="192">
        <v>2.164269213596568</v>
      </c>
      <c r="CH10" s="67"/>
      <c r="CI10" s="66" t="s">
        <v>1356</v>
      </c>
      <c r="CJ10" s="192">
        <v>2.164269213596568</v>
      </c>
      <c r="CL10" s="1289"/>
      <c r="CM10" s="1290"/>
      <c r="CN10" s="1290"/>
      <c r="CO10" s="1304"/>
      <c r="CP10" s="1304"/>
      <c r="CQ10" s="1304"/>
      <c r="CR10" s="1304"/>
      <c r="CS10" s="1304"/>
      <c r="CT10" s="1304"/>
      <c r="CU10" s="1304"/>
      <c r="CV10" s="1309"/>
      <c r="CX10" s="120">
        <v>5</v>
      </c>
      <c r="CY10" s="175">
        <v>3105</v>
      </c>
      <c r="CZ10" s="174" t="s">
        <v>91</v>
      </c>
      <c r="DA10" s="182">
        <f>DK109</f>
        <v>1</v>
      </c>
      <c r="DC10" s="162">
        <v>5</v>
      </c>
      <c r="DD10" s="162">
        <v>1105</v>
      </c>
      <c r="DE10" s="163" t="s">
        <v>642</v>
      </c>
      <c r="DF10" s="169">
        <v>0.85386473429951693</v>
      </c>
      <c r="DG10" s="161"/>
      <c r="DH10" s="162">
        <v>17</v>
      </c>
      <c r="DI10" s="162">
        <v>1117</v>
      </c>
      <c r="DJ10" s="163" t="s">
        <v>654</v>
      </c>
      <c r="DK10" s="169">
        <v>0.8554175293305728</v>
      </c>
      <c r="DM10" s="196" t="s">
        <v>1311</v>
      </c>
      <c r="DN10" s="197" t="s">
        <v>1646</v>
      </c>
      <c r="DO10" s="197" t="s">
        <v>1314</v>
      </c>
      <c r="DP10" s="197" t="s">
        <v>1312</v>
      </c>
      <c r="DQ10" s="197" t="s">
        <v>1313</v>
      </c>
      <c r="DR10" s="197" t="s">
        <v>1312</v>
      </c>
      <c r="DS10" s="197" t="s">
        <v>1312</v>
      </c>
      <c r="DT10" s="197" t="s">
        <v>1646</v>
      </c>
      <c r="DU10" s="197" t="s">
        <v>1646</v>
      </c>
      <c r="DW10" s="221">
        <v>6</v>
      </c>
      <c r="DX10" s="220">
        <v>5</v>
      </c>
      <c r="DY10" s="220">
        <v>7</v>
      </c>
      <c r="DZ10" s="220">
        <v>12</v>
      </c>
      <c r="EA10" s="220">
        <v>13</v>
      </c>
      <c r="EB10" s="220">
        <v>15</v>
      </c>
      <c r="EC10" s="220">
        <v>16</v>
      </c>
      <c r="EE10" s="216" t="s">
        <v>1675</v>
      </c>
      <c r="EF10" s="217">
        <v>5</v>
      </c>
      <c r="EH10" s="200">
        <v>5</v>
      </c>
      <c r="EI10" s="239"/>
      <c r="EJ10" s="239"/>
      <c r="EK10" s="239"/>
      <c r="EL10" s="239"/>
      <c r="EM10" s="239">
        <v>0.91857707509881426</v>
      </c>
      <c r="EN10" s="239">
        <v>0</v>
      </c>
    </row>
    <row r="11" spans="2:144" ht="11.1" customHeight="1">
      <c r="B11" s="22" t="s">
        <v>1185</v>
      </c>
      <c r="C11" s="22" t="s">
        <v>1200</v>
      </c>
      <c r="D11"/>
      <c r="E11" s="3" t="s">
        <v>1251</v>
      </c>
      <c r="F11" s="3" t="s">
        <v>1213</v>
      </c>
      <c r="G11" s="3"/>
      <c r="I11" s="18" t="s">
        <v>28</v>
      </c>
      <c r="J11" s="21" t="s">
        <v>326</v>
      </c>
      <c r="K11" s="15"/>
      <c r="L11" s="12"/>
      <c r="M11" s="10" t="s">
        <v>327</v>
      </c>
      <c r="N11" s="11" t="s">
        <v>328</v>
      </c>
      <c r="O11" s="9" t="s">
        <v>329</v>
      </c>
      <c r="P11" s="9" t="s">
        <v>330</v>
      </c>
      <c r="Q11" s="9" t="s">
        <v>331</v>
      </c>
      <c r="R11" s="9" t="s">
        <v>332</v>
      </c>
      <c r="S11" s="9" t="s">
        <v>333</v>
      </c>
      <c r="T11" s="9" t="s">
        <v>334</v>
      </c>
      <c r="U11" s="12"/>
      <c r="V11" s="12"/>
      <c r="W11" s="9" t="s">
        <v>335</v>
      </c>
      <c r="X11" s="9" t="s">
        <v>336</v>
      </c>
      <c r="Y11" s="12"/>
      <c r="Z11" s="9" t="s">
        <v>337</v>
      </c>
      <c r="AA11" s="9" t="s">
        <v>338</v>
      </c>
      <c r="AB11" s="9" t="s">
        <v>339</v>
      </c>
      <c r="AC11" s="9" t="s">
        <v>340</v>
      </c>
      <c r="AD11" s="9" t="s">
        <v>341</v>
      </c>
      <c r="AE11" s="9" t="s">
        <v>342</v>
      </c>
      <c r="AF11" s="9" t="s">
        <v>343</v>
      </c>
      <c r="AG11" s="9" t="s">
        <v>344</v>
      </c>
      <c r="AH11" s="9" t="s">
        <v>345</v>
      </c>
      <c r="AI11" s="12"/>
      <c r="AJ11" s="9" t="s">
        <v>1564</v>
      </c>
      <c r="AK11" s="9" t="s">
        <v>346</v>
      </c>
      <c r="AL11" s="9" t="s">
        <v>347</v>
      </c>
      <c r="AM11" s="9" t="s">
        <v>348</v>
      </c>
      <c r="AN11" s="12"/>
      <c r="AO11" s="12"/>
      <c r="AP11" s="9" t="s">
        <v>349</v>
      </c>
      <c r="AQ11" s="9" t="s">
        <v>350</v>
      </c>
      <c r="AR11" s="9" t="s">
        <v>351</v>
      </c>
      <c r="AS11" s="9" t="s">
        <v>352</v>
      </c>
      <c r="AU11" s="3" t="s">
        <v>1372</v>
      </c>
      <c r="AV11" s="3" t="s">
        <v>1388</v>
      </c>
      <c r="AX11" s="57" t="s">
        <v>1392</v>
      </c>
      <c r="AY11" s="56"/>
      <c r="BA11" s="50" t="s">
        <v>1487</v>
      </c>
      <c r="BB11" s="64" t="s">
        <v>1495</v>
      </c>
      <c r="BD11" s="3" t="s">
        <v>1597</v>
      </c>
      <c r="BE11" s="3" t="s">
        <v>1598</v>
      </c>
      <c r="BF11" s="3" t="s">
        <v>1599</v>
      </c>
      <c r="BG11" s="3" t="s">
        <v>1600</v>
      </c>
      <c r="BH11" s="3" t="s">
        <v>1601</v>
      </c>
      <c r="BI11" s="3" t="s">
        <v>1602</v>
      </c>
      <c r="BJ11" s="3" t="s">
        <v>1603</v>
      </c>
      <c r="BK11" s="3" t="s">
        <v>1604</v>
      </c>
      <c r="BM11" s="76">
        <v>4</v>
      </c>
      <c r="BN11" s="66" t="s">
        <v>1530</v>
      </c>
      <c r="BO11" s="192"/>
      <c r="BP11" s="67"/>
      <c r="BQ11" s="66" t="s">
        <v>1530</v>
      </c>
      <c r="BR11" s="192"/>
      <c r="BS11" s="67"/>
      <c r="BT11" s="66" t="s">
        <v>1530</v>
      </c>
      <c r="BU11" s="192"/>
      <c r="BV11" s="67"/>
      <c r="BW11" s="66"/>
      <c r="BX11" s="192"/>
      <c r="BY11" s="67"/>
      <c r="BZ11" s="66" t="s">
        <v>1530</v>
      </c>
      <c r="CA11" s="192"/>
      <c r="CB11" s="67"/>
      <c r="CC11" s="66" t="s">
        <v>1530</v>
      </c>
      <c r="CD11" s="192"/>
      <c r="CE11" s="67"/>
      <c r="CF11" s="66" t="s">
        <v>1530</v>
      </c>
      <c r="CG11" s="192"/>
      <c r="CH11" s="67"/>
      <c r="CI11" s="66" t="s">
        <v>1530</v>
      </c>
      <c r="CJ11" s="192"/>
      <c r="CL11" s="1289"/>
      <c r="CM11" s="1290"/>
      <c r="CN11" s="1290"/>
      <c r="CO11" s="1304"/>
      <c r="CP11" s="1304"/>
      <c r="CQ11" s="1304"/>
      <c r="CR11" s="1304"/>
      <c r="CS11" s="1304"/>
      <c r="CT11" s="1304"/>
      <c r="CU11" s="1304"/>
      <c r="CV11" s="1309"/>
      <c r="CX11" s="120">
        <v>6</v>
      </c>
      <c r="CY11" s="175">
        <v>3106</v>
      </c>
      <c r="CZ11" s="174" t="s">
        <v>229</v>
      </c>
      <c r="DA11" s="182">
        <f>DK110</f>
        <v>1</v>
      </c>
      <c r="DC11" s="162">
        <v>6</v>
      </c>
      <c r="DD11" s="162">
        <v>1106</v>
      </c>
      <c r="DE11" s="163" t="s">
        <v>643</v>
      </c>
      <c r="DF11" s="169">
        <v>0.88543823326432025</v>
      </c>
      <c r="DG11" s="161"/>
      <c r="DH11" s="162">
        <v>18</v>
      </c>
      <c r="DI11" s="162">
        <v>1118</v>
      </c>
      <c r="DJ11" s="163" t="s">
        <v>655</v>
      </c>
      <c r="DK11" s="169">
        <v>0.75595238095238093</v>
      </c>
      <c r="DM11" s="196" t="s">
        <v>1327</v>
      </c>
      <c r="DN11" s="197" t="s">
        <v>1331</v>
      </c>
      <c r="DO11" s="197" t="s">
        <v>1332</v>
      </c>
      <c r="DP11" s="197" t="s">
        <v>1333</v>
      </c>
      <c r="DQ11" s="197" t="s">
        <v>1655</v>
      </c>
      <c r="DR11" s="197" t="s">
        <v>1657</v>
      </c>
      <c r="DS11" s="197" t="s">
        <v>1656</v>
      </c>
      <c r="DT11" s="197" t="s">
        <v>1331</v>
      </c>
      <c r="DU11" s="197" t="s">
        <v>1331</v>
      </c>
      <c r="DW11" s="221">
        <v>7</v>
      </c>
      <c r="DX11" s="220">
        <v>6</v>
      </c>
      <c r="DY11" s="220">
        <v>9</v>
      </c>
      <c r="DZ11" s="220">
        <v>14</v>
      </c>
      <c r="EA11" s="220">
        <v>15</v>
      </c>
      <c r="EB11" s="220">
        <v>18</v>
      </c>
      <c r="EC11" s="220">
        <v>19</v>
      </c>
      <c r="EE11" s="216" t="s">
        <v>1676</v>
      </c>
      <c r="EF11" s="217">
        <v>6</v>
      </c>
      <c r="EH11" s="200">
        <v>6</v>
      </c>
      <c r="EI11" s="239"/>
      <c r="EJ11" s="239"/>
      <c r="EK11" s="239"/>
      <c r="EL11" s="239"/>
      <c r="EM11" s="239">
        <v>0.94624505928853764</v>
      </c>
      <c r="EN11" s="239">
        <v>0</v>
      </c>
    </row>
    <row r="12" spans="2:144" ht="11.1" customHeight="1">
      <c r="B12" s="22" t="s">
        <v>1186</v>
      </c>
      <c r="C12" s="22" t="s">
        <v>1203</v>
      </c>
      <c r="D12"/>
      <c r="E12" s="3" t="s">
        <v>1252</v>
      </c>
      <c r="F12" s="3" t="s">
        <v>1214</v>
      </c>
      <c r="G12" s="3"/>
      <c r="I12" s="18" t="s">
        <v>29</v>
      </c>
      <c r="J12" s="21" t="s">
        <v>353</v>
      </c>
      <c r="K12" s="15"/>
      <c r="L12" s="12"/>
      <c r="M12" s="10" t="s">
        <v>354</v>
      </c>
      <c r="N12" s="11" t="s">
        <v>355</v>
      </c>
      <c r="O12" s="9" t="s">
        <v>356</v>
      </c>
      <c r="P12" s="9" t="s">
        <v>357</v>
      </c>
      <c r="Q12" s="9" t="s">
        <v>358</v>
      </c>
      <c r="R12" s="9" t="s">
        <v>359</v>
      </c>
      <c r="S12" s="9" t="s">
        <v>360</v>
      </c>
      <c r="T12" s="9" t="s">
        <v>361</v>
      </c>
      <c r="U12" s="12"/>
      <c r="V12" s="12"/>
      <c r="W12" s="9" t="s">
        <v>362</v>
      </c>
      <c r="X12" s="9" t="s">
        <v>363</v>
      </c>
      <c r="Y12" s="12"/>
      <c r="Z12" s="9" t="s">
        <v>364</v>
      </c>
      <c r="AA12" s="12"/>
      <c r="AB12" s="9" t="s">
        <v>365</v>
      </c>
      <c r="AC12" s="9" t="s">
        <v>366</v>
      </c>
      <c r="AD12" s="9" t="s">
        <v>367</v>
      </c>
      <c r="AE12" s="9" t="s">
        <v>368</v>
      </c>
      <c r="AF12" s="9" t="s">
        <v>369</v>
      </c>
      <c r="AG12" s="9" t="s">
        <v>370</v>
      </c>
      <c r="AH12" s="9" t="s">
        <v>371</v>
      </c>
      <c r="AI12" s="12"/>
      <c r="AJ12" s="9" t="s">
        <v>372</v>
      </c>
      <c r="AK12" s="9" t="s">
        <v>373</v>
      </c>
      <c r="AL12" s="9" t="s">
        <v>374</v>
      </c>
      <c r="AM12" s="9" t="s">
        <v>375</v>
      </c>
      <c r="AN12" s="12"/>
      <c r="AO12" s="12"/>
      <c r="AP12" s="9" t="s">
        <v>376</v>
      </c>
      <c r="AQ12" s="9" t="s">
        <v>377</v>
      </c>
      <c r="AR12" s="9" t="s">
        <v>378</v>
      </c>
      <c r="AS12" s="9" t="s">
        <v>379</v>
      </c>
      <c r="AU12" s="3" t="s">
        <v>1382</v>
      </c>
      <c r="AV12" s="3" t="s">
        <v>1389</v>
      </c>
      <c r="AX12" s="4" t="s">
        <v>6</v>
      </c>
      <c r="AY12" s="56">
        <v>0</v>
      </c>
      <c r="BA12" s="50" t="s">
        <v>1488</v>
      </c>
      <c r="BB12" s="64" t="s">
        <v>1496</v>
      </c>
      <c r="BM12" s="76">
        <v>5</v>
      </c>
      <c r="BN12" s="66"/>
      <c r="BO12" s="192"/>
      <c r="BP12" s="67"/>
      <c r="BQ12" s="66"/>
      <c r="BR12" s="192"/>
      <c r="BS12" s="67"/>
      <c r="BT12" s="66"/>
      <c r="BU12" s="192"/>
      <c r="BV12" s="67"/>
      <c r="BW12" s="66"/>
      <c r="BX12" s="192"/>
      <c r="BY12" s="67"/>
      <c r="BZ12" s="66"/>
      <c r="CA12" s="192"/>
      <c r="CB12" s="67"/>
      <c r="CC12" s="66"/>
      <c r="CD12" s="192"/>
      <c r="CE12" s="67"/>
      <c r="CF12" s="66"/>
      <c r="CG12" s="192"/>
      <c r="CH12" s="67"/>
      <c r="CI12" s="66"/>
      <c r="CJ12" s="192"/>
      <c r="CL12" s="1289"/>
      <c r="CM12" s="1290"/>
      <c r="CN12" s="1290"/>
      <c r="CO12" s="1304"/>
      <c r="CP12" s="1304"/>
      <c r="CQ12" s="1304"/>
      <c r="CR12" s="1304"/>
      <c r="CS12" s="1304"/>
      <c r="CT12" s="1304"/>
      <c r="CU12" s="1304"/>
      <c r="CV12" s="1309"/>
      <c r="CX12" s="118" t="s">
        <v>7</v>
      </c>
      <c r="CY12" s="118">
        <v>1100</v>
      </c>
      <c r="CZ12" s="173" t="s">
        <v>41</v>
      </c>
      <c r="DA12" s="180">
        <f t="shared" ref="DA12:DA23" si="0">DF5</f>
        <v>0.83169427191166312</v>
      </c>
      <c r="DC12" s="162">
        <v>7</v>
      </c>
      <c r="DD12" s="162">
        <v>1107</v>
      </c>
      <c r="DE12" s="163" t="s">
        <v>644</v>
      </c>
      <c r="DF12" s="169">
        <v>0.8358350586611456</v>
      </c>
      <c r="DG12" s="161"/>
      <c r="DH12" s="162">
        <v>19</v>
      </c>
      <c r="DI12" s="162">
        <v>1171</v>
      </c>
      <c r="DJ12" s="163" t="s">
        <v>656</v>
      </c>
      <c r="DK12" s="169">
        <v>0.82401656314699789</v>
      </c>
      <c r="DM12" s="196" t="s">
        <v>1336</v>
      </c>
      <c r="DN12" s="197" t="s">
        <v>1340</v>
      </c>
      <c r="DO12" s="197" t="s">
        <v>1338</v>
      </c>
      <c r="DP12" s="197" t="s">
        <v>1338</v>
      </c>
      <c r="DQ12" s="197" t="s">
        <v>1345</v>
      </c>
      <c r="DR12" s="197" t="s">
        <v>1358</v>
      </c>
      <c r="DS12" s="197" t="s">
        <v>1338</v>
      </c>
      <c r="DT12" s="197" t="s">
        <v>1350</v>
      </c>
      <c r="DU12" s="197" t="s">
        <v>1350</v>
      </c>
      <c r="DW12" s="221">
        <v>8</v>
      </c>
      <c r="DX12" s="220">
        <v>7</v>
      </c>
      <c r="DY12" s="220">
        <v>11</v>
      </c>
      <c r="DZ12" s="220">
        <v>16</v>
      </c>
      <c r="EA12" s="220">
        <v>17</v>
      </c>
      <c r="EB12" s="220">
        <v>21</v>
      </c>
      <c r="EC12" s="220">
        <v>22</v>
      </c>
      <c r="EH12" s="200">
        <v>7</v>
      </c>
      <c r="EI12" s="239"/>
      <c r="EJ12" s="239"/>
      <c r="EK12" s="239"/>
      <c r="EL12" s="239"/>
      <c r="EM12" s="239">
        <v>0.97707509881422927</v>
      </c>
      <c r="EN12" s="239">
        <v>0</v>
      </c>
    </row>
    <row r="13" spans="2:144" ht="11.1" customHeight="1">
      <c r="B13" s="22" t="s">
        <v>1195</v>
      </c>
      <c r="C13" s="22" t="s">
        <v>1199</v>
      </c>
      <c r="D13"/>
      <c r="E13" s="3" t="s">
        <v>1253</v>
      </c>
      <c r="F13" s="3" t="s">
        <v>1215</v>
      </c>
      <c r="G13" s="3"/>
      <c r="I13" s="18" t="s">
        <v>30</v>
      </c>
      <c r="J13" s="21" t="s">
        <v>380</v>
      </c>
      <c r="K13" s="15"/>
      <c r="L13" s="12"/>
      <c r="M13" s="10" t="s">
        <v>381</v>
      </c>
      <c r="N13" s="11" t="s">
        <v>382</v>
      </c>
      <c r="O13" s="9" t="s">
        <v>383</v>
      </c>
      <c r="P13" s="9" t="s">
        <v>384</v>
      </c>
      <c r="Q13" s="9" t="s">
        <v>385</v>
      </c>
      <c r="R13" s="9" t="s">
        <v>386</v>
      </c>
      <c r="S13" s="9" t="s">
        <v>387</v>
      </c>
      <c r="T13" s="9" t="s">
        <v>388</v>
      </c>
      <c r="U13" s="12"/>
      <c r="V13" s="12"/>
      <c r="W13" s="9" t="s">
        <v>389</v>
      </c>
      <c r="X13" s="9" t="s">
        <v>390</v>
      </c>
      <c r="Y13" s="12"/>
      <c r="Z13" s="9" t="s">
        <v>391</v>
      </c>
      <c r="AA13" s="12"/>
      <c r="AB13" s="12"/>
      <c r="AC13" s="9" t="s">
        <v>392</v>
      </c>
      <c r="AD13" s="9" t="s">
        <v>393</v>
      </c>
      <c r="AE13" s="9" t="s">
        <v>394</v>
      </c>
      <c r="AF13" s="9" t="s">
        <v>395</v>
      </c>
      <c r="AG13" s="9" t="s">
        <v>396</v>
      </c>
      <c r="AH13" s="9" t="s">
        <v>397</v>
      </c>
      <c r="AI13" s="12"/>
      <c r="AJ13" s="9" t="s">
        <v>398</v>
      </c>
      <c r="AK13" s="9" t="s">
        <v>399</v>
      </c>
      <c r="AL13" s="9" t="s">
        <v>400</v>
      </c>
      <c r="AM13" s="9" t="s">
        <v>401</v>
      </c>
      <c r="AN13" s="12"/>
      <c r="AO13" s="12"/>
      <c r="AP13" s="9" t="s">
        <v>402</v>
      </c>
      <c r="AQ13" s="9" t="s">
        <v>403</v>
      </c>
      <c r="AR13" s="9" t="s">
        <v>404</v>
      </c>
      <c r="AS13" s="9" t="s">
        <v>405</v>
      </c>
      <c r="AX13" s="50" t="s">
        <v>1419</v>
      </c>
      <c r="AY13" s="56">
        <v>40</v>
      </c>
      <c r="BM13" s="75" t="s">
        <v>1295</v>
      </c>
      <c r="BN13" s="65" t="s">
        <v>1426</v>
      </c>
      <c r="BO13" s="191"/>
      <c r="BP13" s="67"/>
      <c r="BQ13" s="65" t="s">
        <v>1427</v>
      </c>
      <c r="BR13" s="191"/>
      <c r="BS13" s="67"/>
      <c r="BT13" s="65" t="s">
        <v>1428</v>
      </c>
      <c r="BU13" s="191"/>
      <c r="BV13" s="67"/>
      <c r="BW13" s="65" t="s">
        <v>1429</v>
      </c>
      <c r="BX13" s="191"/>
      <c r="BY13" s="67"/>
      <c r="BZ13" s="65" t="s">
        <v>1458</v>
      </c>
      <c r="CA13" s="191"/>
      <c r="CB13" s="67"/>
      <c r="CC13" s="65" t="s">
        <v>1459</v>
      </c>
      <c r="CD13" s="191"/>
      <c r="CE13" s="67"/>
      <c r="CF13" s="65" t="s">
        <v>1460</v>
      </c>
      <c r="CG13" s="191"/>
      <c r="CH13" s="67"/>
      <c r="CI13" s="65" t="s">
        <v>1461</v>
      </c>
      <c r="CJ13" s="191"/>
      <c r="CL13" s="1289"/>
      <c r="CM13" s="1290"/>
      <c r="CN13" s="1290"/>
      <c r="CO13" s="1304"/>
      <c r="CP13" s="1304"/>
      <c r="CQ13" s="1304"/>
      <c r="CR13" s="1304"/>
      <c r="CS13" s="1304"/>
      <c r="CT13" s="1304"/>
      <c r="CU13" s="1304"/>
      <c r="CV13" s="1309"/>
      <c r="CX13" s="120">
        <v>1</v>
      </c>
      <c r="CY13" s="120">
        <v>1101</v>
      </c>
      <c r="CZ13" s="121" t="s">
        <v>92</v>
      </c>
      <c r="DA13" s="181">
        <f t="shared" si="0"/>
        <v>0.9133022774327122</v>
      </c>
      <c r="DC13" s="162">
        <v>8</v>
      </c>
      <c r="DD13" s="162">
        <v>1108</v>
      </c>
      <c r="DE13" s="163" t="s">
        <v>645</v>
      </c>
      <c r="DF13" s="169">
        <v>0.82858868184955137</v>
      </c>
      <c r="DG13" s="161"/>
      <c r="DH13" s="162">
        <v>20</v>
      </c>
      <c r="DI13" s="162">
        <v>1172</v>
      </c>
      <c r="DJ13" s="163" t="s">
        <v>657</v>
      </c>
      <c r="DK13" s="169">
        <v>0.89510006901311256</v>
      </c>
      <c r="DW13" s="221">
        <v>9</v>
      </c>
      <c r="DX13" s="220">
        <v>8</v>
      </c>
      <c r="DY13" s="220">
        <v>13</v>
      </c>
      <c r="DZ13" s="220">
        <v>18</v>
      </c>
      <c r="EA13" s="220">
        <v>19</v>
      </c>
      <c r="EB13" s="220">
        <v>24</v>
      </c>
      <c r="EC13" s="220">
        <v>25</v>
      </c>
      <c r="EH13" s="226">
        <v>8</v>
      </c>
      <c r="EI13" s="239"/>
      <c r="EJ13" s="239"/>
      <c r="EK13" s="239"/>
      <c r="EL13" s="239"/>
      <c r="EM13" s="240">
        <v>1</v>
      </c>
      <c r="EN13" s="243">
        <v>0</v>
      </c>
    </row>
    <row r="14" spans="2:144" ht="11.1" customHeight="1">
      <c r="B14" s="22" t="s">
        <v>1196</v>
      </c>
      <c r="C14" s="22" t="s">
        <v>1243</v>
      </c>
      <c r="D14"/>
      <c r="E14" s="3" t="s">
        <v>1254</v>
      </c>
      <c r="F14" s="3" t="s">
        <v>1216</v>
      </c>
      <c r="I14" s="18" t="s">
        <v>31</v>
      </c>
      <c r="J14" s="21" t="s">
        <v>406</v>
      </c>
      <c r="K14" s="15"/>
      <c r="L14" s="12"/>
      <c r="M14" s="10" t="s">
        <v>407</v>
      </c>
      <c r="N14" s="11" t="s">
        <v>408</v>
      </c>
      <c r="O14" s="9" t="s">
        <v>409</v>
      </c>
      <c r="P14" s="9" t="s">
        <v>410</v>
      </c>
      <c r="Q14" s="9" t="s">
        <v>411</v>
      </c>
      <c r="R14" s="9" t="s">
        <v>412</v>
      </c>
      <c r="S14" s="12"/>
      <c r="T14" s="9" t="s">
        <v>413</v>
      </c>
      <c r="U14" s="12"/>
      <c r="V14" s="12"/>
      <c r="W14" s="9" t="s">
        <v>414</v>
      </c>
      <c r="X14" s="9" t="s">
        <v>415</v>
      </c>
      <c r="Y14" s="12"/>
      <c r="Z14" s="9" t="s">
        <v>416</v>
      </c>
      <c r="AA14" s="12"/>
      <c r="AB14" s="12"/>
      <c r="AC14" s="12"/>
      <c r="AD14" s="9" t="s">
        <v>417</v>
      </c>
      <c r="AE14" s="9" t="s">
        <v>418</v>
      </c>
      <c r="AF14" s="9" t="s">
        <v>419</v>
      </c>
      <c r="AG14" s="9" t="s">
        <v>420</v>
      </c>
      <c r="AH14" s="12"/>
      <c r="AI14" s="12"/>
      <c r="AJ14" s="9" t="s">
        <v>421</v>
      </c>
      <c r="AK14" s="9" t="s">
        <v>422</v>
      </c>
      <c r="AL14" s="9" t="s">
        <v>423</v>
      </c>
      <c r="AM14" s="9" t="s">
        <v>424</v>
      </c>
      <c r="AN14" s="12"/>
      <c r="AO14" s="12"/>
      <c r="AP14" s="9" t="s">
        <v>425</v>
      </c>
      <c r="AQ14" s="12"/>
      <c r="AR14" s="9" t="s">
        <v>426</v>
      </c>
      <c r="AS14" s="9" t="s">
        <v>427</v>
      </c>
      <c r="AX14" s="50" t="s">
        <v>1408</v>
      </c>
      <c r="AY14" s="56">
        <v>50</v>
      </c>
      <c r="BB14" s="63"/>
      <c r="BM14" s="76">
        <v>1</v>
      </c>
      <c r="BN14" s="207" t="s">
        <v>1670</v>
      </c>
      <c r="BO14" s="192">
        <v>1</v>
      </c>
      <c r="BP14" s="67"/>
      <c r="BQ14" s="207" t="s">
        <v>1670</v>
      </c>
      <c r="BR14" s="192">
        <v>1</v>
      </c>
      <c r="BS14" s="67"/>
      <c r="BT14" s="207" t="s">
        <v>1670</v>
      </c>
      <c r="BU14" s="192">
        <v>1</v>
      </c>
      <c r="BV14" s="67"/>
      <c r="BW14" s="207" t="s">
        <v>1670</v>
      </c>
      <c r="BX14" s="192">
        <v>1</v>
      </c>
      <c r="BY14" s="67"/>
      <c r="BZ14" s="207" t="s">
        <v>1670</v>
      </c>
      <c r="CA14" s="192">
        <v>1</v>
      </c>
      <c r="CB14" s="67"/>
      <c r="CC14" s="207" t="s">
        <v>1670</v>
      </c>
      <c r="CD14" s="192">
        <v>1</v>
      </c>
      <c r="CE14" s="67"/>
      <c r="CF14" s="207" t="s">
        <v>1670</v>
      </c>
      <c r="CG14" s="192">
        <v>1</v>
      </c>
      <c r="CH14" s="67"/>
      <c r="CI14" s="207" t="s">
        <v>1670</v>
      </c>
      <c r="CJ14" s="192">
        <v>1</v>
      </c>
      <c r="CL14" s="1289"/>
      <c r="CM14" s="1290"/>
      <c r="CN14" s="1290"/>
      <c r="CO14" s="108" t="s">
        <v>1284</v>
      </c>
      <c r="CP14" s="108" t="s">
        <v>1284</v>
      </c>
      <c r="CQ14" s="108" t="s">
        <v>1285</v>
      </c>
      <c r="CR14" s="108" t="s">
        <v>1285</v>
      </c>
      <c r="CS14" s="108" t="s">
        <v>1285</v>
      </c>
      <c r="CT14" s="108" t="s">
        <v>1286</v>
      </c>
      <c r="CU14" s="108" t="s">
        <v>1287</v>
      </c>
      <c r="CV14" s="109" t="s">
        <v>1288</v>
      </c>
      <c r="CX14" s="120">
        <v>2</v>
      </c>
      <c r="CY14" s="120">
        <v>1102</v>
      </c>
      <c r="CZ14" s="121" t="s">
        <v>127</v>
      </c>
      <c r="DA14" s="181">
        <f t="shared" si="0"/>
        <v>0.80167356797791589</v>
      </c>
      <c r="DC14" s="162">
        <v>9</v>
      </c>
      <c r="DD14" s="162">
        <v>1109</v>
      </c>
      <c r="DE14" s="163" t="s">
        <v>646</v>
      </c>
      <c r="DF14" s="169">
        <v>0.81176673567977908</v>
      </c>
      <c r="DG14" s="161"/>
      <c r="DH14" s="162">
        <v>21</v>
      </c>
      <c r="DI14" s="162">
        <v>1173</v>
      </c>
      <c r="DJ14" s="163" t="s">
        <v>658</v>
      </c>
      <c r="DK14" s="169">
        <v>0.819271911663216</v>
      </c>
      <c r="DW14" s="221">
        <v>10</v>
      </c>
      <c r="DX14" s="220">
        <v>9</v>
      </c>
      <c r="DY14" s="220">
        <v>15</v>
      </c>
      <c r="DZ14" s="220">
        <v>20</v>
      </c>
      <c r="EA14" s="220">
        <v>21</v>
      </c>
      <c r="EB14" s="220">
        <v>27</v>
      </c>
      <c r="EC14" s="220">
        <v>28</v>
      </c>
      <c r="EH14" s="200">
        <v>9</v>
      </c>
      <c r="EI14" s="239"/>
      <c r="EJ14" s="239"/>
      <c r="EK14" s="239"/>
      <c r="EL14" s="239"/>
      <c r="EM14" s="239"/>
      <c r="EN14" s="239">
        <v>0.86355785837651133</v>
      </c>
    </row>
    <row r="15" spans="2:144" ht="11.1" customHeight="1">
      <c r="B15" s="22" t="s">
        <v>1187</v>
      </c>
      <c r="C15" s="22" t="s">
        <v>1242</v>
      </c>
      <c r="D15"/>
      <c r="E15" s="3" t="s">
        <v>1255</v>
      </c>
      <c r="F15" s="3" t="s">
        <v>1217</v>
      </c>
      <c r="I15" s="18" t="s">
        <v>32</v>
      </c>
      <c r="J15" s="21" t="s">
        <v>428</v>
      </c>
      <c r="K15" s="15"/>
      <c r="L15" s="12"/>
      <c r="M15" s="10" t="s">
        <v>429</v>
      </c>
      <c r="N15" s="11" t="s">
        <v>430</v>
      </c>
      <c r="O15" s="9" t="s">
        <v>431</v>
      </c>
      <c r="P15" s="9" t="s">
        <v>432</v>
      </c>
      <c r="Q15" s="12"/>
      <c r="R15" s="9" t="s">
        <v>433</v>
      </c>
      <c r="S15" s="12"/>
      <c r="T15" s="9" t="s">
        <v>434</v>
      </c>
      <c r="U15" s="12"/>
      <c r="V15" s="12"/>
      <c r="W15" s="9" t="s">
        <v>435</v>
      </c>
      <c r="X15" s="9" t="s">
        <v>436</v>
      </c>
      <c r="Y15" s="12"/>
      <c r="Z15" s="9" t="s">
        <v>437</v>
      </c>
      <c r="AA15" s="12"/>
      <c r="AB15" s="12"/>
      <c r="AC15" s="12"/>
      <c r="AD15" s="9" t="s">
        <v>438</v>
      </c>
      <c r="AE15" s="9" t="s">
        <v>439</v>
      </c>
      <c r="AF15" s="9" t="s">
        <v>440</v>
      </c>
      <c r="AG15" s="9" t="s">
        <v>441</v>
      </c>
      <c r="AH15" s="12"/>
      <c r="AI15" s="12"/>
      <c r="AJ15" s="9" t="s">
        <v>442</v>
      </c>
      <c r="AK15" s="9" t="s">
        <v>443</v>
      </c>
      <c r="AL15" s="9" t="s">
        <v>444</v>
      </c>
      <c r="AM15" s="9" t="s">
        <v>445</v>
      </c>
      <c r="AN15" s="12"/>
      <c r="AO15" s="12"/>
      <c r="AP15" s="12"/>
      <c r="AQ15" s="12"/>
      <c r="AR15" s="9" t="s">
        <v>446</v>
      </c>
      <c r="AS15" s="9" t="s">
        <v>447</v>
      </c>
      <c r="BM15" s="76">
        <v>2</v>
      </c>
      <c r="BN15" s="66" t="s">
        <v>1292</v>
      </c>
      <c r="BO15" s="192">
        <v>1</v>
      </c>
      <c r="BP15" s="67"/>
      <c r="BQ15" s="66" t="s">
        <v>1292</v>
      </c>
      <c r="BR15" s="192">
        <v>1</v>
      </c>
      <c r="BS15" s="67"/>
      <c r="BT15" s="66" t="s">
        <v>1292</v>
      </c>
      <c r="BU15" s="192">
        <v>1</v>
      </c>
      <c r="BV15" s="67"/>
      <c r="BW15" s="66" t="s">
        <v>1293</v>
      </c>
      <c r="BX15" s="192">
        <v>1</v>
      </c>
      <c r="BY15" s="67"/>
      <c r="BZ15" s="66" t="s">
        <v>1354</v>
      </c>
      <c r="CA15" s="192">
        <v>1</v>
      </c>
      <c r="CB15" s="67"/>
      <c r="CC15" s="66" t="s">
        <v>1355</v>
      </c>
      <c r="CD15" s="192">
        <v>1</v>
      </c>
      <c r="CE15" s="67"/>
      <c r="CF15" s="66" t="s">
        <v>1355</v>
      </c>
      <c r="CG15" s="192">
        <v>1</v>
      </c>
      <c r="CH15" s="67"/>
      <c r="CI15" s="66" t="s">
        <v>1355</v>
      </c>
      <c r="CJ15" s="192">
        <v>1</v>
      </c>
      <c r="CL15" s="1291"/>
      <c r="CM15" s="1292"/>
      <c r="CN15" s="1292"/>
      <c r="CO15" s="110" t="s">
        <v>1522</v>
      </c>
      <c r="CP15" s="110" t="s">
        <v>1522</v>
      </c>
      <c r="CQ15" s="110" t="s">
        <v>1522</v>
      </c>
      <c r="CR15" s="110" t="s">
        <v>1522</v>
      </c>
      <c r="CS15" s="110" t="s">
        <v>1522</v>
      </c>
      <c r="CT15" s="110" t="s">
        <v>1522</v>
      </c>
      <c r="CU15" s="110" t="s">
        <v>1522</v>
      </c>
      <c r="CV15" s="111" t="s">
        <v>1522</v>
      </c>
      <c r="CX15" s="120">
        <v>3</v>
      </c>
      <c r="CY15" s="120">
        <v>1103</v>
      </c>
      <c r="CZ15" s="121" t="s">
        <v>161</v>
      </c>
      <c r="DA15" s="181">
        <f t="shared" si="0"/>
        <v>0.83652518978605928</v>
      </c>
      <c r="DC15" s="162">
        <v>10</v>
      </c>
      <c r="DD15" s="162">
        <v>1110</v>
      </c>
      <c r="DE15" s="163" t="s">
        <v>647</v>
      </c>
      <c r="DF15" s="169">
        <v>0.86689095928226356</v>
      </c>
      <c r="DG15" s="161"/>
      <c r="DH15" s="162">
        <v>22</v>
      </c>
      <c r="DI15" s="162">
        <v>1174</v>
      </c>
      <c r="DJ15" s="163" t="s">
        <v>659</v>
      </c>
      <c r="DK15" s="169">
        <v>0.84057971014492749</v>
      </c>
      <c r="DN15" s="199"/>
      <c r="DW15" s="221">
        <v>11</v>
      </c>
      <c r="DX15" s="220">
        <v>10</v>
      </c>
      <c r="DY15" s="220">
        <v>17</v>
      </c>
      <c r="DZ15" s="220">
        <v>22</v>
      </c>
      <c r="EA15" s="220">
        <v>23</v>
      </c>
      <c r="EB15" s="220">
        <v>30</v>
      </c>
      <c r="EC15" s="220">
        <v>31</v>
      </c>
      <c r="EE15" s="225"/>
      <c r="EH15" s="200">
        <v>10</v>
      </c>
      <c r="EI15" s="239"/>
      <c r="EJ15" s="239"/>
      <c r="EK15" s="239"/>
      <c r="EL15" s="239"/>
      <c r="EM15" s="239"/>
      <c r="EN15" s="239">
        <v>0.88341968911917101</v>
      </c>
    </row>
    <row r="16" spans="2:144" ht="11.1" customHeight="1">
      <c r="B16" s="22" t="s">
        <v>1188</v>
      </c>
      <c r="C16" s="22" t="s">
        <v>1205</v>
      </c>
      <c r="D16"/>
      <c r="E16" s="3" t="s">
        <v>1256</v>
      </c>
      <c r="F16" s="3" t="s">
        <v>1218</v>
      </c>
      <c r="I16" s="18" t="s">
        <v>33</v>
      </c>
      <c r="J16" s="21" t="s">
        <v>448</v>
      </c>
      <c r="K16" s="15"/>
      <c r="L16" s="12"/>
      <c r="M16" s="10" t="s">
        <v>449</v>
      </c>
      <c r="N16" s="11" t="s">
        <v>450</v>
      </c>
      <c r="O16" s="9" t="s">
        <v>451</v>
      </c>
      <c r="P16" s="12"/>
      <c r="Q16" s="12"/>
      <c r="R16" s="9" t="s">
        <v>452</v>
      </c>
      <c r="S16" s="12"/>
      <c r="T16" s="9" t="s">
        <v>453</v>
      </c>
      <c r="U16" s="12"/>
      <c r="V16" s="12"/>
      <c r="W16" s="9" t="s">
        <v>454</v>
      </c>
      <c r="X16" s="9" t="s">
        <v>455</v>
      </c>
      <c r="Y16" s="12"/>
      <c r="Z16" s="9" t="s">
        <v>456</v>
      </c>
      <c r="AA16" s="12"/>
      <c r="AB16" s="12"/>
      <c r="AC16" s="12"/>
      <c r="AD16" s="9" t="s">
        <v>457</v>
      </c>
      <c r="AE16" s="9" t="s">
        <v>458</v>
      </c>
      <c r="AF16" s="9" t="s">
        <v>459</v>
      </c>
      <c r="AG16" s="9" t="s">
        <v>460</v>
      </c>
      <c r="AH16" s="12"/>
      <c r="AI16" s="12"/>
      <c r="AJ16" s="9" t="s">
        <v>461</v>
      </c>
      <c r="AK16" s="9" t="s">
        <v>462</v>
      </c>
      <c r="AL16" s="9" t="s">
        <v>463</v>
      </c>
      <c r="AM16" s="9" t="s">
        <v>464</v>
      </c>
      <c r="AN16" s="12"/>
      <c r="AO16" s="12"/>
      <c r="AP16" s="12"/>
      <c r="AQ16" s="12"/>
      <c r="AR16" s="9" t="s">
        <v>465</v>
      </c>
      <c r="AS16" s="9" t="s">
        <v>466</v>
      </c>
      <c r="AX16" s="57" t="s">
        <v>1393</v>
      </c>
      <c r="AY16" s="56"/>
      <c r="BM16" s="76">
        <v>3</v>
      </c>
      <c r="BN16" s="66" t="s">
        <v>1294</v>
      </c>
      <c r="BO16" s="192">
        <v>1.125</v>
      </c>
      <c r="BP16" s="67"/>
      <c r="BQ16" s="66" t="s">
        <v>1293</v>
      </c>
      <c r="BR16" s="192">
        <v>0.8</v>
      </c>
      <c r="BS16" s="67"/>
      <c r="BT16" s="66" t="s">
        <v>1293</v>
      </c>
      <c r="BU16" s="192">
        <v>0.8</v>
      </c>
      <c r="BV16" s="67"/>
      <c r="BW16" s="66" t="s">
        <v>1530</v>
      </c>
      <c r="BX16" s="192"/>
      <c r="BY16" s="67"/>
      <c r="BZ16" s="66" t="s">
        <v>1292</v>
      </c>
      <c r="CA16" s="192">
        <v>0.74999389782518489</v>
      </c>
      <c r="CB16" s="67"/>
      <c r="CC16" s="66" t="s">
        <v>1356</v>
      </c>
      <c r="CD16" s="192">
        <v>2.164269213596568</v>
      </c>
      <c r="CE16" s="67"/>
      <c r="CF16" s="66" t="s">
        <v>1356</v>
      </c>
      <c r="CG16" s="192">
        <v>2.164269213596568</v>
      </c>
      <c r="CH16" s="67"/>
      <c r="CI16" s="66" t="s">
        <v>1356</v>
      </c>
      <c r="CJ16" s="192">
        <v>2.164269213596568</v>
      </c>
      <c r="CL16" s="128" t="s">
        <v>0</v>
      </c>
      <c r="CM16" s="129"/>
      <c r="CN16" s="130"/>
      <c r="CO16" s="131"/>
      <c r="CP16" s="131"/>
      <c r="CQ16" s="131"/>
      <c r="CR16" s="131"/>
      <c r="CS16" s="131"/>
      <c r="CT16" s="131"/>
      <c r="CU16" s="131"/>
      <c r="CV16" s="131"/>
      <c r="CX16" s="120">
        <v>4</v>
      </c>
      <c r="CY16" s="120">
        <v>1104</v>
      </c>
      <c r="CZ16" s="121" t="s">
        <v>196</v>
      </c>
      <c r="DA16" s="181">
        <f t="shared" si="0"/>
        <v>0.83963077984817114</v>
      </c>
      <c r="DC16" s="162">
        <v>11</v>
      </c>
      <c r="DD16" s="162">
        <v>1111</v>
      </c>
      <c r="DE16" s="163" t="s">
        <v>648</v>
      </c>
      <c r="DF16" s="169">
        <v>0.87232574189095935</v>
      </c>
      <c r="DG16" s="161"/>
      <c r="DH16" s="162">
        <v>23</v>
      </c>
      <c r="DI16" s="162">
        <v>1175</v>
      </c>
      <c r="DJ16" s="163" t="s">
        <v>660</v>
      </c>
      <c r="DK16" s="169">
        <v>0.81357832988267775</v>
      </c>
      <c r="DW16" s="221">
        <v>12</v>
      </c>
      <c r="DX16" s="220">
        <v>11</v>
      </c>
      <c r="DY16" s="220">
        <v>19</v>
      </c>
      <c r="DZ16" s="220">
        <v>24</v>
      </c>
      <c r="EA16" s="220">
        <v>25</v>
      </c>
      <c r="EB16" s="220">
        <v>33</v>
      </c>
      <c r="EC16" s="220">
        <v>34</v>
      </c>
      <c r="EH16" s="200">
        <v>11</v>
      </c>
      <c r="EI16" s="239"/>
      <c r="EJ16" s="239"/>
      <c r="EK16" s="239"/>
      <c r="EL16" s="239"/>
      <c r="EM16" s="239"/>
      <c r="EN16" s="239">
        <v>0.90241796200345425</v>
      </c>
    </row>
    <row r="17" spans="2:144" ht="11.1" customHeight="1">
      <c r="B17" s="22" t="s">
        <v>1189</v>
      </c>
      <c r="C17" s="22" t="s">
        <v>1202</v>
      </c>
      <c r="D17"/>
      <c r="E17" s="3" t="s">
        <v>1257</v>
      </c>
      <c r="F17" s="3" t="s">
        <v>1219</v>
      </c>
      <c r="I17" s="18" t="s">
        <v>34</v>
      </c>
      <c r="J17" s="21" t="s">
        <v>467</v>
      </c>
      <c r="K17" s="15"/>
      <c r="L17" s="12"/>
      <c r="M17" s="10" t="s">
        <v>468</v>
      </c>
      <c r="N17" s="11" t="s">
        <v>469</v>
      </c>
      <c r="O17" s="9" t="s">
        <v>470</v>
      </c>
      <c r="P17" s="12"/>
      <c r="Q17" s="12"/>
      <c r="R17" s="9" t="s">
        <v>471</v>
      </c>
      <c r="S17" s="12"/>
      <c r="T17" s="9" t="s">
        <v>472</v>
      </c>
      <c r="U17" s="12"/>
      <c r="V17" s="12"/>
      <c r="W17" s="9" t="s">
        <v>473</v>
      </c>
      <c r="X17" s="9" t="s">
        <v>474</v>
      </c>
      <c r="Y17" s="12"/>
      <c r="Z17" s="9" t="s">
        <v>475</v>
      </c>
      <c r="AA17" s="12"/>
      <c r="AB17" s="12"/>
      <c r="AC17" s="12"/>
      <c r="AD17" s="9" t="s">
        <v>476</v>
      </c>
      <c r="AE17" s="9" t="s">
        <v>477</v>
      </c>
      <c r="AF17" s="9" t="s">
        <v>478</v>
      </c>
      <c r="AG17" s="12"/>
      <c r="AH17" s="12"/>
      <c r="AI17" s="12"/>
      <c r="AJ17" s="9" t="s">
        <v>479</v>
      </c>
      <c r="AK17" s="12"/>
      <c r="AL17" s="9" t="s">
        <v>480</v>
      </c>
      <c r="AM17" s="9" t="s">
        <v>481</v>
      </c>
      <c r="AN17" s="12"/>
      <c r="AO17" s="12"/>
      <c r="AP17" s="12"/>
      <c r="AQ17" s="12"/>
      <c r="AR17" s="12"/>
      <c r="AS17" s="9" t="s">
        <v>482</v>
      </c>
      <c r="AX17" s="4" t="s">
        <v>6</v>
      </c>
      <c r="AY17" s="56">
        <v>0</v>
      </c>
      <c r="BM17" s="76">
        <v>4</v>
      </c>
      <c r="BN17" s="66" t="s">
        <v>1530</v>
      </c>
      <c r="BO17" s="192"/>
      <c r="BP17" s="67"/>
      <c r="BQ17" s="66" t="s">
        <v>1530</v>
      </c>
      <c r="BR17" s="192"/>
      <c r="BS17" s="67"/>
      <c r="BT17" s="66" t="s">
        <v>1530</v>
      </c>
      <c r="BU17" s="192"/>
      <c r="BV17" s="67"/>
      <c r="BW17" s="66"/>
      <c r="BX17" s="192"/>
      <c r="BY17" s="67"/>
      <c r="BZ17" s="66" t="s">
        <v>1530</v>
      </c>
      <c r="CA17" s="192"/>
      <c r="CB17" s="67"/>
      <c r="CC17" s="66" t="s">
        <v>1530</v>
      </c>
      <c r="CD17" s="192"/>
      <c r="CE17" s="67"/>
      <c r="CF17" s="66" t="s">
        <v>1530</v>
      </c>
      <c r="CG17" s="192"/>
      <c r="CH17" s="67"/>
      <c r="CI17" s="66" t="s">
        <v>1530</v>
      </c>
      <c r="CJ17" s="192"/>
      <c r="CL17" s="132" t="s">
        <v>1291</v>
      </c>
      <c r="CM17" s="133"/>
      <c r="CN17" s="134"/>
      <c r="CO17" s="135">
        <v>697002</v>
      </c>
      <c r="CP17" s="135">
        <v>591308</v>
      </c>
      <c r="CQ17" s="135">
        <v>295720</v>
      </c>
      <c r="CR17" s="135">
        <v>109551</v>
      </c>
      <c r="CS17" s="135">
        <v>319444</v>
      </c>
      <c r="CT17" s="135">
        <v>445242</v>
      </c>
      <c r="CU17" s="135">
        <v>787775</v>
      </c>
      <c r="CV17" s="135">
        <v>895786</v>
      </c>
      <c r="CX17" s="120">
        <v>5</v>
      </c>
      <c r="CY17" s="120">
        <v>1105</v>
      </c>
      <c r="CZ17" s="121" t="s">
        <v>230</v>
      </c>
      <c r="DA17" s="181">
        <f t="shared" si="0"/>
        <v>0.85386473429951693</v>
      </c>
      <c r="DC17" s="161"/>
      <c r="DD17" s="161"/>
      <c r="DE17" s="161"/>
      <c r="DF17" s="170"/>
      <c r="DG17" s="161"/>
      <c r="DH17" s="161"/>
      <c r="DI17" s="161"/>
      <c r="DJ17" s="161"/>
      <c r="DK17" s="170"/>
      <c r="DW17" s="221">
        <v>13</v>
      </c>
      <c r="DX17" s="220">
        <v>12</v>
      </c>
      <c r="DY17" s="220">
        <v>21</v>
      </c>
      <c r="DZ17" s="220">
        <v>26</v>
      </c>
      <c r="EA17" s="220">
        <v>27</v>
      </c>
      <c r="EB17" s="220">
        <v>36</v>
      </c>
      <c r="EC17" s="220">
        <v>36</v>
      </c>
      <c r="EH17" s="200">
        <v>12</v>
      </c>
      <c r="EI17" s="239"/>
      <c r="EJ17" s="239"/>
      <c r="EK17" s="239"/>
      <c r="EL17" s="239"/>
      <c r="EM17" s="239"/>
      <c r="EN17" s="239">
        <v>0.92227979274611416</v>
      </c>
    </row>
    <row r="18" spans="2:144" ht="11.1" customHeight="1">
      <c r="B18" s="22" t="s">
        <v>1190</v>
      </c>
      <c r="C18" s="22" t="s">
        <v>1238</v>
      </c>
      <c r="D18"/>
      <c r="E18" s="3" t="s">
        <v>1258</v>
      </c>
      <c r="F18" s="3" t="s">
        <v>1220</v>
      </c>
      <c r="I18" s="18" t="s">
        <v>35</v>
      </c>
      <c r="J18" s="21" t="s">
        <v>483</v>
      </c>
      <c r="K18" s="15"/>
      <c r="L18" s="12"/>
      <c r="M18" s="10" t="s">
        <v>484</v>
      </c>
      <c r="N18" s="11" t="s">
        <v>485</v>
      </c>
      <c r="O18" s="9" t="s">
        <v>486</v>
      </c>
      <c r="P18" s="12"/>
      <c r="Q18" s="12"/>
      <c r="R18" s="9" t="s">
        <v>487</v>
      </c>
      <c r="S18" s="12"/>
      <c r="T18" s="9" t="s">
        <v>488</v>
      </c>
      <c r="U18" s="12"/>
      <c r="V18" s="12"/>
      <c r="W18" s="9" t="s">
        <v>489</v>
      </c>
      <c r="X18" s="9" t="s">
        <v>490</v>
      </c>
      <c r="Y18" s="12"/>
      <c r="Z18" s="9" t="s">
        <v>491</v>
      </c>
      <c r="AA18" s="12"/>
      <c r="AB18" s="12"/>
      <c r="AC18" s="12"/>
      <c r="AD18" s="9" t="s">
        <v>492</v>
      </c>
      <c r="AE18" s="12"/>
      <c r="AF18" s="12"/>
      <c r="AG18" s="12"/>
      <c r="AH18" s="12"/>
      <c r="AI18" s="12"/>
      <c r="AJ18" s="9" t="s">
        <v>493</v>
      </c>
      <c r="AK18" s="12"/>
      <c r="AL18" s="9" t="s">
        <v>494</v>
      </c>
      <c r="AM18" s="9" t="s">
        <v>495</v>
      </c>
      <c r="AN18" s="12"/>
      <c r="AO18" s="12"/>
      <c r="AP18" s="12"/>
      <c r="AQ18" s="12"/>
      <c r="AR18" s="12"/>
      <c r="AS18" s="9" t="s">
        <v>496</v>
      </c>
      <c r="AX18" s="50" t="s">
        <v>1379</v>
      </c>
      <c r="AY18" s="56">
        <v>20</v>
      </c>
      <c r="BM18" s="76">
        <v>5</v>
      </c>
      <c r="BN18" s="66"/>
      <c r="BO18" s="192"/>
      <c r="BP18" s="67"/>
      <c r="BQ18" s="66"/>
      <c r="BR18" s="192"/>
      <c r="BS18" s="67"/>
      <c r="BT18" s="66"/>
      <c r="BU18" s="192"/>
      <c r="BV18" s="67"/>
      <c r="BW18" s="66"/>
      <c r="BX18" s="192"/>
      <c r="BY18" s="67"/>
      <c r="BZ18" s="66"/>
      <c r="CA18" s="192"/>
      <c r="CB18" s="67"/>
      <c r="CC18" s="66"/>
      <c r="CD18" s="192"/>
      <c r="CE18" s="67"/>
      <c r="CF18" s="66"/>
      <c r="CG18" s="192"/>
      <c r="CH18" s="67"/>
      <c r="CI18" s="66"/>
      <c r="CJ18" s="192"/>
      <c r="CL18" s="132" t="s">
        <v>1295</v>
      </c>
      <c r="CM18" s="133"/>
      <c r="CN18" s="134"/>
      <c r="CO18" s="135">
        <v>1422431.2286052466</v>
      </c>
      <c r="CP18" s="135">
        <v>1157544.620820554</v>
      </c>
      <c r="CQ18" s="135">
        <v>568868.02798137057</v>
      </c>
      <c r="CR18" s="135">
        <v>374874.6879987389</v>
      </c>
      <c r="CS18" s="135">
        <v>999276.03752509609</v>
      </c>
      <c r="CT18" s="135">
        <v>1119313.0632217855</v>
      </c>
      <c r="CU18" s="135">
        <v>1342540.4105977085</v>
      </c>
      <c r="CV18" s="135">
        <v>1915244.3421218994</v>
      </c>
      <c r="CX18" s="120">
        <v>6</v>
      </c>
      <c r="CY18" s="120">
        <v>1106</v>
      </c>
      <c r="CZ18" s="121" t="s">
        <v>265</v>
      </c>
      <c r="DA18" s="181">
        <f t="shared" si="0"/>
        <v>0.88543823326432025</v>
      </c>
      <c r="DC18" s="155" t="s">
        <v>1192</v>
      </c>
      <c r="DD18" s="156" t="s">
        <v>1535</v>
      </c>
      <c r="DE18" s="157" t="s">
        <v>1629</v>
      </c>
      <c r="DF18" s="167" t="s">
        <v>1537</v>
      </c>
      <c r="DG18" s="158"/>
      <c r="DH18" s="155" t="s">
        <v>1192</v>
      </c>
      <c r="DI18" s="156" t="s">
        <v>1535</v>
      </c>
      <c r="DJ18" s="157" t="s">
        <v>1629</v>
      </c>
      <c r="DK18" s="167" t="s">
        <v>1537</v>
      </c>
      <c r="DW18" s="221">
        <v>14</v>
      </c>
      <c r="DX18" s="220">
        <v>13</v>
      </c>
      <c r="DY18" s="220">
        <v>23</v>
      </c>
      <c r="DZ18" s="220">
        <v>28</v>
      </c>
      <c r="EA18" s="220">
        <v>29</v>
      </c>
      <c r="EB18" s="220">
        <v>38</v>
      </c>
      <c r="EC18" s="220">
        <v>38</v>
      </c>
      <c r="EH18" s="200">
        <v>13</v>
      </c>
      <c r="EI18" s="239"/>
      <c r="EJ18" s="239"/>
      <c r="EK18" s="239"/>
      <c r="EL18" s="239"/>
      <c r="EM18" s="239"/>
      <c r="EN18" s="239">
        <v>0.9412780656303974</v>
      </c>
    </row>
    <row r="19" spans="2:144" ht="11.1" customHeight="1">
      <c r="B19" s="22" t="s">
        <v>1191</v>
      </c>
      <c r="C19" s="22" t="s">
        <v>1204</v>
      </c>
      <c r="D19"/>
      <c r="E19" s="3" t="s">
        <v>1259</v>
      </c>
      <c r="F19" s="3" t="s">
        <v>1221</v>
      </c>
      <c r="I19" s="18" t="s">
        <v>36</v>
      </c>
      <c r="J19" s="21" t="s">
        <v>497</v>
      </c>
      <c r="K19" s="15"/>
      <c r="L19" s="12"/>
      <c r="M19" s="10" t="s">
        <v>498</v>
      </c>
      <c r="N19" s="11" t="s">
        <v>499</v>
      </c>
      <c r="O19" s="9" t="s">
        <v>500</v>
      </c>
      <c r="P19" s="12"/>
      <c r="Q19" s="12"/>
      <c r="R19" s="9" t="s">
        <v>501</v>
      </c>
      <c r="S19" s="12"/>
      <c r="T19" s="12"/>
      <c r="U19" s="12"/>
      <c r="V19" s="12"/>
      <c r="W19" s="9" t="s">
        <v>502</v>
      </c>
      <c r="X19" s="9" t="s">
        <v>503</v>
      </c>
      <c r="Y19" s="12"/>
      <c r="Z19" s="9" t="s">
        <v>504</v>
      </c>
      <c r="AA19" s="12"/>
      <c r="AB19" s="12"/>
      <c r="AC19" s="12"/>
      <c r="AD19" s="9" t="s">
        <v>505</v>
      </c>
      <c r="AE19" s="12"/>
      <c r="AF19" s="12"/>
      <c r="AG19" s="12"/>
      <c r="AH19" s="12"/>
      <c r="AI19" s="12"/>
      <c r="AJ19" s="12"/>
      <c r="AK19" s="12"/>
      <c r="AL19" s="9" t="s">
        <v>506</v>
      </c>
      <c r="AM19" s="9" t="s">
        <v>507</v>
      </c>
      <c r="AN19" s="12"/>
      <c r="AO19" s="12"/>
      <c r="AP19" s="12"/>
      <c r="AQ19" s="12"/>
      <c r="AR19" s="12"/>
      <c r="AS19" s="9" t="s">
        <v>508</v>
      </c>
      <c r="AX19" s="50" t="s">
        <v>1373</v>
      </c>
      <c r="AY19" s="56">
        <v>30</v>
      </c>
      <c r="BM19" s="75" t="s">
        <v>1296</v>
      </c>
      <c r="BN19" s="65" t="s">
        <v>1430</v>
      </c>
      <c r="BO19" s="191"/>
      <c r="BP19" s="67"/>
      <c r="BQ19" s="65" t="s">
        <v>1431</v>
      </c>
      <c r="BR19" s="191"/>
      <c r="BS19" s="67"/>
      <c r="BT19" s="65" t="s">
        <v>1432</v>
      </c>
      <c r="BU19" s="191"/>
      <c r="BV19" s="67"/>
      <c r="BW19" s="65" t="s">
        <v>1433</v>
      </c>
      <c r="BX19" s="191"/>
      <c r="BY19" s="67"/>
      <c r="BZ19" s="65" t="s">
        <v>1462</v>
      </c>
      <c r="CA19" s="191"/>
      <c r="CB19" s="67"/>
      <c r="CC19" s="65" t="s">
        <v>1463</v>
      </c>
      <c r="CD19" s="191"/>
      <c r="CE19" s="67"/>
      <c r="CF19" s="65" t="s">
        <v>1464</v>
      </c>
      <c r="CG19" s="191"/>
      <c r="CH19" s="67"/>
      <c r="CI19" s="65" t="s">
        <v>1465</v>
      </c>
      <c r="CJ19" s="191"/>
      <c r="CL19" s="132" t="s">
        <v>1296</v>
      </c>
      <c r="CM19" s="133"/>
      <c r="CN19" s="134"/>
      <c r="CO19" s="135">
        <v>200662.22327169744</v>
      </c>
      <c r="CP19" s="135">
        <v>128993.50785967731</v>
      </c>
      <c r="CQ19" s="135">
        <v>191705.15234868601</v>
      </c>
      <c r="CR19" s="135">
        <v>80639.029939200002</v>
      </c>
      <c r="CS19" s="135">
        <v>335100.34681607812</v>
      </c>
      <c r="CT19" s="135">
        <v>105145.09005079906</v>
      </c>
      <c r="CU19" s="135">
        <v>61391.874175728357</v>
      </c>
      <c r="CV19" s="135">
        <v>32830.37876616951</v>
      </c>
      <c r="CX19" s="120">
        <v>7</v>
      </c>
      <c r="CY19" s="120">
        <v>1107</v>
      </c>
      <c r="CZ19" s="121" t="s">
        <v>297</v>
      </c>
      <c r="DA19" s="181">
        <f t="shared" si="0"/>
        <v>0.8358350586611456</v>
      </c>
      <c r="DC19" s="159" t="s">
        <v>8</v>
      </c>
      <c r="DD19" s="159">
        <v>1200</v>
      </c>
      <c r="DE19" s="160" t="s">
        <v>661</v>
      </c>
      <c r="DF19" s="168">
        <v>0.87551759834368525</v>
      </c>
      <c r="DG19" s="161"/>
      <c r="DH19" s="162">
        <v>17</v>
      </c>
      <c r="DI19" s="162">
        <v>1217</v>
      </c>
      <c r="DJ19" s="163" t="s">
        <v>678</v>
      </c>
      <c r="DK19" s="169">
        <v>0.92356797791580403</v>
      </c>
      <c r="DW19" s="221">
        <v>15</v>
      </c>
      <c r="DX19" s="220">
        <v>14</v>
      </c>
      <c r="DY19" s="220">
        <v>25</v>
      </c>
      <c r="DZ19" s="220">
        <v>30</v>
      </c>
      <c r="EA19" s="220">
        <v>31</v>
      </c>
      <c r="EB19" s="220">
        <v>40</v>
      </c>
      <c r="EC19" s="220">
        <v>40</v>
      </c>
      <c r="EE19"/>
      <c r="EF19"/>
      <c r="EH19" s="200">
        <v>14</v>
      </c>
      <c r="EI19" s="239"/>
      <c r="EJ19" s="239"/>
      <c r="EK19" s="239"/>
      <c r="EL19" s="239"/>
      <c r="EM19" s="239"/>
      <c r="EN19" s="239">
        <v>0.96113989637305708</v>
      </c>
    </row>
    <row r="20" spans="2:144" ht="11.1" customHeight="1">
      <c r="B20" s="22"/>
      <c r="C20" s="22" t="s">
        <v>1240</v>
      </c>
      <c r="D20"/>
      <c r="E20" s="3" t="s">
        <v>1260</v>
      </c>
      <c r="F20" s="3" t="s">
        <v>1222</v>
      </c>
      <c r="I20" s="18" t="s">
        <v>37</v>
      </c>
      <c r="J20" s="21" t="s">
        <v>509</v>
      </c>
      <c r="K20" s="15"/>
      <c r="L20" s="12"/>
      <c r="M20" s="10" t="s">
        <v>510</v>
      </c>
      <c r="N20" s="11" t="s">
        <v>511</v>
      </c>
      <c r="O20" s="9" t="s">
        <v>512</v>
      </c>
      <c r="P20" s="12"/>
      <c r="Q20" s="12"/>
      <c r="R20" s="9" t="s">
        <v>513</v>
      </c>
      <c r="S20" s="12"/>
      <c r="T20" s="12"/>
      <c r="U20" s="12"/>
      <c r="V20" s="12"/>
      <c r="W20" s="9" t="s">
        <v>514</v>
      </c>
      <c r="X20" s="9" t="s">
        <v>515</v>
      </c>
      <c r="Y20" s="12"/>
      <c r="Z20" s="9" t="s">
        <v>516</v>
      </c>
      <c r="AA20" s="12"/>
      <c r="AB20" s="12"/>
      <c r="AC20" s="12"/>
      <c r="AD20" s="9" t="s">
        <v>517</v>
      </c>
      <c r="AE20" s="12"/>
      <c r="AF20" s="12"/>
      <c r="AG20" s="12"/>
      <c r="AH20" s="12"/>
      <c r="AI20" s="12"/>
      <c r="AJ20" s="12"/>
      <c r="AK20" s="12"/>
      <c r="AL20" s="9" t="s">
        <v>518</v>
      </c>
      <c r="AM20" s="9" t="s">
        <v>519</v>
      </c>
      <c r="AN20" s="12"/>
      <c r="AO20" s="12"/>
      <c r="AP20" s="12"/>
      <c r="AQ20" s="12"/>
      <c r="AR20" s="12"/>
      <c r="AS20" s="9" t="s">
        <v>520</v>
      </c>
      <c r="AX20" s="50" t="s">
        <v>1374</v>
      </c>
      <c r="AY20" s="56">
        <v>30</v>
      </c>
      <c r="BM20" s="76">
        <v>1</v>
      </c>
      <c r="BN20" s="207" t="s">
        <v>1670</v>
      </c>
      <c r="BO20" s="192">
        <v>1</v>
      </c>
      <c r="BP20" s="67"/>
      <c r="BQ20" s="207" t="s">
        <v>1670</v>
      </c>
      <c r="BR20" s="192">
        <v>1</v>
      </c>
      <c r="BS20" s="67"/>
      <c r="BT20" s="207" t="s">
        <v>1670</v>
      </c>
      <c r="BU20" s="192">
        <v>1</v>
      </c>
      <c r="BV20" s="67"/>
      <c r="BW20" s="207" t="s">
        <v>1670</v>
      </c>
      <c r="BX20" s="192">
        <v>1</v>
      </c>
      <c r="BY20" s="67"/>
      <c r="BZ20" s="207" t="s">
        <v>1670</v>
      </c>
      <c r="CA20" s="192">
        <v>0</v>
      </c>
      <c r="CB20" s="67"/>
      <c r="CC20" s="207" t="s">
        <v>1670</v>
      </c>
      <c r="CD20" s="192">
        <v>0</v>
      </c>
      <c r="CE20" s="67"/>
      <c r="CF20" s="207" t="s">
        <v>1670</v>
      </c>
      <c r="CG20" s="192">
        <v>0</v>
      </c>
      <c r="CH20" s="67"/>
      <c r="CI20" s="207" t="s">
        <v>1670</v>
      </c>
      <c r="CJ20" s="192">
        <v>0</v>
      </c>
      <c r="CL20" s="132" t="s">
        <v>1298</v>
      </c>
      <c r="CM20" s="133"/>
      <c r="CN20" s="134"/>
      <c r="CO20" s="135">
        <v>256884.51108011158</v>
      </c>
      <c r="CP20" s="135">
        <v>149058.00095713802</v>
      </c>
      <c r="CQ20" s="135">
        <v>144469.17678415836</v>
      </c>
      <c r="CR20" s="135">
        <v>109613.73611950289</v>
      </c>
      <c r="CS20" s="135">
        <v>92448.447483305747</v>
      </c>
      <c r="CT20" s="135">
        <v>170011.93906692677</v>
      </c>
      <c r="CU20" s="135">
        <v>76607.022595929477</v>
      </c>
      <c r="CV20" s="135">
        <v>44076.876863384648</v>
      </c>
      <c r="CX20" s="120">
        <v>8</v>
      </c>
      <c r="CY20" s="120">
        <v>1108</v>
      </c>
      <c r="CZ20" s="121" t="s">
        <v>327</v>
      </c>
      <c r="DA20" s="181">
        <f t="shared" si="0"/>
        <v>0.82858868184955137</v>
      </c>
      <c r="DC20" s="162">
        <v>1</v>
      </c>
      <c r="DD20" s="162">
        <v>1201</v>
      </c>
      <c r="DE20" s="163" t="s">
        <v>662</v>
      </c>
      <c r="DF20" s="169">
        <v>0.96005866114561766</v>
      </c>
      <c r="DG20" s="161"/>
      <c r="DH20" s="162">
        <v>18</v>
      </c>
      <c r="DI20" s="162">
        <v>1218</v>
      </c>
      <c r="DJ20" s="163" t="s">
        <v>679</v>
      </c>
      <c r="DK20" s="169">
        <v>0.86042097998619738</v>
      </c>
      <c r="DW20" s="221">
        <v>16</v>
      </c>
      <c r="DX20" s="222">
        <v>16</v>
      </c>
      <c r="DY20" s="220">
        <v>27</v>
      </c>
      <c r="DZ20" s="220">
        <v>32</v>
      </c>
      <c r="EA20" s="220">
        <v>33</v>
      </c>
      <c r="EB20" s="220">
        <v>42</v>
      </c>
      <c r="EC20" s="220">
        <v>42</v>
      </c>
      <c r="EE20"/>
      <c r="EF20"/>
      <c r="EH20" s="200">
        <v>15</v>
      </c>
      <c r="EI20" s="239"/>
      <c r="EJ20" s="239"/>
      <c r="EK20" s="239"/>
      <c r="EL20" s="239"/>
      <c r="EM20" s="239"/>
      <c r="EN20" s="239">
        <v>0.98013816925734032</v>
      </c>
    </row>
    <row r="21" spans="2:144" ht="11.1" customHeight="1">
      <c r="B21" s="23"/>
      <c r="C21" s="23"/>
      <c r="D21"/>
      <c r="E21" s="3" t="s">
        <v>1261</v>
      </c>
      <c r="F21" s="3" t="s">
        <v>1223</v>
      </c>
      <c r="I21" s="18" t="s">
        <v>38</v>
      </c>
      <c r="J21" s="21" t="s">
        <v>521</v>
      </c>
      <c r="K21" s="15"/>
      <c r="L21" s="12"/>
      <c r="M21" s="10" t="s">
        <v>522</v>
      </c>
      <c r="N21" s="11" t="s">
        <v>523</v>
      </c>
      <c r="O21" s="9" t="s">
        <v>524</v>
      </c>
      <c r="P21" s="12"/>
      <c r="Q21" s="12"/>
      <c r="R21" s="12"/>
      <c r="S21" s="12"/>
      <c r="T21" s="12"/>
      <c r="U21" s="12"/>
      <c r="V21" s="12"/>
      <c r="W21" s="9" t="s">
        <v>525</v>
      </c>
      <c r="X21" s="9" t="s">
        <v>526</v>
      </c>
      <c r="Y21" s="12"/>
      <c r="Z21" s="9" t="s">
        <v>527</v>
      </c>
      <c r="AA21" s="12"/>
      <c r="AB21" s="12"/>
      <c r="AC21" s="12"/>
      <c r="AD21" s="9" t="s">
        <v>528</v>
      </c>
      <c r="AE21" s="12"/>
      <c r="AF21" s="12"/>
      <c r="AG21" s="12"/>
      <c r="AH21" s="12"/>
      <c r="AI21" s="12"/>
      <c r="AJ21" s="12"/>
      <c r="AK21" s="12"/>
      <c r="AL21" s="9" t="s">
        <v>529</v>
      </c>
      <c r="AM21" s="12"/>
      <c r="AN21" s="12"/>
      <c r="AO21" s="12"/>
      <c r="AP21" s="12"/>
      <c r="AQ21" s="12"/>
      <c r="AR21" s="12"/>
      <c r="AS21" s="9" t="s">
        <v>530</v>
      </c>
      <c r="AX21" s="50" t="s">
        <v>1375</v>
      </c>
      <c r="AY21" s="56">
        <v>40</v>
      </c>
      <c r="BM21" s="76">
        <v>2</v>
      </c>
      <c r="BN21" s="66" t="s">
        <v>1297</v>
      </c>
      <c r="BO21" s="192">
        <v>0.14984975631250799</v>
      </c>
      <c r="BP21" s="67"/>
      <c r="BQ21" s="66" t="s">
        <v>1297</v>
      </c>
      <c r="BR21" s="192">
        <v>0.14661052085962678</v>
      </c>
      <c r="BS21" s="67"/>
      <c r="BT21" s="66" t="s">
        <v>1293</v>
      </c>
      <c r="BU21" s="192">
        <v>1</v>
      </c>
      <c r="BV21" s="67"/>
      <c r="BW21" s="66" t="s">
        <v>1293</v>
      </c>
      <c r="BX21" s="192">
        <v>1</v>
      </c>
      <c r="BY21" s="67"/>
      <c r="BZ21" s="66" t="s">
        <v>1631</v>
      </c>
      <c r="CA21" s="192">
        <v>1</v>
      </c>
      <c r="CB21" s="67"/>
      <c r="CC21" s="66" t="s">
        <v>1669</v>
      </c>
      <c r="CD21" s="192">
        <v>0</v>
      </c>
      <c r="CE21" s="67"/>
      <c r="CF21" s="66" t="s">
        <v>1669</v>
      </c>
      <c r="CG21" s="192">
        <v>0</v>
      </c>
      <c r="CH21" s="67"/>
      <c r="CI21" s="66" t="s">
        <v>1669</v>
      </c>
      <c r="CJ21" s="192">
        <v>0</v>
      </c>
      <c r="CL21" s="132" t="s">
        <v>1507</v>
      </c>
      <c r="CM21" s="133"/>
      <c r="CN21" s="134"/>
      <c r="CO21" s="135">
        <v>420636.91887952044</v>
      </c>
      <c r="CP21" s="135">
        <v>186371.94373167929</v>
      </c>
      <c r="CQ21" s="135">
        <v>97400.548642233975</v>
      </c>
      <c r="CR21" s="135">
        <v>58174.171600000001</v>
      </c>
      <c r="CS21" s="135">
        <v>0</v>
      </c>
      <c r="CT21" s="135">
        <v>138468.01453758727</v>
      </c>
      <c r="CU21" s="135">
        <v>143634.6682284277</v>
      </c>
      <c r="CV21" s="135">
        <v>133188.90665461202</v>
      </c>
      <c r="CX21" s="120">
        <v>9</v>
      </c>
      <c r="CY21" s="120">
        <v>1109</v>
      </c>
      <c r="CZ21" s="121" t="s">
        <v>354</v>
      </c>
      <c r="DA21" s="181">
        <f t="shared" si="0"/>
        <v>0.81176673567977908</v>
      </c>
      <c r="DC21" s="162">
        <v>2</v>
      </c>
      <c r="DD21" s="162">
        <v>1202</v>
      </c>
      <c r="DE21" s="163" t="s">
        <v>663</v>
      </c>
      <c r="DF21" s="169">
        <v>0.87862318840579701</v>
      </c>
      <c r="DG21" s="161"/>
      <c r="DH21" s="162">
        <v>19</v>
      </c>
      <c r="DI21" s="162">
        <v>1219</v>
      </c>
      <c r="DJ21" s="163" t="s">
        <v>680</v>
      </c>
      <c r="DK21" s="169">
        <v>0.88414423740510695</v>
      </c>
      <c r="DW21" s="221">
        <v>17</v>
      </c>
      <c r="DX21" s="222">
        <v>18</v>
      </c>
      <c r="DY21" s="220">
        <v>29</v>
      </c>
      <c r="DZ21" s="220">
        <v>34</v>
      </c>
      <c r="EA21" s="220">
        <v>35</v>
      </c>
      <c r="EB21" s="220">
        <v>44</v>
      </c>
      <c r="EC21" s="220">
        <v>44</v>
      </c>
      <c r="EE21"/>
      <c r="EF21"/>
      <c r="EH21" s="226">
        <v>16</v>
      </c>
      <c r="EI21" s="239"/>
      <c r="EJ21" s="239"/>
      <c r="EK21" s="239"/>
      <c r="EL21" s="239"/>
      <c r="EM21" s="239"/>
      <c r="EN21" s="240">
        <v>1</v>
      </c>
    </row>
    <row r="22" spans="2:144" ht="11.1" customHeight="1">
      <c r="B22"/>
      <c r="C22"/>
      <c r="D22"/>
      <c r="E22" s="3" t="s">
        <v>1218</v>
      </c>
      <c r="F22" s="3" t="s">
        <v>1224</v>
      </c>
      <c r="I22" s="18" t="s">
        <v>39</v>
      </c>
      <c r="J22" s="21" t="s">
        <v>531</v>
      </c>
      <c r="K22" s="15"/>
      <c r="L22" s="12"/>
      <c r="M22" s="10" t="s">
        <v>532</v>
      </c>
      <c r="N22" s="11" t="s">
        <v>533</v>
      </c>
      <c r="O22" s="9" t="s">
        <v>534</v>
      </c>
      <c r="P22" s="12"/>
      <c r="Q22" s="12"/>
      <c r="R22" s="12"/>
      <c r="S22" s="12"/>
      <c r="T22" s="12"/>
      <c r="U22" s="12"/>
      <c r="V22" s="12"/>
      <c r="W22" s="9" t="s">
        <v>535</v>
      </c>
      <c r="X22" s="9" t="s">
        <v>536</v>
      </c>
      <c r="Y22" s="12"/>
      <c r="Z22" s="9" t="s">
        <v>537</v>
      </c>
      <c r="AA22" s="12"/>
      <c r="AB22" s="12"/>
      <c r="AC22" s="12"/>
      <c r="AD22" s="9" t="s">
        <v>538</v>
      </c>
      <c r="AE22" s="12"/>
      <c r="AF22" s="12"/>
      <c r="AG22" s="12"/>
      <c r="AH22" s="12"/>
      <c r="AI22" s="12"/>
      <c r="AJ22" s="12"/>
      <c r="AK22" s="12"/>
      <c r="AL22" s="9" t="s">
        <v>539</v>
      </c>
      <c r="AM22" s="12"/>
      <c r="AN22" s="12"/>
      <c r="AO22" s="12"/>
      <c r="AP22" s="12"/>
      <c r="AQ22" s="12"/>
      <c r="AR22" s="12"/>
      <c r="AS22" s="9" t="s">
        <v>540</v>
      </c>
      <c r="BM22" s="76">
        <v>3</v>
      </c>
      <c r="BN22" s="66" t="s">
        <v>1662</v>
      </c>
      <c r="BO22" s="192">
        <v>1</v>
      </c>
      <c r="BP22" s="67"/>
      <c r="BQ22" s="66" t="s">
        <v>1662</v>
      </c>
      <c r="BR22" s="192">
        <v>1</v>
      </c>
      <c r="BS22" s="67"/>
      <c r="BT22" s="66" t="s">
        <v>1530</v>
      </c>
      <c r="BU22" s="192"/>
      <c r="BV22" s="67"/>
      <c r="BW22" s="66" t="s">
        <v>1530</v>
      </c>
      <c r="BX22" s="192"/>
      <c r="BY22" s="67"/>
      <c r="BZ22" s="66" t="s">
        <v>1293</v>
      </c>
      <c r="CA22" s="192">
        <v>0.1663156526276991</v>
      </c>
      <c r="CB22" s="67"/>
      <c r="CC22" s="66" t="s">
        <v>1530</v>
      </c>
      <c r="CD22" s="192"/>
      <c r="CE22" s="67"/>
      <c r="CF22" s="66" t="s">
        <v>1530</v>
      </c>
      <c r="CG22" s="192"/>
      <c r="CH22" s="67"/>
      <c r="CI22" s="66" t="s">
        <v>1530</v>
      </c>
      <c r="CJ22" s="192"/>
      <c r="CL22" s="132" t="s">
        <v>1311</v>
      </c>
      <c r="CM22" s="133"/>
      <c r="CN22" s="134"/>
      <c r="CO22" s="135">
        <v>1178043.9611627902</v>
      </c>
      <c r="CP22" s="135">
        <v>624054.42437273031</v>
      </c>
      <c r="CQ22" s="135">
        <v>399661.26190789428</v>
      </c>
      <c r="CR22" s="135">
        <v>315035.31881954125</v>
      </c>
      <c r="CS22" s="135">
        <v>297427.32536114001</v>
      </c>
      <c r="CT22" s="135">
        <v>371957.71567262203</v>
      </c>
      <c r="CU22" s="135">
        <v>617656.1728034917</v>
      </c>
      <c r="CV22" s="135">
        <v>838165.06959714275</v>
      </c>
      <c r="CX22" s="120">
        <v>10</v>
      </c>
      <c r="CY22" s="120">
        <v>1110</v>
      </c>
      <c r="CZ22" s="121" t="s">
        <v>381</v>
      </c>
      <c r="DA22" s="181">
        <f t="shared" si="0"/>
        <v>0.86689095928226356</v>
      </c>
      <c r="DC22" s="162">
        <v>3</v>
      </c>
      <c r="DD22" s="162">
        <v>1203</v>
      </c>
      <c r="DE22" s="163" t="s">
        <v>664</v>
      </c>
      <c r="DF22" s="169">
        <v>0.91890959282263629</v>
      </c>
      <c r="DG22" s="161"/>
      <c r="DH22" s="162">
        <v>20</v>
      </c>
      <c r="DI22" s="162">
        <v>1220</v>
      </c>
      <c r="DJ22" s="163" t="s">
        <v>681</v>
      </c>
      <c r="DK22" s="169">
        <v>0.8814699792960663</v>
      </c>
      <c r="DW22" s="221">
        <v>18</v>
      </c>
      <c r="DX22" s="222">
        <v>20</v>
      </c>
      <c r="DY22" s="220">
        <v>31</v>
      </c>
      <c r="DZ22" s="220">
        <v>36</v>
      </c>
      <c r="EA22" s="220">
        <v>37</v>
      </c>
      <c r="EB22" s="220">
        <v>46</v>
      </c>
      <c r="EC22" s="220">
        <v>46</v>
      </c>
      <c r="EH22" s="200">
        <v>17</v>
      </c>
      <c r="EI22" s="239"/>
      <c r="EJ22" s="239"/>
      <c r="EK22" s="239"/>
      <c r="EL22" s="239"/>
      <c r="EM22" s="239"/>
      <c r="EN22" s="239">
        <v>1.0189982728842832</v>
      </c>
    </row>
    <row r="23" spans="2:144" ht="11.1" customHeight="1">
      <c r="B23"/>
      <c r="C23"/>
      <c r="D23"/>
      <c r="E23" s="3" t="s">
        <v>1262</v>
      </c>
      <c r="F23" s="3" t="s">
        <v>1225</v>
      </c>
      <c r="I23" s="18" t="s">
        <v>40</v>
      </c>
      <c r="J23" s="21" t="s">
        <v>541</v>
      </c>
      <c r="K23" s="15"/>
      <c r="L23" s="12"/>
      <c r="M23" s="10" t="s">
        <v>542</v>
      </c>
      <c r="N23" s="11" t="s">
        <v>543</v>
      </c>
      <c r="O23" s="12"/>
      <c r="P23" s="12"/>
      <c r="Q23" s="12"/>
      <c r="R23" s="12"/>
      <c r="S23" s="12"/>
      <c r="T23" s="12"/>
      <c r="U23" s="12"/>
      <c r="V23" s="12"/>
      <c r="W23" s="9" t="s">
        <v>544</v>
      </c>
      <c r="X23" s="9" t="s">
        <v>545</v>
      </c>
      <c r="Y23" s="12"/>
      <c r="Z23" s="9" t="s">
        <v>546</v>
      </c>
      <c r="AA23" s="12"/>
      <c r="AB23" s="12"/>
      <c r="AC23" s="12"/>
      <c r="AD23" s="9" t="s">
        <v>547</v>
      </c>
      <c r="AE23" s="12"/>
      <c r="AF23" s="12"/>
      <c r="AG23" s="12"/>
      <c r="AH23" s="12"/>
      <c r="AI23" s="12"/>
      <c r="AJ23" s="12"/>
      <c r="AK23" s="12"/>
      <c r="AL23" s="9" t="s">
        <v>548</v>
      </c>
      <c r="AM23" s="12"/>
      <c r="AN23" s="12"/>
      <c r="AO23" s="12"/>
      <c r="AP23" s="12"/>
      <c r="AQ23" s="12"/>
      <c r="AR23" s="12"/>
      <c r="AS23" s="9" t="s">
        <v>549</v>
      </c>
      <c r="AX23" s="57" t="s">
        <v>1394</v>
      </c>
      <c r="AY23" s="56"/>
      <c r="BM23" s="76">
        <v>4</v>
      </c>
      <c r="BN23" s="66" t="s">
        <v>1293</v>
      </c>
      <c r="BO23" s="192">
        <v>0.17529603769160138</v>
      </c>
      <c r="BP23" s="67"/>
      <c r="BQ23" s="66" t="s">
        <v>1293</v>
      </c>
      <c r="BR23" s="192">
        <v>0.12842135682765052</v>
      </c>
      <c r="BS23" s="67"/>
      <c r="BT23" s="66"/>
      <c r="BU23" s="192"/>
      <c r="BV23" s="67"/>
      <c r="BW23" s="66"/>
      <c r="BX23" s="192"/>
      <c r="BY23" s="67"/>
      <c r="BZ23" s="66" t="s">
        <v>1530</v>
      </c>
      <c r="CA23" s="192"/>
      <c r="CB23" s="67"/>
      <c r="CC23" s="66"/>
      <c r="CD23" s="192"/>
      <c r="CE23" s="67"/>
      <c r="CF23" s="66"/>
      <c r="CG23" s="192"/>
      <c r="CH23" s="67"/>
      <c r="CI23" s="66"/>
      <c r="CJ23" s="192"/>
      <c r="CL23" s="132" t="s">
        <v>1327</v>
      </c>
      <c r="CM23" s="133"/>
      <c r="CN23" s="134"/>
      <c r="CO23" s="135">
        <v>400233.13319242658</v>
      </c>
      <c r="CP23" s="135">
        <v>259668.68666025047</v>
      </c>
      <c r="CQ23" s="135">
        <v>199841.01979466228</v>
      </c>
      <c r="CR23" s="135">
        <v>78630.917990400005</v>
      </c>
      <c r="CS23" s="135">
        <v>71605.490572625698</v>
      </c>
      <c r="CT23" s="135">
        <v>115834.14599660241</v>
      </c>
      <c r="CU23" s="135">
        <v>631002.65593155846</v>
      </c>
      <c r="CV23" s="135">
        <v>749025.72865547577</v>
      </c>
      <c r="CX23" s="120">
        <v>11</v>
      </c>
      <c r="CY23" s="120">
        <v>1111</v>
      </c>
      <c r="CZ23" s="121" t="s">
        <v>407</v>
      </c>
      <c r="DA23" s="181">
        <f t="shared" si="0"/>
        <v>0.87232574189095935</v>
      </c>
      <c r="DC23" s="162">
        <v>4</v>
      </c>
      <c r="DD23" s="162">
        <v>1204</v>
      </c>
      <c r="DE23" s="163" t="s">
        <v>665</v>
      </c>
      <c r="DF23" s="169">
        <v>0.86214630779848167</v>
      </c>
      <c r="DG23" s="161"/>
      <c r="DH23" s="162">
        <v>21</v>
      </c>
      <c r="DI23" s="162">
        <v>1221</v>
      </c>
      <c r="DJ23" s="163" t="s">
        <v>682</v>
      </c>
      <c r="DK23" s="169">
        <v>0.92253278122843341</v>
      </c>
      <c r="DW23" s="221">
        <v>19</v>
      </c>
      <c r="DX23" s="222">
        <v>22</v>
      </c>
      <c r="DY23" s="220">
        <v>33</v>
      </c>
      <c r="DZ23" s="220">
        <v>38</v>
      </c>
      <c r="EA23" s="220">
        <v>39</v>
      </c>
      <c r="EB23" s="220">
        <v>48</v>
      </c>
      <c r="EC23" s="220">
        <v>48</v>
      </c>
      <c r="EH23" s="200">
        <v>18</v>
      </c>
      <c r="EI23" s="239"/>
      <c r="EJ23" s="239"/>
      <c r="EK23" s="239"/>
      <c r="EL23" s="239"/>
      <c r="EM23" s="239"/>
      <c r="EN23" s="239">
        <v>1.0388601036269431</v>
      </c>
    </row>
    <row r="24" spans="2:144" ht="11.1" customHeight="1">
      <c r="B24"/>
      <c r="C24"/>
      <c r="D24"/>
      <c r="E24" s="3" t="s">
        <v>1263</v>
      </c>
      <c r="F24" s="3" t="s">
        <v>1226</v>
      </c>
      <c r="I24" s="18" t="s">
        <v>41</v>
      </c>
      <c r="J24" s="21" t="s">
        <v>550</v>
      </c>
      <c r="K24" s="15"/>
      <c r="L24" s="12"/>
      <c r="M24" s="10" t="s">
        <v>551</v>
      </c>
      <c r="N24" s="11" t="s">
        <v>552</v>
      </c>
      <c r="O24" s="12"/>
      <c r="P24" s="12"/>
      <c r="Q24" s="12"/>
      <c r="R24" s="12"/>
      <c r="S24" s="12"/>
      <c r="T24" s="12"/>
      <c r="U24" s="12"/>
      <c r="V24" s="12"/>
      <c r="W24" s="9" t="s">
        <v>553</v>
      </c>
      <c r="X24" s="9" t="s">
        <v>554</v>
      </c>
      <c r="Y24" s="12"/>
      <c r="Z24" s="9" t="s">
        <v>555</v>
      </c>
      <c r="AA24" s="12"/>
      <c r="AB24" s="12"/>
      <c r="AC24" s="12"/>
      <c r="AD24" s="9" t="s">
        <v>556</v>
      </c>
      <c r="AE24" s="12"/>
      <c r="AF24" s="12"/>
      <c r="AG24" s="12"/>
      <c r="AH24" s="12"/>
      <c r="AI24" s="12"/>
      <c r="AJ24" s="12"/>
      <c r="AK24" s="12"/>
      <c r="AL24" s="9" t="s">
        <v>557</v>
      </c>
      <c r="AM24" s="12"/>
      <c r="AN24" s="12"/>
      <c r="AO24" s="12"/>
      <c r="AP24" s="12"/>
      <c r="AQ24" s="12"/>
      <c r="AR24" s="12"/>
      <c r="AS24" s="9" t="s">
        <v>558</v>
      </c>
      <c r="AX24" s="4" t="s">
        <v>6</v>
      </c>
      <c r="AY24" s="56">
        <v>0</v>
      </c>
      <c r="BM24" s="76">
        <v>5</v>
      </c>
      <c r="BN24" s="66" t="s">
        <v>1530</v>
      </c>
      <c r="BO24" s="192"/>
      <c r="BP24" s="67"/>
      <c r="BQ24" s="66" t="s">
        <v>1530</v>
      </c>
      <c r="BR24" s="192"/>
      <c r="BS24" s="67"/>
      <c r="BT24" s="66"/>
      <c r="BU24" s="192"/>
      <c r="BV24" s="67"/>
      <c r="BW24" s="66"/>
      <c r="BX24" s="192"/>
      <c r="BY24" s="67"/>
      <c r="BZ24" s="66"/>
      <c r="CA24" s="192"/>
      <c r="CB24" s="67"/>
      <c r="CC24" s="66"/>
      <c r="CD24" s="192"/>
      <c r="CE24" s="67"/>
      <c r="CF24" s="66"/>
      <c r="CG24" s="192"/>
      <c r="CH24" s="67"/>
      <c r="CI24" s="66"/>
      <c r="CJ24" s="192"/>
      <c r="CL24" s="132" t="s">
        <v>1336</v>
      </c>
      <c r="CM24" s="133"/>
      <c r="CN24" s="134"/>
      <c r="CO24" s="135">
        <v>697281.65173357353</v>
      </c>
      <c r="CP24" s="135">
        <v>319856.93279896479</v>
      </c>
      <c r="CQ24" s="135">
        <v>173232.33048297366</v>
      </c>
      <c r="CR24" s="135">
        <v>25743.439999999995</v>
      </c>
      <c r="CS24" s="135">
        <v>235061.84045075628</v>
      </c>
      <c r="CT24" s="135">
        <v>238320.11307822983</v>
      </c>
      <c r="CU24" s="135">
        <v>56987.027220856493</v>
      </c>
      <c r="CV24" s="135">
        <v>47063.677569797903</v>
      </c>
      <c r="CX24" s="120">
        <v>12</v>
      </c>
      <c r="CY24" s="120">
        <v>1112</v>
      </c>
      <c r="CZ24" s="121" t="s">
        <v>429</v>
      </c>
      <c r="DA24" s="181">
        <f t="shared" ref="DA24:DA35" si="1">DK5</f>
        <v>0.81547619047619047</v>
      </c>
      <c r="DC24" s="162">
        <v>5</v>
      </c>
      <c r="DD24" s="162">
        <v>1205</v>
      </c>
      <c r="DE24" s="163" t="s">
        <v>666</v>
      </c>
      <c r="DF24" s="169">
        <v>0.89147688060731545</v>
      </c>
      <c r="DG24" s="161"/>
      <c r="DH24" s="162">
        <v>23</v>
      </c>
      <c r="DI24" s="162">
        <v>1223</v>
      </c>
      <c r="DJ24" s="163" t="s">
        <v>683</v>
      </c>
      <c r="DK24" s="169">
        <v>0.82703588681849549</v>
      </c>
      <c r="DW24" s="221">
        <v>20</v>
      </c>
      <c r="DX24" s="222">
        <v>24</v>
      </c>
      <c r="DY24" s="220">
        <v>35</v>
      </c>
      <c r="DZ24" s="220">
        <v>40</v>
      </c>
      <c r="EA24" s="220">
        <v>41</v>
      </c>
      <c r="EB24" s="220">
        <v>50</v>
      </c>
      <c r="EC24" s="220">
        <v>50</v>
      </c>
      <c r="EH24" s="200">
        <v>19</v>
      </c>
      <c r="EI24" s="239"/>
      <c r="EJ24" s="239"/>
      <c r="EK24" s="239"/>
      <c r="EL24" s="239"/>
      <c r="EM24" s="239"/>
      <c r="EN24" s="239">
        <v>1.0578583765112264</v>
      </c>
    </row>
    <row r="25" spans="2:144" ht="11.1" customHeight="1">
      <c r="B25"/>
      <c r="C25"/>
      <c r="D25"/>
      <c r="E25" s="3" t="s">
        <v>1264</v>
      </c>
      <c r="F25" s="3" t="s">
        <v>1227</v>
      </c>
      <c r="I25" s="18" t="s">
        <v>42</v>
      </c>
      <c r="J25" s="21" t="s">
        <v>559</v>
      </c>
      <c r="K25" s="15"/>
      <c r="L25" s="12"/>
      <c r="M25" s="10" t="s">
        <v>560</v>
      </c>
      <c r="N25" s="11" t="s">
        <v>561</v>
      </c>
      <c r="O25" s="12"/>
      <c r="P25" s="12"/>
      <c r="Q25" s="12"/>
      <c r="R25" s="12"/>
      <c r="S25" s="12"/>
      <c r="T25" s="12"/>
      <c r="U25" s="12"/>
      <c r="V25" s="12"/>
      <c r="W25" s="9" t="s">
        <v>562</v>
      </c>
      <c r="X25" s="9" t="s">
        <v>563</v>
      </c>
      <c r="Y25" s="12"/>
      <c r="Z25" s="9" t="s">
        <v>564</v>
      </c>
      <c r="AA25" s="12"/>
      <c r="AB25" s="12"/>
      <c r="AC25" s="12"/>
      <c r="AD25" s="9" t="s">
        <v>565</v>
      </c>
      <c r="AE25" s="12"/>
      <c r="AF25" s="12"/>
      <c r="AG25" s="12"/>
      <c r="AH25" s="12"/>
      <c r="AI25" s="12"/>
      <c r="AJ25" s="12"/>
      <c r="AK25" s="12"/>
      <c r="AL25" s="9" t="s">
        <v>566</v>
      </c>
      <c r="AM25" s="12"/>
      <c r="AN25" s="12"/>
      <c r="AO25" s="12"/>
      <c r="AP25" s="12"/>
      <c r="AQ25" s="12"/>
      <c r="AR25" s="12"/>
      <c r="AS25" s="9" t="s">
        <v>567</v>
      </c>
      <c r="AX25" s="50" t="s">
        <v>1420</v>
      </c>
      <c r="AY25" s="56">
        <v>40</v>
      </c>
      <c r="BM25" s="75" t="s">
        <v>1298</v>
      </c>
      <c r="BN25" s="65" t="s">
        <v>1434</v>
      </c>
      <c r="BO25" s="191"/>
      <c r="BP25" s="67"/>
      <c r="BQ25" s="65" t="s">
        <v>1435</v>
      </c>
      <c r="BR25" s="191"/>
      <c r="BS25" s="67"/>
      <c r="BT25" s="65" t="s">
        <v>1436</v>
      </c>
      <c r="BU25" s="191"/>
      <c r="BV25" s="67"/>
      <c r="BW25" s="65" t="s">
        <v>1437</v>
      </c>
      <c r="BX25" s="191"/>
      <c r="BY25" s="67"/>
      <c r="BZ25" s="65" t="s">
        <v>1466</v>
      </c>
      <c r="CA25" s="191"/>
      <c r="CB25" s="67"/>
      <c r="CC25" s="65" t="s">
        <v>1467</v>
      </c>
      <c r="CD25" s="191"/>
      <c r="CE25" s="67"/>
      <c r="CF25" s="65" t="s">
        <v>1468</v>
      </c>
      <c r="CG25" s="191"/>
      <c r="CH25" s="67"/>
      <c r="CI25" s="65" t="s">
        <v>1469</v>
      </c>
      <c r="CJ25" s="191"/>
      <c r="CL25" s="132" t="s">
        <v>1508</v>
      </c>
      <c r="CM25" s="133"/>
      <c r="CN25" s="134"/>
      <c r="CO25" s="135">
        <v>329099.45224092581</v>
      </c>
      <c r="CP25" s="135">
        <v>188866.21985863819</v>
      </c>
      <c r="CQ25" s="135">
        <v>178377.69793318462</v>
      </c>
      <c r="CR25" s="135">
        <v>79310.5</v>
      </c>
      <c r="CS25" s="135">
        <v>4615.7035614525139</v>
      </c>
      <c r="CT25" s="135">
        <v>145905.33659757124</v>
      </c>
      <c r="CU25" s="135">
        <v>520095.03421167051</v>
      </c>
      <c r="CV25" s="135">
        <v>628531.54929275054</v>
      </c>
      <c r="CX25" s="120">
        <v>13</v>
      </c>
      <c r="CY25" s="120">
        <v>1113</v>
      </c>
      <c r="CZ25" s="121" t="s">
        <v>449</v>
      </c>
      <c r="DA25" s="181">
        <f t="shared" si="1"/>
        <v>0.78994133885438222</v>
      </c>
      <c r="DC25" s="162">
        <v>6</v>
      </c>
      <c r="DD25" s="162">
        <v>1206</v>
      </c>
      <c r="DE25" s="163" t="s">
        <v>667</v>
      </c>
      <c r="DF25" s="169">
        <v>0.86249137336093862</v>
      </c>
      <c r="DG25" s="161"/>
      <c r="DH25" s="162">
        <v>22</v>
      </c>
      <c r="DI25" s="162">
        <v>1222</v>
      </c>
      <c r="DJ25" s="163" t="s">
        <v>684</v>
      </c>
      <c r="DK25" s="169">
        <v>0.83109040717736371</v>
      </c>
      <c r="DW25" s="221">
        <v>21</v>
      </c>
      <c r="DX25" s="222">
        <v>26</v>
      </c>
      <c r="DY25" s="220">
        <v>37</v>
      </c>
      <c r="DZ25" s="220">
        <v>42</v>
      </c>
      <c r="EA25" s="220">
        <v>43</v>
      </c>
      <c r="EB25" s="220">
        <v>52</v>
      </c>
      <c r="EC25" s="220">
        <v>52</v>
      </c>
      <c r="EH25" s="200">
        <v>20</v>
      </c>
      <c r="EI25" s="239"/>
      <c r="EJ25" s="239"/>
      <c r="EK25" s="239"/>
      <c r="EL25" s="239"/>
      <c r="EM25" s="239"/>
      <c r="EN25" s="239">
        <v>1.0777202072538861</v>
      </c>
    </row>
    <row r="26" spans="2:144" ht="11.1" customHeight="1">
      <c r="B26"/>
      <c r="C26"/>
      <c r="D26"/>
      <c r="E26" s="3" t="s">
        <v>1230</v>
      </c>
      <c r="F26" s="3" t="s">
        <v>1228</v>
      </c>
      <c r="I26" s="18" t="s">
        <v>43</v>
      </c>
      <c r="J26" s="21" t="s">
        <v>568</v>
      </c>
      <c r="K26" s="15"/>
      <c r="L26" s="12"/>
      <c r="M26" s="10" t="s">
        <v>569</v>
      </c>
      <c r="N26" s="11" t="s">
        <v>570</v>
      </c>
      <c r="O26" s="12"/>
      <c r="P26" s="12"/>
      <c r="Q26" s="12"/>
      <c r="R26" s="12"/>
      <c r="S26" s="12"/>
      <c r="T26" s="12"/>
      <c r="U26" s="12"/>
      <c r="V26" s="12"/>
      <c r="W26" s="9" t="s">
        <v>571</v>
      </c>
      <c r="X26" s="9" t="s">
        <v>572</v>
      </c>
      <c r="Y26" s="12"/>
      <c r="Z26" s="9" t="s">
        <v>573</v>
      </c>
      <c r="AA26" s="12"/>
      <c r="AB26" s="12"/>
      <c r="AC26" s="12"/>
      <c r="AD26" s="12"/>
      <c r="AE26" s="12"/>
      <c r="AF26" s="12"/>
      <c r="AG26" s="12"/>
      <c r="AH26" s="12"/>
      <c r="AI26" s="12"/>
      <c r="AJ26" s="12"/>
      <c r="AK26" s="12"/>
      <c r="AL26" s="9" t="s">
        <v>574</v>
      </c>
      <c r="AM26" s="12"/>
      <c r="AN26" s="12"/>
      <c r="AO26" s="12"/>
      <c r="AP26" s="12"/>
      <c r="AQ26" s="12"/>
      <c r="AR26" s="12"/>
      <c r="AS26" s="9" t="s">
        <v>575</v>
      </c>
      <c r="AX26" s="50" t="s">
        <v>1409</v>
      </c>
      <c r="AY26" s="56">
        <v>50</v>
      </c>
      <c r="BM26" s="76">
        <v>1</v>
      </c>
      <c r="BN26" s="207" t="s">
        <v>1670</v>
      </c>
      <c r="BO26" s="192">
        <v>1</v>
      </c>
      <c r="BP26" s="67"/>
      <c r="BQ26" s="207" t="s">
        <v>1670</v>
      </c>
      <c r="BR26" s="192">
        <v>1</v>
      </c>
      <c r="BS26" s="67"/>
      <c r="BT26" s="207" t="s">
        <v>1670</v>
      </c>
      <c r="BU26" s="192">
        <v>1</v>
      </c>
      <c r="BV26" s="67"/>
      <c r="BW26" s="207" t="s">
        <v>1670</v>
      </c>
      <c r="BX26" s="192">
        <v>1</v>
      </c>
      <c r="BY26" s="67"/>
      <c r="BZ26" s="207" t="s">
        <v>1670</v>
      </c>
      <c r="CA26" s="192">
        <v>1</v>
      </c>
      <c r="CB26" s="67"/>
      <c r="CC26" s="207" t="s">
        <v>1670</v>
      </c>
      <c r="CD26" s="192">
        <v>1</v>
      </c>
      <c r="CE26" s="67"/>
      <c r="CF26" s="207" t="s">
        <v>1670</v>
      </c>
      <c r="CG26" s="192">
        <v>1</v>
      </c>
      <c r="CH26" s="67"/>
      <c r="CI26" s="207" t="s">
        <v>1670</v>
      </c>
      <c r="CJ26" s="192">
        <v>1</v>
      </c>
      <c r="CL26" s="1305" t="s">
        <v>1523</v>
      </c>
      <c r="CM26" s="1306"/>
      <c r="CN26" s="1307"/>
      <c r="CO26" s="151">
        <v>5602275.0801662924</v>
      </c>
      <c r="CP26" s="151">
        <v>3605722.3370596324</v>
      </c>
      <c r="CQ26" s="151">
        <v>2249275.2158751641</v>
      </c>
      <c r="CR26" s="151">
        <v>1231572.802467383</v>
      </c>
      <c r="CS26" s="151">
        <v>2354979.1917704544</v>
      </c>
      <c r="CT26" s="151">
        <v>2850197.4182221238</v>
      </c>
      <c r="CU26" s="151">
        <v>4237689.8657653714</v>
      </c>
      <c r="CV26" s="151">
        <v>5283912.5295212325</v>
      </c>
      <c r="CX26" s="120">
        <v>14</v>
      </c>
      <c r="CY26" s="120">
        <v>1114</v>
      </c>
      <c r="CZ26" s="121" t="s">
        <v>468</v>
      </c>
      <c r="DA26" s="181">
        <f t="shared" si="1"/>
        <v>0.73352311939268466</v>
      </c>
      <c r="DC26" s="162">
        <v>7</v>
      </c>
      <c r="DD26" s="162">
        <v>1207</v>
      </c>
      <c r="DE26" s="163" t="s">
        <v>668</v>
      </c>
      <c r="DF26" s="169">
        <v>0.82832988267770868</v>
      </c>
      <c r="DG26" s="161"/>
      <c r="DH26" s="162">
        <v>24</v>
      </c>
      <c r="DI26" s="162">
        <v>1224</v>
      </c>
      <c r="DJ26" s="163" t="s">
        <v>685</v>
      </c>
      <c r="DK26" s="169">
        <v>0.90355417529330562</v>
      </c>
      <c r="DW26" s="221">
        <v>22</v>
      </c>
      <c r="DX26" s="222">
        <v>28</v>
      </c>
      <c r="DY26" s="220">
        <v>39</v>
      </c>
      <c r="DZ26" s="220">
        <v>44</v>
      </c>
      <c r="EA26" s="220">
        <v>45</v>
      </c>
      <c r="EB26" s="220">
        <v>54</v>
      </c>
      <c r="EC26" s="220">
        <v>54</v>
      </c>
      <c r="EH26" s="200">
        <v>21</v>
      </c>
      <c r="EI26" s="239"/>
      <c r="EJ26" s="239"/>
      <c r="EK26" s="239"/>
      <c r="EL26" s="239"/>
      <c r="EM26" s="239"/>
      <c r="EN26" s="239">
        <v>1.0967184801381693</v>
      </c>
    </row>
    <row r="27" spans="2:144" ht="11.1" customHeight="1">
      <c r="B27"/>
      <c r="C27"/>
      <c r="D27"/>
      <c r="E27" s="3" t="s">
        <v>1265</v>
      </c>
      <c r="F27" s="3" t="s">
        <v>1229</v>
      </c>
      <c r="I27" s="18" t="s">
        <v>44</v>
      </c>
      <c r="J27" s="21" t="s">
        <v>576</v>
      </c>
      <c r="K27" s="15"/>
      <c r="L27" s="12"/>
      <c r="M27" s="12"/>
      <c r="N27" s="11" t="s">
        <v>577</v>
      </c>
      <c r="O27" s="12"/>
      <c r="P27" s="12"/>
      <c r="Q27" s="12"/>
      <c r="R27" s="12"/>
      <c r="S27" s="12"/>
      <c r="T27" s="12"/>
      <c r="U27" s="12"/>
      <c r="V27" s="12"/>
      <c r="W27" s="9" t="s">
        <v>578</v>
      </c>
      <c r="X27" s="9" t="s">
        <v>579</v>
      </c>
      <c r="Y27" s="12"/>
      <c r="Z27" s="9" t="s">
        <v>580</v>
      </c>
      <c r="AA27" s="12"/>
      <c r="AB27" s="12"/>
      <c r="AC27" s="12"/>
      <c r="AD27" s="12"/>
      <c r="AE27" s="12"/>
      <c r="AF27" s="12"/>
      <c r="AG27" s="12"/>
      <c r="AH27" s="12"/>
      <c r="AI27" s="12"/>
      <c r="AJ27" s="12"/>
      <c r="AK27" s="12"/>
      <c r="AL27" s="9" t="s">
        <v>581</v>
      </c>
      <c r="AM27" s="12"/>
      <c r="AN27" s="12"/>
      <c r="AO27" s="12"/>
      <c r="AP27" s="12"/>
      <c r="AQ27" s="12"/>
      <c r="AR27" s="12"/>
      <c r="AS27" s="9" t="s">
        <v>582</v>
      </c>
      <c r="BM27" s="76">
        <v>2</v>
      </c>
      <c r="BN27" s="66" t="s">
        <v>1300</v>
      </c>
      <c r="BO27" s="192">
        <v>1.3305430052623914</v>
      </c>
      <c r="BP27" s="67"/>
      <c r="BQ27" s="66" t="s">
        <v>1300</v>
      </c>
      <c r="BR27" s="192">
        <v>2.6952925893190285</v>
      </c>
      <c r="BS27" s="67"/>
      <c r="BT27" s="66" t="s">
        <v>1299</v>
      </c>
      <c r="BU27" s="192">
        <v>0.70782189212325219</v>
      </c>
      <c r="BV27" s="67"/>
      <c r="BW27" s="66" t="s">
        <v>1299</v>
      </c>
      <c r="BX27" s="192">
        <v>0.95169370027745259</v>
      </c>
      <c r="BY27" s="67"/>
      <c r="BZ27" s="66" t="s">
        <v>1299</v>
      </c>
      <c r="CA27" s="192">
        <v>0.68824494124839097</v>
      </c>
      <c r="CB27" s="67"/>
      <c r="CC27" s="66" t="s">
        <v>1300</v>
      </c>
      <c r="CD27" s="192">
        <v>1</v>
      </c>
      <c r="CE27" s="67"/>
      <c r="CF27" s="66" t="s">
        <v>1300</v>
      </c>
      <c r="CG27" s="192">
        <v>1</v>
      </c>
      <c r="CH27" s="67"/>
      <c r="CI27" s="66" t="s">
        <v>1300</v>
      </c>
      <c r="CJ27" s="192">
        <v>1</v>
      </c>
      <c r="CL27" s="128" t="s">
        <v>4</v>
      </c>
      <c r="CM27" s="129"/>
      <c r="CN27" s="130"/>
      <c r="CO27" s="136"/>
      <c r="CP27" s="136"/>
      <c r="CQ27" s="136"/>
      <c r="CR27" s="136"/>
      <c r="CS27" s="136"/>
      <c r="CT27" s="136"/>
      <c r="CU27" s="136"/>
      <c r="CV27" s="136"/>
      <c r="CX27" s="120">
        <v>15</v>
      </c>
      <c r="CY27" s="120">
        <v>1115</v>
      </c>
      <c r="CZ27" s="121" t="s">
        <v>484</v>
      </c>
      <c r="DA27" s="181">
        <f t="shared" si="1"/>
        <v>0.83497239475500351</v>
      </c>
      <c r="DC27" s="162">
        <v>8</v>
      </c>
      <c r="DD27" s="162">
        <v>1208</v>
      </c>
      <c r="DE27" s="163" t="s">
        <v>669</v>
      </c>
      <c r="DF27" s="169">
        <v>0.8889751552795031</v>
      </c>
      <c r="DG27" s="161"/>
      <c r="DH27" s="162">
        <v>25</v>
      </c>
      <c r="DI27" s="162">
        <v>1225</v>
      </c>
      <c r="DJ27" s="163" t="s">
        <v>686</v>
      </c>
      <c r="DK27" s="169">
        <v>0.90873015873015872</v>
      </c>
      <c r="DW27" s="221">
        <v>23</v>
      </c>
      <c r="DX27" s="222">
        <v>30</v>
      </c>
      <c r="DY27" s="220">
        <v>41</v>
      </c>
      <c r="DZ27" s="220">
        <v>46</v>
      </c>
      <c r="EA27" s="220">
        <v>47</v>
      </c>
      <c r="EB27" s="220">
        <v>56</v>
      </c>
      <c r="EC27" s="220">
        <v>56</v>
      </c>
      <c r="EH27" s="200">
        <v>22</v>
      </c>
      <c r="EI27" s="239"/>
      <c r="EJ27" s="239"/>
      <c r="EK27" s="239"/>
      <c r="EL27" s="239"/>
      <c r="EM27" s="239"/>
      <c r="EN27" s="239">
        <v>1.116580310880829</v>
      </c>
    </row>
    <row r="28" spans="2:144" ht="11.1" customHeight="1">
      <c r="B28"/>
      <c r="C28"/>
      <c r="D28"/>
      <c r="E28" s="3" t="s">
        <v>1266</v>
      </c>
      <c r="F28" s="3" t="s">
        <v>1230</v>
      </c>
      <c r="I28" s="18" t="s">
        <v>45</v>
      </c>
      <c r="J28" s="21" t="s">
        <v>583</v>
      </c>
      <c r="K28" s="15"/>
      <c r="L28" s="12"/>
      <c r="M28" s="12"/>
      <c r="N28" s="11" t="s">
        <v>584</v>
      </c>
      <c r="O28" s="12"/>
      <c r="P28" s="12"/>
      <c r="Q28" s="12"/>
      <c r="R28" s="12"/>
      <c r="S28" s="12"/>
      <c r="T28" s="12"/>
      <c r="U28" s="12"/>
      <c r="V28" s="12"/>
      <c r="W28" s="9" t="s">
        <v>585</v>
      </c>
      <c r="X28" s="9" t="s">
        <v>586</v>
      </c>
      <c r="Y28" s="12"/>
      <c r="Z28" s="9" t="s">
        <v>587</v>
      </c>
      <c r="AA28" s="12"/>
      <c r="AB28" s="12"/>
      <c r="AC28" s="12"/>
      <c r="AD28" s="12"/>
      <c r="AE28" s="12"/>
      <c r="AF28" s="12"/>
      <c r="AG28" s="12"/>
      <c r="AH28" s="12"/>
      <c r="AI28" s="12"/>
      <c r="AJ28" s="12"/>
      <c r="AK28" s="12"/>
      <c r="AL28" s="12"/>
      <c r="AM28" s="12"/>
      <c r="AN28" s="12"/>
      <c r="AO28" s="12"/>
      <c r="AP28" s="12"/>
      <c r="AQ28" s="12"/>
      <c r="AR28" s="12"/>
      <c r="AS28" s="9" t="s">
        <v>588</v>
      </c>
      <c r="AX28" s="57" t="s">
        <v>1395</v>
      </c>
      <c r="AY28" s="56"/>
      <c r="BM28" s="76">
        <v>3</v>
      </c>
      <c r="BN28" s="66" t="s">
        <v>1301</v>
      </c>
      <c r="BO28" s="192">
        <v>0.57936893912737641</v>
      </c>
      <c r="BP28" s="67"/>
      <c r="BQ28" s="66" t="s">
        <v>1634</v>
      </c>
      <c r="BR28" s="192">
        <v>0.52371004630065743</v>
      </c>
      <c r="BS28" s="67"/>
      <c r="BT28" s="66" t="s">
        <v>1301</v>
      </c>
      <c r="BU28" s="192">
        <v>2.1273414263450641</v>
      </c>
      <c r="BV28" s="67"/>
      <c r="BW28" s="66" t="s">
        <v>1635</v>
      </c>
      <c r="BX28" s="192">
        <v>1</v>
      </c>
      <c r="BY28" s="67"/>
      <c r="BZ28" s="66" t="s">
        <v>1301</v>
      </c>
      <c r="CA28" s="192">
        <v>2.2744566875524272</v>
      </c>
      <c r="CB28" s="67"/>
      <c r="CC28" s="66" t="s">
        <v>1530</v>
      </c>
      <c r="CD28" s="192"/>
      <c r="CE28" s="67"/>
      <c r="CF28" s="66" t="s">
        <v>1530</v>
      </c>
      <c r="CG28" s="192"/>
      <c r="CH28" s="67"/>
      <c r="CI28" s="66" t="s">
        <v>1530</v>
      </c>
      <c r="CJ28" s="192"/>
      <c r="CL28" s="132" t="s">
        <v>1524</v>
      </c>
      <c r="CM28" s="133"/>
      <c r="CN28" s="134"/>
      <c r="CO28" s="137">
        <v>168068.25240498877</v>
      </c>
      <c r="CP28" s="137">
        <v>108171.67011178898</v>
      </c>
      <c r="CQ28" s="137">
        <v>67478.256476254915</v>
      </c>
      <c r="CR28" s="137">
        <v>36947.18407402149</v>
      </c>
      <c r="CS28" s="137">
        <v>70649.375753113636</v>
      </c>
      <c r="CT28" s="137">
        <v>85505.922546663714</v>
      </c>
      <c r="CU28" s="137">
        <v>127130.69597296114</v>
      </c>
      <c r="CV28" s="137">
        <v>158517.37588563698</v>
      </c>
      <c r="CX28" s="120">
        <v>16</v>
      </c>
      <c r="CY28" s="120">
        <v>1116</v>
      </c>
      <c r="CZ28" s="121" t="s">
        <v>498</v>
      </c>
      <c r="DA28" s="181">
        <f t="shared" si="1"/>
        <v>0.82712215320910965</v>
      </c>
      <c r="DC28" s="162">
        <v>9</v>
      </c>
      <c r="DD28" s="162">
        <v>1209</v>
      </c>
      <c r="DE28" s="163" t="s">
        <v>670</v>
      </c>
      <c r="DF28" s="169">
        <v>0.91468253968253965</v>
      </c>
      <c r="DG28" s="161"/>
      <c r="DH28" s="162">
        <v>26</v>
      </c>
      <c r="DI28" s="162">
        <v>1271</v>
      </c>
      <c r="DJ28" s="163" t="s">
        <v>687</v>
      </c>
      <c r="DK28" s="169">
        <v>0.86654589371980673</v>
      </c>
      <c r="DW28" s="221">
        <v>24</v>
      </c>
      <c r="DX28" s="222">
        <v>32</v>
      </c>
      <c r="DY28" s="220">
        <v>43</v>
      </c>
      <c r="DZ28" s="220">
        <v>48</v>
      </c>
      <c r="EA28" s="220">
        <v>49</v>
      </c>
      <c r="EB28" s="220">
        <v>58</v>
      </c>
      <c r="EC28" s="220">
        <v>58</v>
      </c>
      <c r="EH28" s="200">
        <v>23</v>
      </c>
      <c r="EI28" s="239"/>
      <c r="EJ28" s="239"/>
      <c r="EK28" s="239"/>
      <c r="EL28" s="239"/>
      <c r="EM28" s="239"/>
      <c r="EN28" s="239">
        <v>1.1364421416234889</v>
      </c>
    </row>
    <row r="29" spans="2:144" ht="11.1" customHeight="1">
      <c r="B29"/>
      <c r="C29"/>
      <c r="D29"/>
      <c r="E29" s="3" t="s">
        <v>1231</v>
      </c>
      <c r="F29" s="3" t="s">
        <v>1231</v>
      </c>
      <c r="I29" s="18" t="s">
        <v>46</v>
      </c>
      <c r="J29" s="21" t="s">
        <v>589</v>
      </c>
      <c r="K29" s="15"/>
      <c r="L29" s="12"/>
      <c r="M29" s="12"/>
      <c r="N29" s="11" t="s">
        <v>590</v>
      </c>
      <c r="O29" s="12"/>
      <c r="P29" s="12"/>
      <c r="Q29" s="12"/>
      <c r="R29" s="12"/>
      <c r="S29" s="12"/>
      <c r="T29" s="12"/>
      <c r="U29" s="12"/>
      <c r="V29" s="12"/>
      <c r="W29" s="9" t="s">
        <v>591</v>
      </c>
      <c r="X29" s="9" t="s">
        <v>592</v>
      </c>
      <c r="Y29" s="12"/>
      <c r="Z29" s="9" t="s">
        <v>593</v>
      </c>
      <c r="AA29" s="12"/>
      <c r="AB29" s="12"/>
      <c r="AC29" s="12"/>
      <c r="AD29" s="12"/>
      <c r="AE29" s="12"/>
      <c r="AF29" s="12"/>
      <c r="AG29" s="12"/>
      <c r="AH29" s="12"/>
      <c r="AI29" s="12"/>
      <c r="AJ29" s="12"/>
      <c r="AK29" s="12"/>
      <c r="AL29" s="12"/>
      <c r="AM29" s="12"/>
      <c r="AN29" s="12"/>
      <c r="AO29" s="12"/>
      <c r="AP29" s="12"/>
      <c r="AQ29" s="12"/>
      <c r="AR29" s="12"/>
      <c r="AS29" s="9" t="s">
        <v>594</v>
      </c>
      <c r="AX29" s="4" t="s">
        <v>6</v>
      </c>
      <c r="AY29" s="56">
        <v>0</v>
      </c>
      <c r="BM29" s="76">
        <v>4</v>
      </c>
      <c r="BN29" s="66" t="s">
        <v>1304</v>
      </c>
      <c r="BO29" s="192">
        <v>0.54592203507729664</v>
      </c>
      <c r="BP29" s="67"/>
      <c r="BQ29" s="66" t="s">
        <v>1301</v>
      </c>
      <c r="BR29" s="192">
        <v>1.1105110405119214</v>
      </c>
      <c r="BS29" s="67"/>
      <c r="BT29" s="66" t="s">
        <v>1302</v>
      </c>
      <c r="BU29" s="192">
        <v>0.86199271348636042</v>
      </c>
      <c r="BV29" s="67"/>
      <c r="BW29" s="66" t="s">
        <v>1307</v>
      </c>
      <c r="BX29" s="192">
        <v>1.3573882015810119</v>
      </c>
      <c r="BY29" s="67"/>
      <c r="BZ29" s="66" t="s">
        <v>1303</v>
      </c>
      <c r="CA29" s="192">
        <v>1.9809788835249718</v>
      </c>
      <c r="CB29" s="67"/>
      <c r="CC29" s="66"/>
      <c r="CD29" s="192"/>
      <c r="CE29" s="67"/>
      <c r="CF29" s="66"/>
      <c r="CG29" s="192"/>
      <c r="CH29" s="67"/>
      <c r="CI29" s="66"/>
      <c r="CJ29" s="192"/>
      <c r="CL29" s="132" t="s">
        <v>1</v>
      </c>
      <c r="CM29" s="133"/>
      <c r="CN29" s="134"/>
      <c r="CO29" s="137">
        <v>84034.126202494386</v>
      </c>
      <c r="CP29" s="137">
        <v>54085.835055894488</v>
      </c>
      <c r="CQ29" s="137">
        <v>33739.128238127458</v>
      </c>
      <c r="CR29" s="137">
        <v>18473.592037010745</v>
      </c>
      <c r="CS29" s="137">
        <v>35324.687876556818</v>
      </c>
      <c r="CT29" s="137">
        <v>42752.961273331857</v>
      </c>
      <c r="CU29" s="137">
        <v>63565.34798648057</v>
      </c>
      <c r="CV29" s="137">
        <v>79258.687942818491</v>
      </c>
      <c r="CX29" s="120">
        <v>17</v>
      </c>
      <c r="CY29" s="120">
        <v>1117</v>
      </c>
      <c r="CZ29" s="121" t="s">
        <v>510</v>
      </c>
      <c r="DA29" s="181">
        <f t="shared" si="1"/>
        <v>0.8554175293305728</v>
      </c>
      <c r="DC29" s="162">
        <v>10</v>
      </c>
      <c r="DD29" s="162">
        <v>1210</v>
      </c>
      <c r="DE29" s="163" t="s">
        <v>671</v>
      </c>
      <c r="DF29" s="169">
        <v>0.91011042097998618</v>
      </c>
      <c r="DG29" s="161"/>
      <c r="DH29" s="162">
        <v>27</v>
      </c>
      <c r="DI29" s="162">
        <v>1272</v>
      </c>
      <c r="DJ29" s="163" t="s">
        <v>688</v>
      </c>
      <c r="DK29" s="169">
        <v>0.8649068322981367</v>
      </c>
      <c r="DW29" s="221">
        <v>25</v>
      </c>
      <c r="DX29" s="222">
        <v>34</v>
      </c>
      <c r="DY29" s="220">
        <v>45</v>
      </c>
      <c r="DZ29" s="220">
        <v>50</v>
      </c>
      <c r="EA29" s="220">
        <v>51</v>
      </c>
      <c r="EB29" s="220">
        <v>60</v>
      </c>
      <c r="EC29" s="220">
        <v>60</v>
      </c>
      <c r="EH29" s="200">
        <v>24</v>
      </c>
      <c r="EI29" s="239"/>
      <c r="EJ29" s="239"/>
      <c r="EK29" s="239"/>
      <c r="EL29" s="239"/>
      <c r="EM29" s="239"/>
      <c r="EN29" s="239">
        <v>1.1554404145077721</v>
      </c>
    </row>
    <row r="30" spans="2:144" ht="11.1" customHeight="1">
      <c r="B30"/>
      <c r="C30"/>
      <c r="D30"/>
      <c r="E30" s="3" t="s">
        <v>1267</v>
      </c>
      <c r="F30" s="3" t="s">
        <v>1232</v>
      </c>
      <c r="I30" s="18" t="s">
        <v>47</v>
      </c>
      <c r="J30" s="21" t="s">
        <v>595</v>
      </c>
      <c r="K30" s="15"/>
      <c r="L30" s="12"/>
      <c r="M30" s="12"/>
      <c r="N30" s="11" t="s">
        <v>596</v>
      </c>
      <c r="O30" s="12"/>
      <c r="P30" s="12"/>
      <c r="Q30" s="12"/>
      <c r="R30" s="12"/>
      <c r="S30" s="12"/>
      <c r="T30" s="12"/>
      <c r="U30" s="12"/>
      <c r="V30" s="12"/>
      <c r="W30" s="9" t="s">
        <v>597</v>
      </c>
      <c r="X30" s="9" t="s">
        <v>598</v>
      </c>
      <c r="Y30" s="12"/>
      <c r="Z30" s="9" t="s">
        <v>599</v>
      </c>
      <c r="AA30" s="12"/>
      <c r="AB30" s="12"/>
      <c r="AC30" s="12"/>
      <c r="AD30" s="12"/>
      <c r="AE30" s="12"/>
      <c r="AF30" s="12"/>
      <c r="AG30" s="12"/>
      <c r="AH30" s="12"/>
      <c r="AI30" s="12"/>
      <c r="AJ30" s="12"/>
      <c r="AK30" s="12"/>
      <c r="AL30" s="12"/>
      <c r="AM30" s="12"/>
      <c r="AN30" s="12"/>
      <c r="AO30" s="12"/>
      <c r="AP30" s="12"/>
      <c r="AQ30" s="12"/>
      <c r="AR30" s="12"/>
      <c r="AS30" s="9" t="s">
        <v>600</v>
      </c>
      <c r="AX30" s="50" t="s">
        <v>1406</v>
      </c>
      <c r="AY30" s="56">
        <v>50</v>
      </c>
      <c r="BM30" s="76">
        <v>5</v>
      </c>
      <c r="BN30" s="66" t="s">
        <v>1632</v>
      </c>
      <c r="BO30" s="192">
        <v>1</v>
      </c>
      <c r="BP30" s="67"/>
      <c r="BQ30" s="66" t="s">
        <v>1304</v>
      </c>
      <c r="BR30" s="192">
        <v>1</v>
      </c>
      <c r="BS30" s="67"/>
      <c r="BT30" s="66" t="s">
        <v>1303</v>
      </c>
      <c r="BU30" s="192">
        <v>2.1114251257586285</v>
      </c>
      <c r="BV30" s="67"/>
      <c r="BW30" s="66" t="s">
        <v>1530</v>
      </c>
      <c r="BX30" s="192"/>
      <c r="BY30" s="67"/>
      <c r="BZ30" s="66" t="s">
        <v>1636</v>
      </c>
      <c r="CA30" s="192">
        <v>0.60635377999083429</v>
      </c>
      <c r="CB30" s="67"/>
      <c r="CC30" s="66"/>
      <c r="CD30" s="192"/>
      <c r="CE30" s="67"/>
      <c r="CF30" s="66"/>
      <c r="CG30" s="192"/>
      <c r="CH30" s="67"/>
      <c r="CI30" s="66"/>
      <c r="CJ30" s="192"/>
      <c r="CL30" s="132" t="s">
        <v>2</v>
      </c>
      <c r="CM30" s="133"/>
      <c r="CN30" s="134"/>
      <c r="CO30" s="137">
        <v>560227.50801662926</v>
      </c>
      <c r="CP30" s="137">
        <v>360572.23370596324</v>
      </c>
      <c r="CQ30" s="137">
        <v>224927.52158751641</v>
      </c>
      <c r="CR30" s="137">
        <v>123157.2802467383</v>
      </c>
      <c r="CS30" s="137">
        <v>235497.91917704546</v>
      </c>
      <c r="CT30" s="137">
        <v>285019.74182221241</v>
      </c>
      <c r="CU30" s="137">
        <v>423768.98657653714</v>
      </c>
      <c r="CV30" s="137">
        <v>792586.87942818482</v>
      </c>
      <c r="CX30" s="120">
        <v>18</v>
      </c>
      <c r="CY30" s="120">
        <v>1118</v>
      </c>
      <c r="CZ30" s="121" t="s">
        <v>522</v>
      </c>
      <c r="DA30" s="181">
        <f t="shared" si="1"/>
        <v>0.75595238095238093</v>
      </c>
      <c r="DC30" s="162">
        <v>11</v>
      </c>
      <c r="DD30" s="162">
        <v>1211</v>
      </c>
      <c r="DE30" s="163" t="s">
        <v>672</v>
      </c>
      <c r="DF30" s="169">
        <v>0.89579020013802624</v>
      </c>
      <c r="DG30" s="161"/>
      <c r="DH30" s="162">
        <v>28</v>
      </c>
      <c r="DI30" s="162">
        <v>1273</v>
      </c>
      <c r="DJ30" s="163" t="s">
        <v>689</v>
      </c>
      <c r="DK30" s="169">
        <v>0.92451690821256038</v>
      </c>
      <c r="DW30" s="221">
        <v>26</v>
      </c>
      <c r="DX30" s="222">
        <v>36</v>
      </c>
      <c r="DY30" s="220">
        <v>47</v>
      </c>
      <c r="DZ30" s="220">
        <v>52</v>
      </c>
      <c r="EA30" s="220">
        <v>53</v>
      </c>
      <c r="EB30" s="220">
        <v>62</v>
      </c>
      <c r="EC30" s="220">
        <v>62</v>
      </c>
      <c r="EH30" s="200">
        <v>25</v>
      </c>
      <c r="EI30" s="239"/>
      <c r="EJ30" s="239"/>
      <c r="EK30" s="239"/>
      <c r="EL30" s="239"/>
      <c r="EM30" s="239"/>
      <c r="EN30" s="239">
        <v>1.1753022452504318</v>
      </c>
    </row>
    <row r="31" spans="2:144" ht="11.1" customHeight="1">
      <c r="B31"/>
      <c r="C31"/>
      <c r="D31"/>
      <c r="E31" s="3" t="s">
        <v>1268</v>
      </c>
      <c r="F31" s="3" t="s">
        <v>1233</v>
      </c>
      <c r="I31" s="18" t="s">
        <v>48</v>
      </c>
      <c r="J31" s="21" t="s">
        <v>601</v>
      </c>
      <c r="K31" s="15"/>
      <c r="L31" s="12"/>
      <c r="M31" s="12"/>
      <c r="N31" s="11" t="s">
        <v>602</v>
      </c>
      <c r="O31" s="12"/>
      <c r="P31" s="12"/>
      <c r="Q31" s="12"/>
      <c r="R31" s="12"/>
      <c r="S31" s="12"/>
      <c r="T31" s="12"/>
      <c r="U31" s="12"/>
      <c r="V31" s="12"/>
      <c r="W31" s="12"/>
      <c r="X31" s="9" t="s">
        <v>603</v>
      </c>
      <c r="Y31" s="12"/>
      <c r="Z31" s="9" t="s">
        <v>604</v>
      </c>
      <c r="AA31" s="12"/>
      <c r="AB31" s="12"/>
      <c r="AC31" s="12"/>
      <c r="AD31" s="12"/>
      <c r="AE31" s="12"/>
      <c r="AF31" s="12"/>
      <c r="AG31" s="12"/>
      <c r="AH31" s="12"/>
      <c r="AI31" s="12"/>
      <c r="AJ31" s="12"/>
      <c r="AK31" s="12"/>
      <c r="AL31" s="12"/>
      <c r="AM31" s="12"/>
      <c r="AN31" s="12"/>
      <c r="AO31" s="12"/>
      <c r="AP31" s="12"/>
      <c r="AQ31" s="12"/>
      <c r="AR31" s="12"/>
      <c r="AS31" s="9" t="s">
        <v>605</v>
      </c>
      <c r="AX31" s="50" t="s">
        <v>1378</v>
      </c>
      <c r="AY31" s="56">
        <v>60</v>
      </c>
      <c r="BM31" s="76">
        <v>6</v>
      </c>
      <c r="BN31" s="66" t="s">
        <v>1302</v>
      </c>
      <c r="BO31" s="192">
        <v>0.23242481445196742</v>
      </c>
      <c r="BP31" s="67"/>
      <c r="BQ31" s="66" t="s">
        <v>1632</v>
      </c>
      <c r="BR31" s="192">
        <v>1.3071284584476799</v>
      </c>
      <c r="BS31" s="67"/>
      <c r="BT31" s="66" t="s">
        <v>1635</v>
      </c>
      <c r="BU31" s="192">
        <v>1</v>
      </c>
      <c r="BV31" s="67"/>
      <c r="BW31" s="66"/>
      <c r="BX31" s="192"/>
      <c r="BY31" s="67"/>
      <c r="BZ31" s="66" t="s">
        <v>1635</v>
      </c>
      <c r="CA31" s="192">
        <v>1.0403684008405234</v>
      </c>
      <c r="CB31" s="67"/>
      <c r="CC31" s="66"/>
      <c r="CD31" s="192"/>
      <c r="CE31" s="67"/>
      <c r="CF31" s="66"/>
      <c r="CG31" s="192"/>
      <c r="CH31" s="67"/>
      <c r="CI31" s="66"/>
      <c r="CJ31" s="192"/>
      <c r="CL31" s="1305" t="s">
        <v>1525</v>
      </c>
      <c r="CM31" s="1306"/>
      <c r="CN31" s="1307"/>
      <c r="CO31" s="152">
        <v>812329.88662411249</v>
      </c>
      <c r="CP31" s="152">
        <v>522829.73887364671</v>
      </c>
      <c r="CQ31" s="152">
        <v>326144.90630189877</v>
      </c>
      <c r="CR31" s="152">
        <v>178578.05635777052</v>
      </c>
      <c r="CS31" s="152">
        <v>341471.98280671588</v>
      </c>
      <c r="CT31" s="152">
        <v>413278.62564220798</v>
      </c>
      <c r="CU31" s="152">
        <v>614465.03053597885</v>
      </c>
      <c r="CV31" s="152">
        <v>1030362.9432566403</v>
      </c>
      <c r="CX31" s="120">
        <v>19</v>
      </c>
      <c r="CY31" s="120">
        <v>1171</v>
      </c>
      <c r="CZ31" s="121" t="s">
        <v>532</v>
      </c>
      <c r="DA31" s="181">
        <f t="shared" si="1"/>
        <v>0.82401656314699789</v>
      </c>
      <c r="DC31" s="162">
        <v>12</v>
      </c>
      <c r="DD31" s="162">
        <v>1212</v>
      </c>
      <c r="DE31" s="163" t="s">
        <v>673</v>
      </c>
      <c r="DF31" s="169">
        <v>0.86188750862663899</v>
      </c>
      <c r="DG31" s="161"/>
      <c r="DH31" s="162">
        <v>29</v>
      </c>
      <c r="DI31" s="162">
        <v>1274</v>
      </c>
      <c r="DJ31" s="163" t="s">
        <v>690</v>
      </c>
      <c r="DK31" s="169">
        <v>0.88448930296756378</v>
      </c>
      <c r="DW31" s="221">
        <v>27</v>
      </c>
      <c r="DX31" s="222">
        <v>38</v>
      </c>
      <c r="DY31" s="220">
        <v>49</v>
      </c>
      <c r="DZ31" s="220">
        <v>54</v>
      </c>
      <c r="EA31" s="220">
        <v>55</v>
      </c>
      <c r="EB31" s="220">
        <v>64</v>
      </c>
      <c r="EC31" s="220">
        <v>64</v>
      </c>
      <c r="EH31" s="200">
        <v>26</v>
      </c>
      <c r="EI31" s="239"/>
      <c r="EJ31" s="239"/>
      <c r="EK31" s="239"/>
      <c r="EL31" s="239"/>
      <c r="EM31" s="239"/>
      <c r="EN31" s="239">
        <v>1.1943005181347151</v>
      </c>
    </row>
    <row r="32" spans="2:144" ht="11.1" customHeight="1">
      <c r="B32"/>
      <c r="C32"/>
      <c r="D32"/>
      <c r="E32" s="3" t="s">
        <v>1269</v>
      </c>
      <c r="F32" s="3" t="s">
        <v>1234</v>
      </c>
      <c r="I32" s="18" t="s">
        <v>49</v>
      </c>
      <c r="J32" s="21" t="s">
        <v>606</v>
      </c>
      <c r="K32" s="15"/>
      <c r="L32" s="12"/>
      <c r="M32" s="12"/>
      <c r="N32" s="11" t="s">
        <v>607</v>
      </c>
      <c r="O32" s="12"/>
      <c r="P32" s="12"/>
      <c r="Q32" s="12"/>
      <c r="R32" s="12"/>
      <c r="S32" s="12"/>
      <c r="T32" s="12"/>
      <c r="U32" s="12"/>
      <c r="V32" s="12"/>
      <c r="W32" s="12"/>
      <c r="X32" s="9" t="s">
        <v>608</v>
      </c>
      <c r="Y32" s="12"/>
      <c r="Z32" s="9" t="s">
        <v>609</v>
      </c>
      <c r="AA32" s="12"/>
      <c r="AB32" s="12"/>
      <c r="AC32" s="12"/>
      <c r="AD32" s="12"/>
      <c r="AE32" s="12"/>
      <c r="AF32" s="12"/>
      <c r="AG32" s="12"/>
      <c r="AH32" s="12"/>
      <c r="AI32" s="12"/>
      <c r="AJ32" s="12"/>
      <c r="AK32" s="12"/>
      <c r="AL32" s="12"/>
      <c r="AM32" s="12"/>
      <c r="AN32" s="12"/>
      <c r="AO32" s="12"/>
      <c r="AP32" s="12"/>
      <c r="AQ32" s="12"/>
      <c r="AR32" s="12"/>
      <c r="AS32" s="9" t="s">
        <v>610</v>
      </c>
      <c r="BM32" s="76">
        <v>7</v>
      </c>
      <c r="BN32" s="66" t="s">
        <v>1303</v>
      </c>
      <c r="BO32" s="192">
        <v>0.4557388538165637</v>
      </c>
      <c r="BP32" s="67"/>
      <c r="BQ32" s="66" t="s">
        <v>1302</v>
      </c>
      <c r="BR32" s="192">
        <v>0.40396664797952864</v>
      </c>
      <c r="BS32" s="67"/>
      <c r="BT32" s="66" t="s">
        <v>1307</v>
      </c>
      <c r="BU32" s="192">
        <v>1.0095570506652993</v>
      </c>
      <c r="BV32" s="67"/>
      <c r="BW32" s="66"/>
      <c r="BX32" s="192"/>
      <c r="BY32" s="67"/>
      <c r="BZ32" s="66" t="s">
        <v>1307</v>
      </c>
      <c r="CA32" s="192">
        <v>1</v>
      </c>
      <c r="CB32" s="67"/>
      <c r="CC32" s="66"/>
      <c r="CD32" s="192"/>
      <c r="CE32" s="67"/>
      <c r="CF32" s="66"/>
      <c r="CG32" s="192"/>
      <c r="CH32" s="67"/>
      <c r="CI32" s="66"/>
      <c r="CJ32" s="192"/>
      <c r="CL32" s="1296" t="s">
        <v>1526</v>
      </c>
      <c r="CM32" s="1297"/>
      <c r="CN32" s="1297"/>
      <c r="CO32" s="88">
        <v>6414604.9667904051</v>
      </c>
      <c r="CP32" s="88">
        <v>4128552.075933279</v>
      </c>
      <c r="CQ32" s="88">
        <v>2575420.122177063</v>
      </c>
      <c r="CR32" s="88">
        <v>1410150.8588251534</v>
      </c>
      <c r="CS32" s="88">
        <v>2696451.1745771701</v>
      </c>
      <c r="CT32" s="88">
        <v>3263476.0438643317</v>
      </c>
      <c r="CU32" s="88">
        <v>4852154.8963013506</v>
      </c>
      <c r="CV32" s="89">
        <v>6314275.4727778733</v>
      </c>
      <c r="CX32" s="120">
        <v>20</v>
      </c>
      <c r="CY32" s="120">
        <v>1172</v>
      </c>
      <c r="CZ32" s="121" t="s">
        <v>542</v>
      </c>
      <c r="DA32" s="181">
        <f t="shared" si="1"/>
        <v>0.89510006901311256</v>
      </c>
      <c r="DC32" s="162">
        <v>13</v>
      </c>
      <c r="DD32" s="162">
        <v>1213</v>
      </c>
      <c r="DE32" s="163" t="s">
        <v>674</v>
      </c>
      <c r="DF32" s="169">
        <v>0.73861283643892339</v>
      </c>
      <c r="DG32" s="161"/>
      <c r="DH32" s="162">
        <v>30</v>
      </c>
      <c r="DI32" s="162">
        <v>1275</v>
      </c>
      <c r="DJ32" s="163" t="s">
        <v>691</v>
      </c>
      <c r="DK32" s="169">
        <v>0.89587646652864039</v>
      </c>
      <c r="DW32" s="221">
        <v>28</v>
      </c>
      <c r="DX32" s="222">
        <v>40</v>
      </c>
      <c r="DY32" s="220">
        <v>51</v>
      </c>
      <c r="DZ32" s="220">
        <v>56</v>
      </c>
      <c r="EA32" s="220">
        <v>57</v>
      </c>
      <c r="EB32" s="220">
        <v>66</v>
      </c>
      <c r="EC32" s="220">
        <v>66</v>
      </c>
      <c r="EH32" s="200">
        <v>27</v>
      </c>
      <c r="EI32" s="239"/>
      <c r="EJ32" s="239"/>
      <c r="EK32" s="239"/>
      <c r="EL32" s="239"/>
      <c r="EM32" s="239"/>
      <c r="EN32" s="239">
        <v>1.2141623488773747</v>
      </c>
    </row>
    <row r="33" spans="2:144" ht="11.1" customHeight="1">
      <c r="B33"/>
      <c r="C33"/>
      <c r="D33"/>
      <c r="E33" s="3" t="s">
        <v>1208</v>
      </c>
      <c r="F33" s="3" t="s">
        <v>1235</v>
      </c>
      <c r="I33" s="18" t="s">
        <v>50</v>
      </c>
      <c r="J33" s="21" t="s">
        <v>611</v>
      </c>
      <c r="K33" s="15"/>
      <c r="L33" s="12"/>
      <c r="M33" s="12"/>
      <c r="N33" s="11" t="s">
        <v>612</v>
      </c>
      <c r="O33" s="12"/>
      <c r="P33" s="12"/>
      <c r="Q33" s="12"/>
      <c r="R33" s="12"/>
      <c r="S33" s="12"/>
      <c r="T33" s="12"/>
      <c r="U33" s="12"/>
      <c r="V33" s="12"/>
      <c r="W33" s="12"/>
      <c r="X33" s="9" t="s">
        <v>613</v>
      </c>
      <c r="Y33" s="12"/>
      <c r="Z33" s="9" t="s">
        <v>614</v>
      </c>
      <c r="AA33" s="12"/>
      <c r="AB33" s="12"/>
      <c r="AC33" s="12"/>
      <c r="AD33" s="12"/>
      <c r="AE33" s="12"/>
      <c r="AF33" s="12"/>
      <c r="AG33" s="12"/>
      <c r="AH33" s="12"/>
      <c r="AI33" s="12"/>
      <c r="AJ33" s="12"/>
      <c r="AK33" s="12"/>
      <c r="AL33" s="12"/>
      <c r="AM33" s="12"/>
      <c r="AN33" s="12"/>
      <c r="AO33" s="12"/>
      <c r="AP33" s="12"/>
      <c r="AQ33" s="12"/>
      <c r="AR33" s="12"/>
      <c r="AS33" s="12"/>
      <c r="AX33" s="57" t="s">
        <v>1396</v>
      </c>
      <c r="AY33" s="56"/>
      <c r="BM33" s="76">
        <v>8</v>
      </c>
      <c r="BN33" s="66" t="s">
        <v>1633</v>
      </c>
      <c r="BO33" s="192">
        <v>0.44428432546349306</v>
      </c>
      <c r="BP33" s="67"/>
      <c r="BQ33" s="66" t="s">
        <v>1303</v>
      </c>
      <c r="BR33" s="192">
        <v>0.96721952685008095</v>
      </c>
      <c r="BS33" s="67"/>
      <c r="BT33" s="66" t="s">
        <v>1530</v>
      </c>
      <c r="BU33" s="192"/>
      <c r="BV33" s="67"/>
      <c r="BW33" s="66"/>
      <c r="BX33" s="192"/>
      <c r="BY33" s="67"/>
      <c r="BZ33" s="66" t="s">
        <v>1530</v>
      </c>
      <c r="CA33" s="192"/>
      <c r="CB33" s="67"/>
      <c r="CC33" s="66"/>
      <c r="CD33" s="192"/>
      <c r="CE33" s="67"/>
      <c r="CF33" s="66"/>
      <c r="CG33" s="192"/>
      <c r="CH33" s="67"/>
      <c r="CI33" s="66"/>
      <c r="CJ33" s="192"/>
      <c r="CL33" s="128" t="s">
        <v>1527</v>
      </c>
      <c r="CM33" s="129"/>
      <c r="CN33" s="130"/>
      <c r="CO33" s="138">
        <v>641460.4966790406</v>
      </c>
      <c r="CP33" s="138">
        <v>412855.20759332791</v>
      </c>
      <c r="CQ33" s="138">
        <v>257542.0122177063</v>
      </c>
      <c r="CR33" s="138">
        <v>141015.08588251536</v>
      </c>
      <c r="CS33" s="138">
        <v>269645.11745771702</v>
      </c>
      <c r="CT33" s="138">
        <v>326347.6043864332</v>
      </c>
      <c r="CU33" s="138">
        <v>485215.48963013507</v>
      </c>
      <c r="CV33" s="138">
        <v>631427.54727778735</v>
      </c>
      <c r="CX33" s="120">
        <v>21</v>
      </c>
      <c r="CY33" s="120">
        <v>1173</v>
      </c>
      <c r="CZ33" s="121" t="s">
        <v>551</v>
      </c>
      <c r="DA33" s="181">
        <f t="shared" si="1"/>
        <v>0.819271911663216</v>
      </c>
      <c r="DC33" s="162">
        <v>14</v>
      </c>
      <c r="DD33" s="162">
        <v>1214</v>
      </c>
      <c r="DE33" s="163" t="s">
        <v>675</v>
      </c>
      <c r="DF33" s="169">
        <v>0.92210144927536231</v>
      </c>
      <c r="DG33" s="161"/>
      <c r="DH33" s="162">
        <v>31</v>
      </c>
      <c r="DI33" s="162">
        <v>1276</v>
      </c>
      <c r="DJ33" s="163" t="s">
        <v>692</v>
      </c>
      <c r="DK33" s="169">
        <v>0.78347135955831604</v>
      </c>
      <c r="DW33" s="221">
        <v>29</v>
      </c>
      <c r="DX33" s="222">
        <v>42</v>
      </c>
      <c r="DY33" s="220">
        <v>53</v>
      </c>
      <c r="DZ33" s="220">
        <v>58</v>
      </c>
      <c r="EA33" s="220">
        <v>59</v>
      </c>
      <c r="EB33" s="220">
        <v>68</v>
      </c>
      <c r="EC33" s="220">
        <v>68</v>
      </c>
      <c r="EH33" s="200">
        <v>28</v>
      </c>
      <c r="EI33" s="239"/>
      <c r="EJ33" s="239"/>
      <c r="EK33" s="239"/>
      <c r="EL33" s="239"/>
      <c r="EM33" s="239"/>
      <c r="EN33" s="239">
        <v>1.2340241796200346</v>
      </c>
    </row>
    <row r="34" spans="2:144" ht="11.1" customHeight="1">
      <c r="B34"/>
      <c r="C34"/>
      <c r="D34"/>
      <c r="E34" s="3" t="s">
        <v>1217</v>
      </c>
      <c r="F34" s="3" t="s">
        <v>1236</v>
      </c>
      <c r="I34" s="18" t="s">
        <v>51</v>
      </c>
      <c r="J34" s="21" t="s">
        <v>615</v>
      </c>
      <c r="K34" s="15"/>
      <c r="L34" s="12"/>
      <c r="M34" s="12"/>
      <c r="N34" s="11" t="s">
        <v>616</v>
      </c>
      <c r="O34" s="12"/>
      <c r="P34" s="12"/>
      <c r="Q34" s="12"/>
      <c r="R34" s="12"/>
      <c r="S34" s="12"/>
      <c r="T34" s="12"/>
      <c r="U34" s="12"/>
      <c r="V34" s="12"/>
      <c r="W34" s="12"/>
      <c r="X34" s="9" t="s">
        <v>617</v>
      </c>
      <c r="Y34" s="12"/>
      <c r="Z34" s="9" t="s">
        <v>618</v>
      </c>
      <c r="AA34" s="12"/>
      <c r="AB34" s="12"/>
      <c r="AC34" s="12"/>
      <c r="AD34" s="12"/>
      <c r="AE34" s="12"/>
      <c r="AF34" s="12"/>
      <c r="AG34" s="12"/>
      <c r="AH34" s="12"/>
      <c r="AI34" s="12"/>
      <c r="AJ34" s="12"/>
      <c r="AK34" s="12"/>
      <c r="AL34" s="12"/>
      <c r="AM34" s="12"/>
      <c r="AN34" s="12"/>
      <c r="AO34" s="12"/>
      <c r="AP34" s="12"/>
      <c r="AQ34" s="12"/>
      <c r="AR34" s="12"/>
      <c r="AS34" s="12"/>
      <c r="AX34" s="4" t="s">
        <v>6</v>
      </c>
      <c r="AY34" s="56">
        <v>0</v>
      </c>
      <c r="BM34" s="76">
        <v>9</v>
      </c>
      <c r="BN34" s="66" t="s">
        <v>1305</v>
      </c>
      <c r="BO34" s="192">
        <v>0.81194166725622852</v>
      </c>
      <c r="BP34" s="67"/>
      <c r="BQ34" s="66" t="s">
        <v>1633</v>
      </c>
      <c r="BR34" s="192">
        <v>0.89133720169084774</v>
      </c>
      <c r="BS34" s="67"/>
      <c r="BT34" s="66"/>
      <c r="BU34" s="192"/>
      <c r="BV34" s="67"/>
      <c r="BW34" s="66"/>
      <c r="BX34" s="192"/>
      <c r="BY34" s="67"/>
      <c r="BZ34" s="66"/>
      <c r="CA34" s="192"/>
      <c r="CB34" s="67"/>
      <c r="CC34" s="66"/>
      <c r="CD34" s="192"/>
      <c r="CE34" s="67"/>
      <c r="CF34" s="66"/>
      <c r="CG34" s="192"/>
      <c r="CH34" s="67"/>
      <c r="CI34" s="66"/>
      <c r="CJ34" s="192"/>
      <c r="CL34" s="128" t="s">
        <v>1528</v>
      </c>
      <c r="CM34" s="129"/>
      <c r="CN34" s="130"/>
      <c r="CO34" s="139">
        <v>7056065.4634694457</v>
      </c>
      <c r="CP34" s="139">
        <v>4541407.2835266069</v>
      </c>
      <c r="CQ34" s="139">
        <v>2832962.1343947696</v>
      </c>
      <c r="CR34" s="139">
        <v>1551165.9447076689</v>
      </c>
      <c r="CS34" s="139">
        <v>2966096.2920348872</v>
      </c>
      <c r="CT34" s="139">
        <v>3589823.6482507647</v>
      </c>
      <c r="CU34" s="139">
        <v>5337370.3859314853</v>
      </c>
      <c r="CV34" s="139">
        <v>6945703.020055661</v>
      </c>
      <c r="CX34" s="120">
        <v>22</v>
      </c>
      <c r="CY34" s="120">
        <v>1174</v>
      </c>
      <c r="CZ34" s="121" t="s">
        <v>560</v>
      </c>
      <c r="DA34" s="181">
        <f t="shared" si="1"/>
        <v>0.84057971014492749</v>
      </c>
      <c r="DC34" s="162">
        <v>15</v>
      </c>
      <c r="DD34" s="162">
        <v>1215</v>
      </c>
      <c r="DE34" s="163" t="s">
        <v>676</v>
      </c>
      <c r="DF34" s="169">
        <v>0.84756728778467905</v>
      </c>
      <c r="DG34" s="161"/>
      <c r="DH34" s="162">
        <v>32</v>
      </c>
      <c r="DI34" s="162">
        <v>1277</v>
      </c>
      <c r="DJ34" s="163" t="s">
        <v>693</v>
      </c>
      <c r="DK34" s="169">
        <v>0.87732919254658381</v>
      </c>
      <c r="DW34" s="221">
        <v>30</v>
      </c>
      <c r="DX34" s="222">
        <v>44</v>
      </c>
      <c r="DY34" s="220">
        <v>55</v>
      </c>
      <c r="DZ34" s="220">
        <v>60</v>
      </c>
      <c r="EA34" s="220">
        <v>61</v>
      </c>
      <c r="EB34" s="220">
        <v>70</v>
      </c>
      <c r="EC34" s="220">
        <v>70</v>
      </c>
      <c r="EH34" s="200">
        <v>29</v>
      </c>
      <c r="EI34" s="239"/>
      <c r="EJ34" s="239"/>
      <c r="EK34" s="239"/>
      <c r="EL34" s="239"/>
      <c r="EM34" s="239"/>
      <c r="EN34" s="239">
        <v>1.2538860103626943</v>
      </c>
    </row>
    <row r="35" spans="2:144" ht="11.1" customHeight="1">
      <c r="B35"/>
      <c r="C35"/>
      <c r="D35"/>
      <c r="E35" s="3" t="s">
        <v>1219</v>
      </c>
      <c r="F35" s="3" t="s">
        <v>1237</v>
      </c>
      <c r="I35" s="18" t="s">
        <v>52</v>
      </c>
      <c r="J35" s="21" t="s">
        <v>619</v>
      </c>
      <c r="K35" s="15"/>
      <c r="L35" s="12"/>
      <c r="M35" s="12"/>
      <c r="N35" s="11" t="s">
        <v>620</v>
      </c>
      <c r="O35" s="12"/>
      <c r="P35" s="12"/>
      <c r="Q35" s="12"/>
      <c r="R35" s="12"/>
      <c r="S35" s="12"/>
      <c r="T35" s="12"/>
      <c r="U35" s="12"/>
      <c r="V35" s="12"/>
      <c r="W35" s="12"/>
      <c r="X35" s="9" t="s">
        <v>621</v>
      </c>
      <c r="Y35" s="12"/>
      <c r="Z35" s="9" t="s">
        <v>622</v>
      </c>
      <c r="AA35" s="12"/>
      <c r="AB35" s="12"/>
      <c r="AC35" s="12"/>
      <c r="AD35" s="12"/>
      <c r="AE35" s="12"/>
      <c r="AF35" s="12"/>
      <c r="AG35" s="12"/>
      <c r="AH35" s="12"/>
      <c r="AI35" s="12"/>
      <c r="AJ35" s="12"/>
      <c r="AK35" s="12"/>
      <c r="AL35" s="12"/>
      <c r="AM35" s="12"/>
      <c r="AN35" s="12"/>
      <c r="AO35" s="12"/>
      <c r="AP35" s="12"/>
      <c r="AQ35" s="12"/>
      <c r="AR35" s="12"/>
      <c r="AS35" s="12"/>
      <c r="AX35" s="50" t="s">
        <v>1410</v>
      </c>
      <c r="AY35" s="56">
        <v>30</v>
      </c>
      <c r="BM35" s="76">
        <v>10</v>
      </c>
      <c r="BN35" s="66" t="s">
        <v>1636</v>
      </c>
      <c r="BO35" s="192">
        <v>0.13883645448697166</v>
      </c>
      <c r="BP35" s="67"/>
      <c r="BQ35" s="66" t="s">
        <v>1636</v>
      </c>
      <c r="BR35" s="192">
        <v>0.29605424927241519</v>
      </c>
      <c r="BS35" s="67"/>
      <c r="BT35" s="66"/>
      <c r="BU35" s="192"/>
      <c r="BV35" s="67"/>
      <c r="BW35" s="66"/>
      <c r="BX35" s="192"/>
      <c r="BY35" s="67"/>
      <c r="BZ35" s="66"/>
      <c r="CA35" s="192"/>
      <c r="CB35" s="67"/>
      <c r="CC35" s="66"/>
      <c r="CD35" s="192"/>
      <c r="CE35" s="67"/>
      <c r="CF35" s="66"/>
      <c r="CG35" s="192"/>
      <c r="CH35" s="67"/>
      <c r="CI35" s="66"/>
      <c r="CJ35" s="192"/>
      <c r="CL35" s="1298" t="s">
        <v>1529</v>
      </c>
      <c r="CM35" s="1299"/>
      <c r="CN35" s="1299"/>
      <c r="CO35" s="92">
        <v>7060000</v>
      </c>
      <c r="CP35" s="92">
        <v>4540000</v>
      </c>
      <c r="CQ35" s="92">
        <v>2830000</v>
      </c>
      <c r="CR35" s="92">
        <v>1550000</v>
      </c>
      <c r="CS35" s="92">
        <v>2970000</v>
      </c>
      <c r="CT35" s="92">
        <v>3590000</v>
      </c>
      <c r="CU35" s="92">
        <v>5340000</v>
      </c>
      <c r="CV35" s="93">
        <v>6950000</v>
      </c>
      <c r="CX35" s="120">
        <v>23</v>
      </c>
      <c r="CY35" s="120">
        <v>1175</v>
      </c>
      <c r="CZ35" s="121" t="s">
        <v>569</v>
      </c>
      <c r="DA35" s="181">
        <f t="shared" si="1"/>
        <v>0.81357832988267775</v>
      </c>
      <c r="DC35" s="162">
        <v>16</v>
      </c>
      <c r="DD35" s="162">
        <v>1216</v>
      </c>
      <c r="DE35" s="163" t="s">
        <v>677</v>
      </c>
      <c r="DF35" s="169">
        <v>0.84661835748792269</v>
      </c>
      <c r="DG35" s="161"/>
      <c r="DH35" s="162">
        <v>33</v>
      </c>
      <c r="DI35" s="162">
        <v>1278</v>
      </c>
      <c r="DJ35" s="163" t="s">
        <v>694</v>
      </c>
      <c r="DK35" s="169">
        <v>0.86016218081435469</v>
      </c>
      <c r="DW35" s="221">
        <v>31</v>
      </c>
      <c r="DX35" s="222">
        <v>46</v>
      </c>
      <c r="DY35" s="220">
        <v>57</v>
      </c>
      <c r="DZ35" s="220">
        <v>62</v>
      </c>
      <c r="EA35" s="220">
        <v>63</v>
      </c>
      <c r="EB35" s="220">
        <v>72</v>
      </c>
      <c r="EC35" s="220">
        <v>72</v>
      </c>
      <c r="EH35" s="200">
        <v>30</v>
      </c>
      <c r="EI35" s="239"/>
      <c r="EJ35" s="239"/>
      <c r="EK35" s="239"/>
      <c r="EL35" s="239"/>
      <c r="EM35" s="239"/>
      <c r="EN35" s="239">
        <v>1.2737478411053542</v>
      </c>
    </row>
    <row r="36" spans="2:144" ht="11.1" customHeight="1">
      <c r="B36"/>
      <c r="C36"/>
      <c r="D36"/>
      <c r="E36" s="3" t="s">
        <v>1220</v>
      </c>
      <c r="F36" s="3"/>
      <c r="I36" s="18" t="s">
        <v>53</v>
      </c>
      <c r="J36" s="21" t="s">
        <v>623</v>
      </c>
      <c r="K36" s="15"/>
      <c r="L36" s="12"/>
      <c r="M36" s="12"/>
      <c r="N36" s="11" t="s">
        <v>624</v>
      </c>
      <c r="O36" s="12"/>
      <c r="P36" s="12"/>
      <c r="Q36" s="12"/>
      <c r="R36" s="12"/>
      <c r="S36" s="12"/>
      <c r="T36" s="12"/>
      <c r="U36" s="12"/>
      <c r="V36" s="12"/>
      <c r="W36" s="12"/>
      <c r="X36" s="9" t="s">
        <v>625</v>
      </c>
      <c r="Y36" s="12"/>
      <c r="Z36" s="9" t="s">
        <v>626</v>
      </c>
      <c r="AA36" s="12"/>
      <c r="AB36" s="12"/>
      <c r="AC36" s="12"/>
      <c r="AD36" s="12"/>
      <c r="AE36" s="12"/>
      <c r="AF36" s="12"/>
      <c r="AG36" s="12"/>
      <c r="AH36" s="12"/>
      <c r="AI36" s="12"/>
      <c r="AJ36" s="12"/>
      <c r="AK36" s="12"/>
      <c r="AL36" s="12"/>
      <c r="AM36" s="12"/>
      <c r="AN36" s="12"/>
      <c r="AO36" s="12"/>
      <c r="AP36" s="12"/>
      <c r="AQ36" s="12"/>
      <c r="AR36" s="12"/>
      <c r="AS36" s="12"/>
      <c r="AX36" s="50" t="s">
        <v>1421</v>
      </c>
      <c r="AY36" s="56">
        <v>40</v>
      </c>
      <c r="BM36" s="76">
        <v>11</v>
      </c>
      <c r="BN36" s="66" t="s">
        <v>1306</v>
      </c>
      <c r="BO36" s="192">
        <v>0.54801705872146422</v>
      </c>
      <c r="BP36" s="67"/>
      <c r="BQ36" s="66" t="s">
        <v>1635</v>
      </c>
      <c r="BR36" s="192">
        <v>0.50796333104782521</v>
      </c>
      <c r="BS36" s="67"/>
      <c r="BT36" s="66"/>
      <c r="BU36" s="192"/>
      <c r="BV36" s="67"/>
      <c r="BW36" s="66"/>
      <c r="BX36" s="192"/>
      <c r="BY36" s="67"/>
      <c r="BZ36" s="66"/>
      <c r="CA36" s="192"/>
      <c r="CB36" s="67"/>
      <c r="CC36" s="66"/>
      <c r="CD36" s="192"/>
      <c r="CE36" s="67"/>
      <c r="CF36" s="66"/>
      <c r="CG36" s="192"/>
      <c r="CH36" s="67"/>
      <c r="CI36" s="66"/>
      <c r="CJ36" s="192"/>
      <c r="CO36"/>
      <c r="CP36"/>
      <c r="CQ36"/>
      <c r="CR36"/>
      <c r="CS36"/>
      <c r="CT36"/>
      <c r="CU36"/>
      <c r="CV36"/>
      <c r="CX36" s="118" t="s">
        <v>8</v>
      </c>
      <c r="CY36" s="118">
        <v>1200</v>
      </c>
      <c r="CZ36" s="119" t="s">
        <v>54</v>
      </c>
      <c r="DA36" s="180">
        <f t="shared" ref="DA36:DA52" si="2">DF19</f>
        <v>0.87551759834368525</v>
      </c>
      <c r="DC36" s="161"/>
      <c r="DD36" s="161"/>
      <c r="DE36" s="161"/>
      <c r="DF36" s="170"/>
      <c r="DG36" s="161"/>
      <c r="DH36" s="161"/>
      <c r="DI36" s="161"/>
      <c r="DJ36" s="161"/>
      <c r="DK36" s="170"/>
      <c r="DW36" s="221">
        <v>32</v>
      </c>
      <c r="DX36" s="222">
        <v>48</v>
      </c>
      <c r="DY36" s="220">
        <v>59</v>
      </c>
      <c r="DZ36" s="220">
        <v>64</v>
      </c>
      <c r="EA36" s="220">
        <v>65</v>
      </c>
      <c r="EB36" s="220">
        <v>74</v>
      </c>
      <c r="EC36" s="220">
        <v>74</v>
      </c>
      <c r="EH36" s="200">
        <v>31</v>
      </c>
      <c r="EI36" s="239"/>
      <c r="EJ36" s="239"/>
      <c r="EK36" s="239"/>
      <c r="EL36" s="239"/>
      <c r="EM36" s="239"/>
      <c r="EN36" s="239">
        <v>1.2936096718480139</v>
      </c>
    </row>
    <row r="37" spans="2:144" ht="11.1" customHeight="1">
      <c r="B37"/>
      <c r="C37"/>
      <c r="D37"/>
      <c r="E37" s="3" t="s">
        <v>1221</v>
      </c>
      <c r="F37" s="3"/>
      <c r="I37" s="18" t="s">
        <v>54</v>
      </c>
      <c r="J37" s="21" t="s">
        <v>627</v>
      </c>
      <c r="K37" s="15"/>
      <c r="L37" s="12"/>
      <c r="M37" s="12"/>
      <c r="N37" s="12"/>
      <c r="O37" s="12"/>
      <c r="P37" s="12"/>
      <c r="Q37" s="12"/>
      <c r="R37" s="12"/>
      <c r="S37" s="12"/>
      <c r="T37" s="12"/>
      <c r="U37" s="12"/>
      <c r="V37" s="12"/>
      <c r="W37" s="12"/>
      <c r="X37" s="9" t="s">
        <v>628</v>
      </c>
      <c r="Y37" s="12"/>
      <c r="Z37" s="9" t="s">
        <v>629</v>
      </c>
      <c r="AA37" s="12"/>
      <c r="AB37" s="12"/>
      <c r="AC37" s="12"/>
      <c r="AD37" s="12"/>
      <c r="AE37" s="12"/>
      <c r="AF37" s="12"/>
      <c r="AG37" s="12"/>
      <c r="AH37" s="12"/>
      <c r="AI37" s="12"/>
      <c r="AJ37" s="12"/>
      <c r="AK37" s="12"/>
      <c r="AL37" s="12"/>
      <c r="AM37" s="12"/>
      <c r="AN37" s="12"/>
      <c r="AO37" s="12"/>
      <c r="AP37" s="12"/>
      <c r="AQ37" s="12"/>
      <c r="AR37" s="12"/>
      <c r="AS37" s="12"/>
      <c r="AX37" s="50" t="s">
        <v>1407</v>
      </c>
      <c r="AY37" s="56">
        <v>50</v>
      </c>
      <c r="BM37" s="76">
        <v>12</v>
      </c>
      <c r="BN37" s="66" t="s">
        <v>1307</v>
      </c>
      <c r="BO37" s="192">
        <v>0.25769478619516073</v>
      </c>
      <c r="BP37" s="67"/>
      <c r="BQ37" s="66" t="s">
        <v>1306</v>
      </c>
      <c r="BR37" s="192">
        <v>1.1990719279232473</v>
      </c>
      <c r="BS37" s="67"/>
      <c r="BT37" s="66"/>
      <c r="BU37" s="192"/>
      <c r="BV37" s="67"/>
      <c r="BW37" s="66"/>
      <c r="BX37" s="192"/>
      <c r="BY37" s="67"/>
      <c r="BZ37" s="66"/>
      <c r="CA37" s="192"/>
      <c r="CB37" s="67"/>
      <c r="CC37" s="66"/>
      <c r="CD37" s="192"/>
      <c r="CE37" s="67"/>
      <c r="CF37" s="66"/>
      <c r="CG37" s="192"/>
      <c r="CH37" s="67"/>
      <c r="CI37" s="66"/>
      <c r="CJ37" s="192"/>
      <c r="CX37" s="120">
        <v>1</v>
      </c>
      <c r="CY37" s="120">
        <v>1201</v>
      </c>
      <c r="CZ37" s="121" t="s">
        <v>93</v>
      </c>
      <c r="DA37" s="181">
        <f t="shared" si="2"/>
        <v>0.96005866114561766</v>
      </c>
      <c r="DC37" s="155" t="s">
        <v>1192</v>
      </c>
      <c r="DD37" s="156" t="s">
        <v>1535</v>
      </c>
      <c r="DE37" s="157" t="s">
        <v>1629</v>
      </c>
      <c r="DF37" s="167" t="s">
        <v>1537</v>
      </c>
      <c r="DG37" s="158"/>
      <c r="DH37" s="155" t="s">
        <v>1192</v>
      </c>
      <c r="DI37" s="156" t="s">
        <v>1535</v>
      </c>
      <c r="DJ37" s="157" t="s">
        <v>1629</v>
      </c>
      <c r="DK37" s="167" t="s">
        <v>1537</v>
      </c>
      <c r="DW37" s="221">
        <v>33</v>
      </c>
      <c r="DX37" s="222">
        <v>50</v>
      </c>
      <c r="DY37" s="220">
        <v>61</v>
      </c>
      <c r="DZ37" s="220">
        <v>66</v>
      </c>
      <c r="EA37" s="220">
        <v>67</v>
      </c>
      <c r="EB37" s="220">
        <v>76</v>
      </c>
      <c r="EC37" s="220">
        <v>76</v>
      </c>
      <c r="EH37" s="200">
        <v>32</v>
      </c>
      <c r="EI37" s="239"/>
      <c r="EJ37" s="239"/>
      <c r="EK37" s="239"/>
      <c r="EL37" s="239"/>
      <c r="EM37" s="239"/>
      <c r="EN37" s="239">
        <v>1.3134715025906736</v>
      </c>
    </row>
    <row r="38" spans="2:144" ht="11.1" customHeight="1">
      <c r="B38"/>
      <c r="C38"/>
      <c r="D38"/>
      <c r="E38" s="3" t="s">
        <v>1222</v>
      </c>
      <c r="F38" s="3"/>
      <c r="I38" s="15"/>
      <c r="J38" s="15"/>
      <c r="K38" s="15"/>
      <c r="L38" s="12"/>
      <c r="M38" s="12"/>
      <c r="N38" s="12"/>
      <c r="O38" s="12"/>
      <c r="P38" s="12"/>
      <c r="Q38" s="12"/>
      <c r="R38" s="12"/>
      <c r="S38" s="12"/>
      <c r="T38" s="12"/>
      <c r="U38" s="12"/>
      <c r="V38" s="12"/>
      <c r="W38" s="12"/>
      <c r="X38" s="9" t="s">
        <v>630</v>
      </c>
      <c r="Y38" s="12"/>
      <c r="Z38" s="9" t="s">
        <v>631</v>
      </c>
      <c r="AA38" s="12"/>
      <c r="AB38" s="12"/>
      <c r="AC38" s="12"/>
      <c r="AD38" s="12"/>
      <c r="AE38" s="12"/>
      <c r="AF38" s="12"/>
      <c r="AG38" s="12"/>
      <c r="AH38" s="12"/>
      <c r="AI38" s="12"/>
      <c r="AJ38" s="12"/>
      <c r="AK38" s="12"/>
      <c r="AL38" s="12"/>
      <c r="AM38" s="12"/>
      <c r="AN38" s="12"/>
      <c r="AO38" s="12"/>
      <c r="AP38" s="12"/>
      <c r="AQ38" s="12"/>
      <c r="AR38" s="12"/>
      <c r="AS38" s="12"/>
      <c r="BM38" s="76">
        <v>13</v>
      </c>
      <c r="BN38" s="66" t="s">
        <v>1530</v>
      </c>
      <c r="BO38" s="192"/>
      <c r="BP38" s="67"/>
      <c r="BQ38" s="66" t="s">
        <v>1307</v>
      </c>
      <c r="BR38" s="192">
        <v>0.48825332510814135</v>
      </c>
      <c r="BS38" s="67"/>
      <c r="BT38" s="66"/>
      <c r="BU38" s="192"/>
      <c r="BV38" s="67"/>
      <c r="BW38" s="66"/>
      <c r="BX38" s="192"/>
      <c r="BY38" s="67"/>
      <c r="BZ38" s="66"/>
      <c r="CA38" s="192"/>
      <c r="CB38" s="67"/>
      <c r="CC38" s="66"/>
      <c r="CD38" s="192"/>
      <c r="CE38" s="67"/>
      <c r="CF38" s="66"/>
      <c r="CG38" s="192"/>
      <c r="CH38" s="67"/>
      <c r="CI38" s="66"/>
      <c r="CJ38" s="192"/>
      <c r="CX38" s="120">
        <v>2</v>
      </c>
      <c r="CY38" s="120">
        <v>1202</v>
      </c>
      <c r="CZ38" s="121" t="s">
        <v>128</v>
      </c>
      <c r="DA38" s="181">
        <f t="shared" si="2"/>
        <v>0.87862318840579701</v>
      </c>
      <c r="DC38" s="159" t="s">
        <v>9</v>
      </c>
      <c r="DD38" s="159">
        <v>1300</v>
      </c>
      <c r="DE38" s="160" t="s">
        <v>695</v>
      </c>
      <c r="DF38" s="168">
        <v>0.82237750172532775</v>
      </c>
      <c r="DG38" s="161"/>
      <c r="DH38" s="162">
        <v>10</v>
      </c>
      <c r="DI38" s="162">
        <v>1310</v>
      </c>
      <c r="DJ38" s="163" t="s">
        <v>704</v>
      </c>
      <c r="DK38" s="169">
        <v>0.81383712905452033</v>
      </c>
      <c r="DW38" s="221">
        <v>34</v>
      </c>
      <c r="DX38" s="222">
        <v>52</v>
      </c>
      <c r="DY38" s="220">
        <v>63</v>
      </c>
      <c r="DZ38" s="220">
        <v>68</v>
      </c>
      <c r="EA38" s="220">
        <v>69</v>
      </c>
      <c r="EB38" s="220">
        <v>78</v>
      </c>
      <c r="EC38" s="220">
        <v>78</v>
      </c>
      <c r="EH38" s="200">
        <v>33</v>
      </c>
      <c r="EI38" s="239"/>
      <c r="EJ38" s="239"/>
      <c r="EK38" s="239"/>
      <c r="EL38" s="239"/>
      <c r="EM38" s="239"/>
      <c r="EN38" s="239">
        <v>1.3333333333333335</v>
      </c>
    </row>
    <row r="39" spans="2:144" ht="11.1" customHeight="1">
      <c r="B39"/>
      <c r="C39"/>
      <c r="D39"/>
      <c r="E39" s="3" t="s">
        <v>1223</v>
      </c>
      <c r="F39" s="3"/>
      <c r="I39" s="15"/>
      <c r="J39" s="15"/>
      <c r="K39" s="15"/>
      <c r="L39" s="12"/>
      <c r="M39" s="12"/>
      <c r="N39" s="12"/>
      <c r="O39" s="12"/>
      <c r="P39" s="12"/>
      <c r="Q39" s="12"/>
      <c r="R39" s="12"/>
      <c r="S39" s="12"/>
      <c r="T39" s="12"/>
      <c r="U39" s="12"/>
      <c r="V39" s="12"/>
      <c r="W39" s="12"/>
      <c r="X39" s="12"/>
      <c r="Y39" s="12"/>
      <c r="Z39" s="9" t="s">
        <v>632</v>
      </c>
      <c r="AA39" s="12"/>
      <c r="AB39" s="12"/>
      <c r="AC39" s="12"/>
      <c r="AD39" s="12"/>
      <c r="AE39" s="12"/>
      <c r="AF39" s="12"/>
      <c r="AG39" s="12"/>
      <c r="AH39" s="12"/>
      <c r="AI39" s="12"/>
      <c r="AJ39" s="12"/>
      <c r="AK39" s="12"/>
      <c r="AL39" s="12"/>
      <c r="AM39" s="12"/>
      <c r="AN39" s="12"/>
      <c r="AO39" s="12"/>
      <c r="AP39" s="12"/>
      <c r="AQ39" s="12"/>
      <c r="AR39" s="12"/>
      <c r="AS39" s="12"/>
      <c r="AX39" s="57" t="s">
        <v>1397</v>
      </c>
      <c r="AY39" s="56"/>
      <c r="BM39" s="76">
        <v>14</v>
      </c>
      <c r="BN39" s="66"/>
      <c r="BO39" s="192"/>
      <c r="BP39" s="67"/>
      <c r="BQ39" s="66" t="s">
        <v>1530</v>
      </c>
      <c r="BR39" s="192"/>
      <c r="BS39" s="67"/>
      <c r="BT39" s="66"/>
      <c r="BU39" s="192"/>
      <c r="BV39" s="67"/>
      <c r="BW39" s="66"/>
      <c r="BX39" s="192"/>
      <c r="BY39" s="67"/>
      <c r="BZ39" s="66"/>
      <c r="CA39" s="192"/>
      <c r="CB39" s="67"/>
      <c r="CC39" s="66"/>
      <c r="CD39" s="192"/>
      <c r="CE39" s="67"/>
      <c r="CF39" s="66"/>
      <c r="CG39" s="192"/>
      <c r="CH39" s="67"/>
      <c r="CI39" s="66"/>
      <c r="CJ39" s="192"/>
      <c r="CL39" s="96" t="s">
        <v>1520</v>
      </c>
      <c r="CM39" s="112" t="s">
        <v>5</v>
      </c>
      <c r="CN39" s="185" t="str">
        <f>BTB!$N$5</f>
        <v xml:space="preserve"> - - - PILIH - - -</v>
      </c>
      <c r="CO39" s="149"/>
      <c r="CP39" s="149"/>
      <c r="CQ39" s="150"/>
      <c r="CS39" s="123" t="s">
        <v>1533</v>
      </c>
      <c r="CT39" s="183">
        <f>IF(CN39=" - - - PILIH - - -",0,((VLOOKUP(CN39,CZ:DA,2,FALSE))/1))</f>
        <v>0</v>
      </c>
      <c r="CU39" s="184" t="e">
        <f>VLOOKUP(CN39,CZ:DA,2,FALSE)</f>
        <v>#N/A</v>
      </c>
      <c r="CV39" s="125"/>
      <c r="CX39" s="120">
        <v>3</v>
      </c>
      <c r="CY39" s="120">
        <v>1203</v>
      </c>
      <c r="CZ39" s="121" t="s">
        <v>162</v>
      </c>
      <c r="DA39" s="181">
        <f t="shared" si="2"/>
        <v>0.91890959282263629</v>
      </c>
      <c r="DC39" s="162">
        <v>1</v>
      </c>
      <c r="DD39" s="162">
        <v>1301</v>
      </c>
      <c r="DE39" s="163" t="s">
        <v>696</v>
      </c>
      <c r="DF39" s="169">
        <v>1.1920289855072463</v>
      </c>
      <c r="DG39" s="161"/>
      <c r="DH39" s="162">
        <v>11</v>
      </c>
      <c r="DI39" s="162">
        <v>1311</v>
      </c>
      <c r="DJ39" s="163" t="s">
        <v>705</v>
      </c>
      <c r="DK39" s="169">
        <v>0.8040027605244997</v>
      </c>
      <c r="DW39" s="221">
        <v>35</v>
      </c>
      <c r="DX39" s="222">
        <v>54</v>
      </c>
      <c r="DY39" s="220">
        <v>65</v>
      </c>
      <c r="DZ39" s="220">
        <v>70</v>
      </c>
      <c r="EA39" s="220">
        <v>71</v>
      </c>
      <c r="EB39" s="220">
        <v>80</v>
      </c>
      <c r="EC39" s="220">
        <v>80</v>
      </c>
      <c r="EH39" s="200">
        <v>34</v>
      </c>
      <c r="EI39" s="239"/>
      <c r="EJ39" s="239"/>
      <c r="EK39" s="239"/>
      <c r="EL39" s="239"/>
      <c r="EM39" s="239"/>
      <c r="EN39" s="239">
        <v>1.3531951640759932</v>
      </c>
    </row>
    <row r="40" spans="2:144" ht="11.1" customHeight="1">
      <c r="B40"/>
      <c r="C40"/>
      <c r="D40"/>
      <c r="E40" s="3" t="s">
        <v>1270</v>
      </c>
      <c r="I40" s="19" t="str">
        <f>BTB!N5</f>
        <v xml:space="preserve"> - - - PILIH - - -</v>
      </c>
      <c r="J40" s="2" t="str">
        <f>VLOOKUP(I40,$I$3:$J$37,2,FALSE)</f>
        <v xml:space="preserve"> - - - PILIH - - -</v>
      </c>
      <c r="K40" s="15"/>
      <c r="L40" s="12"/>
      <c r="M40" s="12"/>
      <c r="N40" s="12"/>
      <c r="O40" s="12"/>
      <c r="P40" s="12"/>
      <c r="Q40" s="12"/>
      <c r="R40" s="12"/>
      <c r="S40" s="12"/>
      <c r="T40" s="12"/>
      <c r="U40" s="12"/>
      <c r="V40" s="12"/>
      <c r="W40" s="12"/>
      <c r="X40" s="12"/>
      <c r="Y40" s="12"/>
      <c r="Z40" s="9" t="s">
        <v>633</v>
      </c>
      <c r="AA40" s="12"/>
      <c r="AB40" s="12"/>
      <c r="AC40" s="12"/>
      <c r="AD40" s="12"/>
      <c r="AE40" s="12"/>
      <c r="AF40" s="12"/>
      <c r="AG40" s="12"/>
      <c r="AH40" s="12"/>
      <c r="AI40" s="12"/>
      <c r="AJ40" s="12"/>
      <c r="AK40" s="12"/>
      <c r="AL40" s="12"/>
      <c r="AM40" s="12"/>
      <c r="AN40" s="12"/>
      <c r="AO40" s="12"/>
      <c r="AP40" s="12"/>
      <c r="AQ40" s="12"/>
      <c r="AR40" s="12"/>
      <c r="AS40" s="12"/>
      <c r="AX40" s="4" t="s">
        <v>6</v>
      </c>
      <c r="AY40" s="56">
        <v>0</v>
      </c>
      <c r="BM40" s="76">
        <v>15</v>
      </c>
      <c r="BN40" s="66"/>
      <c r="BO40" s="192"/>
      <c r="BP40" s="67"/>
      <c r="BQ40" s="66"/>
      <c r="BR40" s="192"/>
      <c r="BS40" s="67"/>
      <c r="BT40" s="66"/>
      <c r="BU40" s="192"/>
      <c r="BV40" s="67"/>
      <c r="BW40" s="66"/>
      <c r="BX40" s="192"/>
      <c r="BY40" s="67"/>
      <c r="BZ40" s="66"/>
      <c r="CA40" s="192"/>
      <c r="CB40" s="67"/>
      <c r="CC40" s="66"/>
      <c r="CD40" s="192"/>
      <c r="CE40" s="67"/>
      <c r="CF40" s="66"/>
      <c r="CG40" s="192"/>
      <c r="CH40" s="67"/>
      <c r="CI40" s="66"/>
      <c r="CJ40" s="192"/>
      <c r="CL40" s="96"/>
      <c r="CM40" s="94"/>
      <c r="CN40" s="95"/>
      <c r="CO40" s="95"/>
      <c r="CP40" s="95"/>
      <c r="CQ40" s="82"/>
      <c r="CR40" s="82"/>
      <c r="CS40" s="124"/>
      <c r="CT40" s="82"/>
      <c r="CU40" s="126"/>
      <c r="CV40" s="127"/>
      <c r="CX40" s="120">
        <v>4</v>
      </c>
      <c r="CY40" s="120">
        <v>1204</v>
      </c>
      <c r="CZ40" s="121" t="s">
        <v>197</v>
      </c>
      <c r="DA40" s="181">
        <f t="shared" si="2"/>
        <v>0.86214630779848167</v>
      </c>
      <c r="DC40" s="162">
        <v>2</v>
      </c>
      <c r="DD40" s="162">
        <v>1302</v>
      </c>
      <c r="DE40" s="163" t="s">
        <v>697</v>
      </c>
      <c r="DF40" s="169">
        <v>0.787008281573499</v>
      </c>
      <c r="DG40" s="161"/>
      <c r="DH40" s="162">
        <v>12</v>
      </c>
      <c r="DI40" s="162">
        <v>1312</v>
      </c>
      <c r="DJ40" s="163" t="s">
        <v>706</v>
      </c>
      <c r="DK40" s="169">
        <v>0.81694271911663219</v>
      </c>
      <c r="DW40" s="221">
        <v>36</v>
      </c>
      <c r="DX40" s="222">
        <v>56</v>
      </c>
      <c r="DY40" s="220">
        <v>67</v>
      </c>
      <c r="DZ40" s="220">
        <v>72</v>
      </c>
      <c r="EA40" s="220">
        <v>73</v>
      </c>
      <c r="EB40" s="220">
        <v>82</v>
      </c>
      <c r="EC40" s="220">
        <v>82</v>
      </c>
      <c r="EH40" s="200">
        <v>35</v>
      </c>
      <c r="EI40" s="239"/>
      <c r="EJ40" s="239"/>
      <c r="EK40" s="239"/>
      <c r="EL40" s="239"/>
      <c r="EM40" s="239"/>
      <c r="EN40" s="239">
        <v>1.3730569948186531</v>
      </c>
    </row>
    <row r="41" spans="2:144" ht="11.1" customHeight="1">
      <c r="B41"/>
      <c r="C41"/>
      <c r="D41"/>
      <c r="E41" s="3" t="s">
        <v>1225</v>
      </c>
      <c r="I41" s="15"/>
      <c r="J41" s="15"/>
      <c r="K41" s="15"/>
      <c r="L41" s="12"/>
      <c r="M41" s="12"/>
      <c r="N41" s="12"/>
      <c r="O41" s="12"/>
      <c r="P41" s="12"/>
      <c r="Q41" s="12"/>
      <c r="R41" s="12"/>
      <c r="S41" s="12"/>
      <c r="T41" s="12"/>
      <c r="U41" s="12"/>
      <c r="V41" s="12"/>
      <c r="W41" s="12"/>
      <c r="X41" s="12"/>
      <c r="Y41" s="12"/>
      <c r="Z41" s="9" t="s">
        <v>634</v>
      </c>
      <c r="AA41" s="12"/>
      <c r="AB41" s="12"/>
      <c r="AC41" s="12"/>
      <c r="AD41" s="12"/>
      <c r="AE41" s="12"/>
      <c r="AF41" s="12"/>
      <c r="AG41" s="12"/>
      <c r="AH41" s="12"/>
      <c r="AI41" s="12"/>
      <c r="AJ41" s="12"/>
      <c r="AK41" s="12"/>
      <c r="AL41" s="12"/>
      <c r="AM41" s="12"/>
      <c r="AN41" s="12"/>
      <c r="AO41" s="12"/>
      <c r="AP41" s="12"/>
      <c r="AQ41" s="12"/>
      <c r="AR41" s="12"/>
      <c r="AS41" s="12"/>
      <c r="AX41" s="50" t="s">
        <v>1708</v>
      </c>
      <c r="AY41" s="56">
        <v>30</v>
      </c>
      <c r="BM41" s="75" t="s">
        <v>1308</v>
      </c>
      <c r="BN41" s="65" t="s">
        <v>1438</v>
      </c>
      <c r="BO41" s="191"/>
      <c r="BP41" s="67"/>
      <c r="BQ41" s="65" t="s">
        <v>1439</v>
      </c>
      <c r="BR41" s="191"/>
      <c r="BS41" s="67"/>
      <c r="BT41" s="65" t="s">
        <v>1440</v>
      </c>
      <c r="BU41" s="191"/>
      <c r="BV41" s="67"/>
      <c r="BW41" s="65" t="s">
        <v>1441</v>
      </c>
      <c r="BX41" s="191"/>
      <c r="BY41" s="67"/>
      <c r="BZ41" s="65" t="s">
        <v>1470</v>
      </c>
      <c r="CA41" s="191"/>
      <c r="CB41" s="67"/>
      <c r="CC41" s="65" t="s">
        <v>1471</v>
      </c>
      <c r="CD41" s="191"/>
      <c r="CE41" s="67"/>
      <c r="CF41" s="65" t="s">
        <v>1472</v>
      </c>
      <c r="CG41" s="191"/>
      <c r="CH41" s="67"/>
      <c r="CI41" s="65" t="s">
        <v>1473</v>
      </c>
      <c r="CJ41" s="191"/>
      <c r="CL41" s="96" t="s">
        <v>1521</v>
      </c>
      <c r="CM41" s="112" t="s">
        <v>5</v>
      </c>
      <c r="CN41" s="186" t="str">
        <f>BTB!$BG$5</f>
        <v>Kota Adm. Jakarta Selatan</v>
      </c>
      <c r="CO41" s="147"/>
      <c r="CP41" s="147"/>
      <c r="CQ41" s="148"/>
      <c r="CR41" s="82"/>
      <c r="CS41" s="123" t="s">
        <v>1534</v>
      </c>
      <c r="CT41" s="183">
        <f>IF(CN41=" - - - PILIH - - -",CT39,CU41)</f>
        <v>1</v>
      </c>
      <c r="CU41" s="184">
        <f>IF(CN41=" - - - PILIH - - -",0,((VLOOKUP(CN41,CZ:DA,2,FALSE))/1))</f>
        <v>1</v>
      </c>
      <c r="CV41" s="125"/>
      <c r="CX41" s="120">
        <v>5</v>
      </c>
      <c r="CY41" s="120">
        <v>1205</v>
      </c>
      <c r="CZ41" s="121" t="s">
        <v>231</v>
      </c>
      <c r="DA41" s="181">
        <f t="shared" si="2"/>
        <v>0.89147688060731545</v>
      </c>
      <c r="DC41" s="162">
        <v>3</v>
      </c>
      <c r="DD41" s="162">
        <v>1303</v>
      </c>
      <c r="DE41" s="163" t="s">
        <v>698</v>
      </c>
      <c r="DF41" s="169">
        <v>0.82349896480331253</v>
      </c>
      <c r="DG41" s="161"/>
      <c r="DH41" s="162">
        <v>13</v>
      </c>
      <c r="DI41" s="162">
        <v>1371</v>
      </c>
      <c r="DJ41" s="163" t="s">
        <v>707</v>
      </c>
      <c r="DK41" s="169">
        <v>0.79994824016563149</v>
      </c>
      <c r="DW41" s="221">
        <v>37</v>
      </c>
      <c r="DX41" s="222">
        <v>58</v>
      </c>
      <c r="DY41" s="220">
        <v>69</v>
      </c>
      <c r="DZ41" s="220">
        <v>74</v>
      </c>
      <c r="EA41" s="220">
        <v>75</v>
      </c>
      <c r="EB41" s="220">
        <v>84</v>
      </c>
      <c r="EC41" s="220">
        <v>84</v>
      </c>
      <c r="EH41" s="200">
        <v>36</v>
      </c>
      <c r="EI41" s="239"/>
      <c r="EJ41" s="239"/>
      <c r="EK41" s="239"/>
      <c r="EL41" s="239"/>
      <c r="EM41" s="239"/>
      <c r="EN41" s="239">
        <v>1.3929188255613127</v>
      </c>
    </row>
    <row r="42" spans="2:144" ht="11.1" customHeight="1">
      <c r="B42"/>
      <c r="C42"/>
      <c r="D42"/>
      <c r="E42" s="3" t="s">
        <v>1226</v>
      </c>
      <c r="AX42" s="50" t="s">
        <v>1709</v>
      </c>
      <c r="AY42" s="56">
        <v>50</v>
      </c>
      <c r="BM42" s="76">
        <v>1</v>
      </c>
      <c r="BN42" s="207" t="s">
        <v>1670</v>
      </c>
      <c r="BO42" s="192">
        <v>1</v>
      </c>
      <c r="BP42" s="67"/>
      <c r="BQ42" s="207" t="s">
        <v>1670</v>
      </c>
      <c r="BR42" s="192">
        <v>1</v>
      </c>
      <c r="BS42" s="67"/>
      <c r="BT42" s="207" t="s">
        <v>1670</v>
      </c>
      <c r="BU42" s="192">
        <v>1</v>
      </c>
      <c r="BV42" s="67"/>
      <c r="BW42" s="207" t="s">
        <v>1670</v>
      </c>
      <c r="BX42" s="192">
        <v>1</v>
      </c>
      <c r="BY42" s="67"/>
      <c r="BZ42" s="207" t="s">
        <v>1670</v>
      </c>
      <c r="CA42" s="192">
        <v>0</v>
      </c>
      <c r="CB42" s="67"/>
      <c r="CC42" s="207" t="s">
        <v>1670</v>
      </c>
      <c r="CD42" s="192">
        <v>1</v>
      </c>
      <c r="CE42" s="67"/>
      <c r="CF42" s="207" t="s">
        <v>1670</v>
      </c>
      <c r="CG42" s="192">
        <v>1</v>
      </c>
      <c r="CH42" s="67"/>
      <c r="CI42" s="207" t="s">
        <v>1670</v>
      </c>
      <c r="CJ42" s="192">
        <v>1</v>
      </c>
      <c r="CL42" s="83"/>
      <c r="CM42" s="84"/>
      <c r="CN42" s="85"/>
      <c r="CO42" s="83"/>
      <c r="CP42" s="83"/>
      <c r="CQ42" s="83"/>
      <c r="CR42" s="83"/>
      <c r="CS42" s="83"/>
      <c r="CT42" s="83"/>
      <c r="CU42" s="83"/>
      <c r="CV42" s="83"/>
      <c r="CX42" s="120">
        <v>6</v>
      </c>
      <c r="CY42" s="120">
        <v>1206</v>
      </c>
      <c r="CZ42" s="121" t="s">
        <v>266</v>
      </c>
      <c r="DA42" s="181">
        <f t="shared" si="2"/>
        <v>0.86249137336093862</v>
      </c>
      <c r="DC42" s="162">
        <v>4</v>
      </c>
      <c r="DD42" s="162">
        <v>1304</v>
      </c>
      <c r="DE42" s="163" t="s">
        <v>1725</v>
      </c>
      <c r="DF42" s="169">
        <v>0.79537612146307801</v>
      </c>
      <c r="DG42" s="161"/>
      <c r="DH42" s="162">
        <v>14</v>
      </c>
      <c r="DI42" s="162">
        <v>1372</v>
      </c>
      <c r="DJ42" s="163" t="s">
        <v>708</v>
      </c>
      <c r="DK42" s="169">
        <v>0.78735334713595584</v>
      </c>
      <c r="DW42" s="221">
        <v>38</v>
      </c>
      <c r="DX42" s="222">
        <v>60</v>
      </c>
      <c r="DY42" s="220">
        <v>71</v>
      </c>
      <c r="DZ42" s="220">
        <v>76</v>
      </c>
      <c r="EA42" s="220">
        <v>77</v>
      </c>
      <c r="EB42" s="220">
        <v>86</v>
      </c>
      <c r="EC42" s="220">
        <v>86</v>
      </c>
      <c r="EH42" s="200">
        <v>37</v>
      </c>
      <c r="EI42" s="239"/>
      <c r="EJ42" s="239"/>
      <c r="EK42" s="239"/>
      <c r="EL42" s="239"/>
      <c r="EM42" s="239"/>
      <c r="EN42" s="239">
        <v>1.4127806563039724</v>
      </c>
    </row>
    <row r="43" spans="2:144" ht="11.1" customHeight="1">
      <c r="B43"/>
      <c r="C43"/>
      <c r="D43"/>
      <c r="E43" s="3" t="s">
        <v>1227</v>
      </c>
      <c r="K43" s="2"/>
      <c r="BM43" s="76">
        <v>2</v>
      </c>
      <c r="BN43" s="66" t="s">
        <v>1309</v>
      </c>
      <c r="BO43" s="192">
        <v>1.2718707572083969</v>
      </c>
      <c r="BP43" s="67"/>
      <c r="BQ43" s="66" t="s">
        <v>1638</v>
      </c>
      <c r="BR43" s="192">
        <v>0.36581109325336941</v>
      </c>
      <c r="BS43" s="67"/>
      <c r="BT43" s="66" t="s">
        <v>1299</v>
      </c>
      <c r="BU43" s="192">
        <v>0.86797514115957608</v>
      </c>
      <c r="BV43" s="67"/>
      <c r="BW43" s="66" t="s">
        <v>1299</v>
      </c>
      <c r="BX43" s="192">
        <v>0.79403711723347603</v>
      </c>
      <c r="BY43" s="67"/>
      <c r="BZ43" s="66" t="s">
        <v>1663</v>
      </c>
      <c r="CA43" s="192">
        <v>0</v>
      </c>
      <c r="CB43" s="67"/>
      <c r="CC43" s="66" t="s">
        <v>1638</v>
      </c>
      <c r="CD43" s="192">
        <v>0.4285705013889195</v>
      </c>
      <c r="CE43" s="67"/>
      <c r="CF43" s="66" t="s">
        <v>1309</v>
      </c>
      <c r="CG43" s="192">
        <v>1</v>
      </c>
      <c r="CH43" s="67"/>
      <c r="CI43" s="66" t="s">
        <v>1309</v>
      </c>
      <c r="CJ43" s="192">
        <v>1</v>
      </c>
      <c r="CL43" s="1287" t="s">
        <v>1289</v>
      </c>
      <c r="CM43" s="1288"/>
      <c r="CN43" s="1288"/>
      <c r="CO43" s="141" t="s">
        <v>1415</v>
      </c>
      <c r="CP43" s="141" t="s">
        <v>1416</v>
      </c>
      <c r="CQ43" s="141" t="s">
        <v>1417</v>
      </c>
      <c r="CR43" s="141" t="s">
        <v>1418</v>
      </c>
      <c r="CS43" s="141" t="s">
        <v>1283</v>
      </c>
      <c r="CT43" s="141" t="s">
        <v>1486</v>
      </c>
      <c r="CU43" s="141" t="s">
        <v>1487</v>
      </c>
      <c r="CV43" s="142" t="s">
        <v>1488</v>
      </c>
      <c r="CX43" s="120">
        <v>7</v>
      </c>
      <c r="CY43" s="120">
        <v>1207</v>
      </c>
      <c r="CZ43" s="121" t="s">
        <v>298</v>
      </c>
      <c r="DA43" s="181">
        <f t="shared" si="2"/>
        <v>0.82832988267770868</v>
      </c>
      <c r="DC43" s="162">
        <v>5</v>
      </c>
      <c r="DD43" s="162">
        <v>1305</v>
      </c>
      <c r="DE43" s="163" t="s">
        <v>699</v>
      </c>
      <c r="DF43" s="169">
        <v>0.78200483091787443</v>
      </c>
      <c r="DG43" s="161"/>
      <c r="DH43" s="162">
        <v>15</v>
      </c>
      <c r="DI43" s="162">
        <v>1373</v>
      </c>
      <c r="DJ43" s="163" t="s">
        <v>709</v>
      </c>
      <c r="DK43" s="169">
        <v>0.8227225672877847</v>
      </c>
      <c r="DW43" s="221">
        <v>39</v>
      </c>
      <c r="DX43" s="222">
        <v>62</v>
      </c>
      <c r="DY43" s="220">
        <v>73</v>
      </c>
      <c r="DZ43" s="220">
        <v>78</v>
      </c>
      <c r="EA43" s="220">
        <v>79</v>
      </c>
      <c r="EB43" s="220">
        <v>88</v>
      </c>
      <c r="EC43" s="220">
        <v>88</v>
      </c>
      <c r="EH43" s="200">
        <v>38</v>
      </c>
      <c r="EI43" s="239"/>
      <c r="EJ43" s="239"/>
      <c r="EK43" s="239"/>
      <c r="EL43" s="239"/>
      <c r="EM43" s="239"/>
      <c r="EN43" s="239">
        <v>1.4326424870466323</v>
      </c>
    </row>
    <row r="44" spans="2:144" ht="11.1" customHeight="1">
      <c r="B44"/>
      <c r="C44"/>
      <c r="D44"/>
      <c r="E44" s="3" t="s">
        <v>1228</v>
      </c>
      <c r="K44" s="2"/>
      <c r="AX44" s="57" t="s">
        <v>1398</v>
      </c>
      <c r="AY44" s="56"/>
      <c r="BM44" s="76">
        <v>3</v>
      </c>
      <c r="BN44" s="66" t="s">
        <v>1638</v>
      </c>
      <c r="BO44" s="192">
        <v>0.43121694545325129</v>
      </c>
      <c r="BP44" s="67"/>
      <c r="BQ44" s="66" t="s">
        <v>1644</v>
      </c>
      <c r="BR44" s="192">
        <v>1.0996363943480085</v>
      </c>
      <c r="BS44" s="67"/>
      <c r="BT44" s="66" t="s">
        <v>1638</v>
      </c>
      <c r="BU44" s="192">
        <v>1.074464563833651</v>
      </c>
      <c r="BV44" s="67"/>
      <c r="BW44" s="66" t="s">
        <v>1642</v>
      </c>
      <c r="BX44" s="192">
        <v>1</v>
      </c>
      <c r="BY44" s="67"/>
      <c r="BZ44" s="66" t="s">
        <v>1530</v>
      </c>
      <c r="CA44" s="192"/>
      <c r="CB44" s="67"/>
      <c r="CC44" s="66" t="s">
        <v>1644</v>
      </c>
      <c r="CD44" s="192">
        <v>1.2882925902545435</v>
      </c>
      <c r="CE44" s="67"/>
      <c r="CF44" s="66" t="s">
        <v>1638</v>
      </c>
      <c r="CG44" s="192">
        <v>0.27321276448420612</v>
      </c>
      <c r="CH44" s="67"/>
      <c r="CI44" s="66" t="s">
        <v>1638</v>
      </c>
      <c r="CJ44" s="192">
        <v>0.27321276448420612</v>
      </c>
      <c r="CL44" s="1289"/>
      <c r="CM44" s="1290"/>
      <c r="CN44" s="1290"/>
      <c r="CO44" s="143"/>
      <c r="CP44" s="143"/>
      <c r="CQ44" s="143"/>
      <c r="CR44" s="143"/>
      <c r="CS44" s="143"/>
      <c r="CT44" s="143"/>
      <c r="CU44" s="143"/>
      <c r="CV44" s="144"/>
      <c r="CX44" s="120">
        <v>8</v>
      </c>
      <c r="CY44" s="120">
        <v>1208</v>
      </c>
      <c r="CZ44" s="121" t="s">
        <v>328</v>
      </c>
      <c r="DA44" s="181">
        <f t="shared" si="2"/>
        <v>0.8889751552795031</v>
      </c>
      <c r="DC44" s="162">
        <v>6</v>
      </c>
      <c r="DD44" s="162">
        <v>1306</v>
      </c>
      <c r="DE44" s="163" t="s">
        <v>700</v>
      </c>
      <c r="DF44" s="169">
        <v>0.80753968253968256</v>
      </c>
      <c r="DG44" s="161"/>
      <c r="DH44" s="162">
        <v>16</v>
      </c>
      <c r="DI44" s="162">
        <v>1374</v>
      </c>
      <c r="DJ44" s="163" t="s">
        <v>710</v>
      </c>
      <c r="DK44" s="169">
        <v>0.79330572808833677</v>
      </c>
      <c r="DW44" s="221">
        <v>40</v>
      </c>
      <c r="DX44" s="222">
        <v>64</v>
      </c>
      <c r="DY44" s="220">
        <v>75</v>
      </c>
      <c r="DZ44" s="220">
        <v>80</v>
      </c>
      <c r="EA44" s="220">
        <v>81</v>
      </c>
      <c r="EB44" s="220">
        <v>90</v>
      </c>
      <c r="EC44" s="220">
        <v>90</v>
      </c>
      <c r="EH44" s="200">
        <v>39</v>
      </c>
      <c r="EI44" s="239"/>
      <c r="EJ44" s="239"/>
      <c r="EK44" s="239"/>
      <c r="EL44" s="239"/>
      <c r="EM44" s="239"/>
      <c r="EN44" s="239">
        <v>1.452504317789292</v>
      </c>
    </row>
    <row r="45" spans="2:144" ht="11.1" customHeight="1">
      <c r="B45"/>
      <c r="C45"/>
      <c r="D45"/>
      <c r="E45" s="3" t="s">
        <v>1229</v>
      </c>
      <c r="K45" s="2"/>
      <c r="AX45" s="4" t="s">
        <v>6</v>
      </c>
      <c r="AY45" s="56">
        <v>0</v>
      </c>
      <c r="BM45" s="76">
        <v>4</v>
      </c>
      <c r="BN45" s="66" t="s">
        <v>1644</v>
      </c>
      <c r="BO45" s="192">
        <v>1.0817463829743703</v>
      </c>
      <c r="BP45" s="67"/>
      <c r="BQ45" s="66" t="s">
        <v>1645</v>
      </c>
      <c r="BR45" s="192">
        <v>0.95319745855527871</v>
      </c>
      <c r="BS45" s="67"/>
      <c r="BT45" s="66" t="s">
        <v>1644</v>
      </c>
      <c r="BU45" s="192">
        <v>2.7806187778397051</v>
      </c>
      <c r="BV45" s="67"/>
      <c r="BW45" s="66" t="s">
        <v>1530</v>
      </c>
      <c r="BX45" s="192"/>
      <c r="BY45" s="67"/>
      <c r="BZ45" s="66"/>
      <c r="CA45" s="192"/>
      <c r="CB45" s="67"/>
      <c r="CC45" s="66" t="s">
        <v>1645</v>
      </c>
      <c r="CD45" s="192">
        <v>1.1167302475781793</v>
      </c>
      <c r="CE45" s="67"/>
      <c r="CF45" s="66" t="s">
        <v>1644</v>
      </c>
      <c r="CG45" s="192">
        <v>0.8863970997808257</v>
      </c>
      <c r="CH45" s="67"/>
      <c r="CI45" s="66" t="s">
        <v>1644</v>
      </c>
      <c r="CJ45" s="192">
        <v>0.8863970997808257</v>
      </c>
      <c r="CL45" s="1289"/>
      <c r="CM45" s="1290"/>
      <c r="CN45" s="1290"/>
      <c r="CO45" s="143"/>
      <c r="CP45" s="143"/>
      <c r="CQ45" s="143"/>
      <c r="CR45" s="143"/>
      <c r="CS45" s="143"/>
      <c r="CT45" s="143"/>
      <c r="CU45" s="143"/>
      <c r="CV45" s="144"/>
      <c r="CX45" s="120">
        <v>9</v>
      </c>
      <c r="CY45" s="120">
        <v>1209</v>
      </c>
      <c r="CZ45" s="121" t="s">
        <v>355</v>
      </c>
      <c r="DA45" s="181">
        <f t="shared" si="2"/>
        <v>0.91468253968253965</v>
      </c>
      <c r="DC45" s="162">
        <v>7</v>
      </c>
      <c r="DD45" s="162">
        <v>1307</v>
      </c>
      <c r="DE45" s="163" t="s">
        <v>701</v>
      </c>
      <c r="DF45" s="169">
        <v>0.82065217391304346</v>
      </c>
      <c r="DG45" s="161"/>
      <c r="DH45" s="162">
        <v>17</v>
      </c>
      <c r="DI45" s="162">
        <v>1375</v>
      </c>
      <c r="DJ45" s="163" t="s">
        <v>711</v>
      </c>
      <c r="DK45" s="169">
        <v>0.82427536231884058</v>
      </c>
      <c r="DW45" s="221">
        <v>41</v>
      </c>
      <c r="DX45" s="222">
        <v>66</v>
      </c>
      <c r="DY45" s="220">
        <v>77</v>
      </c>
      <c r="DZ45" s="220">
        <v>82</v>
      </c>
      <c r="EA45" s="220">
        <v>83</v>
      </c>
      <c r="EB45" s="220">
        <v>92</v>
      </c>
      <c r="EC45" s="220">
        <v>92</v>
      </c>
      <c r="EH45" s="200">
        <v>40</v>
      </c>
      <c r="EI45" s="239"/>
      <c r="EJ45" s="239"/>
      <c r="EK45" s="239"/>
      <c r="EL45" s="239"/>
      <c r="EM45" s="239"/>
      <c r="EN45" s="239">
        <v>1.4723661485319519</v>
      </c>
    </row>
    <row r="46" spans="2:144" ht="11.1" customHeight="1">
      <c r="B46"/>
      <c r="C46"/>
      <c r="D46"/>
      <c r="E46" s="3" t="s">
        <v>1271</v>
      </c>
      <c r="K46" s="2"/>
      <c r="AX46" s="50" t="s">
        <v>1411</v>
      </c>
      <c r="AY46" s="56">
        <v>15</v>
      </c>
      <c r="BM46" s="76">
        <v>5</v>
      </c>
      <c r="BN46" s="66" t="s">
        <v>1645</v>
      </c>
      <c r="BO46" s="192">
        <v>0.95632811784876004</v>
      </c>
      <c r="BP46" s="67"/>
      <c r="BQ46" s="66" t="s">
        <v>1643</v>
      </c>
      <c r="BR46" s="192">
        <v>1.7670916790944657</v>
      </c>
      <c r="BS46" s="67"/>
      <c r="BT46" s="66" t="s">
        <v>1645</v>
      </c>
      <c r="BU46" s="192">
        <v>2.3504966460162735</v>
      </c>
      <c r="BV46" s="67"/>
      <c r="BW46" s="66"/>
      <c r="BX46" s="192"/>
      <c r="BY46" s="67"/>
      <c r="BZ46" s="66"/>
      <c r="CA46" s="192"/>
      <c r="CB46" s="67"/>
      <c r="CC46" s="66" t="s">
        <v>1643</v>
      </c>
      <c r="CD46" s="192">
        <v>2.0702580672838224</v>
      </c>
      <c r="CE46" s="67"/>
      <c r="CF46" s="66" t="s">
        <v>1645</v>
      </c>
      <c r="CG46" s="192">
        <v>0.77702647867627184</v>
      </c>
      <c r="CH46" s="67"/>
      <c r="CI46" s="66" t="s">
        <v>1645</v>
      </c>
      <c r="CJ46" s="192">
        <v>0.77702647867627184</v>
      </c>
      <c r="CL46" s="1289"/>
      <c r="CM46" s="1290"/>
      <c r="CN46" s="1290"/>
      <c r="CO46" s="143"/>
      <c r="CP46" s="143"/>
      <c r="CQ46" s="143"/>
      <c r="CR46" s="143"/>
      <c r="CS46" s="143"/>
      <c r="CT46" s="143"/>
      <c r="CU46" s="143"/>
      <c r="CV46" s="144"/>
      <c r="CX46" s="120">
        <v>10</v>
      </c>
      <c r="CY46" s="120">
        <v>1210</v>
      </c>
      <c r="CZ46" s="121" t="s">
        <v>382</v>
      </c>
      <c r="DA46" s="181">
        <f t="shared" si="2"/>
        <v>0.91011042097998618</v>
      </c>
      <c r="DC46" s="162">
        <v>8</v>
      </c>
      <c r="DD46" s="162">
        <v>1308</v>
      </c>
      <c r="DE46" s="163" t="s">
        <v>702</v>
      </c>
      <c r="DF46" s="169">
        <v>0.84420289855072461</v>
      </c>
      <c r="DG46" s="161"/>
      <c r="DH46" s="162">
        <v>18</v>
      </c>
      <c r="DI46" s="162">
        <v>1376</v>
      </c>
      <c r="DJ46" s="163" t="s">
        <v>712</v>
      </c>
      <c r="DK46" s="169">
        <v>0.79830917874396135</v>
      </c>
      <c r="DW46" s="221">
        <v>42</v>
      </c>
      <c r="DX46" s="222">
        <v>68</v>
      </c>
      <c r="DY46" s="220">
        <v>79</v>
      </c>
      <c r="DZ46" s="220">
        <v>84</v>
      </c>
      <c r="EA46" s="220">
        <v>85</v>
      </c>
      <c r="EB46" s="220">
        <v>94</v>
      </c>
      <c r="EC46" s="220">
        <v>94</v>
      </c>
    </row>
    <row r="47" spans="2:144" ht="11.1" customHeight="1">
      <c r="B47"/>
      <c r="C47"/>
      <c r="D47"/>
      <c r="E47" s="3" t="s">
        <v>1214</v>
      </c>
      <c r="K47" s="2"/>
      <c r="AX47" s="50" t="s">
        <v>1412</v>
      </c>
      <c r="AY47" s="56">
        <v>30</v>
      </c>
      <c r="BM47" s="76">
        <v>6</v>
      </c>
      <c r="BN47" s="66" t="s">
        <v>1643</v>
      </c>
      <c r="BO47" s="192">
        <v>1.1514678933397158</v>
      </c>
      <c r="BP47" s="67"/>
      <c r="BQ47" s="66" t="s">
        <v>1640</v>
      </c>
      <c r="BR47" s="192">
        <v>1</v>
      </c>
      <c r="BS47" s="67"/>
      <c r="BT47" s="66" t="s">
        <v>1643</v>
      </c>
      <c r="BU47" s="192">
        <v>2.9823431660337953</v>
      </c>
      <c r="BV47" s="67"/>
      <c r="BW47" s="66"/>
      <c r="BX47" s="192"/>
      <c r="BY47" s="67"/>
      <c r="BZ47" s="66"/>
      <c r="CA47" s="192"/>
      <c r="CB47" s="67"/>
      <c r="CC47" s="66" t="s">
        <v>1640</v>
      </c>
      <c r="CD47" s="192">
        <v>1.1715623426763644</v>
      </c>
      <c r="CE47" s="67"/>
      <c r="CF47" s="66" t="s">
        <v>1643</v>
      </c>
      <c r="CG47" s="192">
        <v>0.94719753331710721</v>
      </c>
      <c r="CH47" s="67"/>
      <c r="CI47" s="66" t="s">
        <v>1643</v>
      </c>
      <c r="CJ47" s="192">
        <v>0.94719753331710721</v>
      </c>
      <c r="CL47" s="1289"/>
      <c r="CM47" s="1290"/>
      <c r="CN47" s="1290"/>
      <c r="CO47" s="143"/>
      <c r="CP47" s="143"/>
      <c r="CQ47" s="143"/>
      <c r="CR47" s="143"/>
      <c r="CS47" s="143"/>
      <c r="CT47" s="143"/>
      <c r="CU47" s="143"/>
      <c r="CV47" s="144"/>
      <c r="CX47" s="120">
        <v>11</v>
      </c>
      <c r="CY47" s="120">
        <v>1211</v>
      </c>
      <c r="CZ47" s="121" t="s">
        <v>408</v>
      </c>
      <c r="DA47" s="181">
        <f t="shared" si="2"/>
        <v>0.89579020013802624</v>
      </c>
      <c r="DC47" s="162">
        <v>9</v>
      </c>
      <c r="DD47" s="162">
        <v>1309</v>
      </c>
      <c r="DE47" s="163" t="s">
        <v>703</v>
      </c>
      <c r="DF47" s="169">
        <v>0.74447895100069006</v>
      </c>
      <c r="DG47" s="161"/>
      <c r="DH47" s="162">
        <v>19</v>
      </c>
      <c r="DI47" s="162">
        <v>1377</v>
      </c>
      <c r="DJ47" s="163" t="s">
        <v>713</v>
      </c>
      <c r="DK47" s="169">
        <v>0.84178743961352653</v>
      </c>
      <c r="DW47" s="221">
        <v>43</v>
      </c>
      <c r="DX47" s="222">
        <v>70</v>
      </c>
      <c r="DY47" s="220">
        <v>81</v>
      </c>
      <c r="DZ47" s="220">
        <v>86</v>
      </c>
      <c r="EA47" s="220">
        <v>87</v>
      </c>
      <c r="EB47" s="220">
        <v>96</v>
      </c>
      <c r="EC47" s="220">
        <v>96</v>
      </c>
    </row>
    <row r="48" spans="2:144" ht="11.1" customHeight="1">
      <c r="B48"/>
      <c r="C48"/>
      <c r="D48"/>
      <c r="E48" s="3" t="s">
        <v>1272</v>
      </c>
      <c r="K48" s="2"/>
      <c r="AX48" s="50" t="s">
        <v>1413</v>
      </c>
      <c r="AY48" s="56">
        <v>50</v>
      </c>
      <c r="BM48" s="76">
        <v>7</v>
      </c>
      <c r="BN48" s="66" t="s">
        <v>1640</v>
      </c>
      <c r="BO48" s="192">
        <v>0.93027848963465465</v>
      </c>
      <c r="BP48" s="67"/>
      <c r="BQ48" s="66" t="s">
        <v>1641</v>
      </c>
      <c r="BR48" s="192">
        <v>0.85356106420726996</v>
      </c>
      <c r="BS48" s="67"/>
      <c r="BT48" s="66" t="s">
        <v>1640</v>
      </c>
      <c r="BU48" s="192">
        <v>2.6994740360572997</v>
      </c>
      <c r="BV48" s="67"/>
      <c r="BW48" s="66"/>
      <c r="BX48" s="192"/>
      <c r="BY48" s="67"/>
      <c r="BZ48" s="66"/>
      <c r="CA48" s="192"/>
      <c r="CB48" s="67"/>
      <c r="CC48" s="66" t="s">
        <v>1641</v>
      </c>
      <c r="CD48" s="192">
        <v>1</v>
      </c>
      <c r="CE48" s="67"/>
      <c r="CF48" s="66" t="s">
        <v>1640</v>
      </c>
      <c r="CG48" s="192">
        <v>0.75430997869545968</v>
      </c>
      <c r="CH48" s="67"/>
      <c r="CI48" s="66" t="s">
        <v>1640</v>
      </c>
      <c r="CJ48" s="192">
        <v>0.75430997869545968</v>
      </c>
      <c r="CL48" s="1289"/>
      <c r="CM48" s="1290"/>
      <c r="CN48" s="1290"/>
      <c r="CO48" s="145"/>
      <c r="CP48" s="145"/>
      <c r="CQ48" s="145"/>
      <c r="CR48" s="145"/>
      <c r="CS48" s="145"/>
      <c r="CT48" s="145"/>
      <c r="CU48" s="145"/>
      <c r="CV48" s="146"/>
      <c r="CX48" s="120">
        <v>12</v>
      </c>
      <c r="CY48" s="120">
        <v>1212</v>
      </c>
      <c r="CZ48" s="121" t="s">
        <v>430</v>
      </c>
      <c r="DA48" s="181">
        <f t="shared" si="2"/>
        <v>0.86188750862663899</v>
      </c>
      <c r="DC48" s="161"/>
      <c r="DD48" s="161"/>
      <c r="DE48" s="161"/>
      <c r="DF48" s="170"/>
      <c r="DG48" s="161"/>
      <c r="DH48" s="161"/>
      <c r="DI48" s="161"/>
      <c r="DJ48" s="161"/>
      <c r="DK48" s="170"/>
      <c r="DW48" s="221">
        <v>44</v>
      </c>
      <c r="DX48" s="222">
        <v>72</v>
      </c>
      <c r="DY48" s="220">
        <v>83</v>
      </c>
      <c r="DZ48" s="220">
        <v>88</v>
      </c>
      <c r="EA48" s="220">
        <v>89</v>
      </c>
      <c r="EB48" s="220">
        <v>98</v>
      </c>
      <c r="EC48" s="220">
        <v>98</v>
      </c>
    </row>
    <row r="49" spans="2:133" ht="11.1" customHeight="1">
      <c r="B49"/>
      <c r="C49"/>
      <c r="D49"/>
      <c r="E49" s="3" t="s">
        <v>1273</v>
      </c>
      <c r="K49" s="2"/>
      <c r="AX49" s="50" t="s">
        <v>1414</v>
      </c>
      <c r="AY49" s="56">
        <v>50</v>
      </c>
      <c r="BM49" s="76">
        <v>8</v>
      </c>
      <c r="BN49" s="66" t="s">
        <v>1641</v>
      </c>
      <c r="BO49" s="192">
        <v>0.80486022450904426</v>
      </c>
      <c r="BP49" s="67"/>
      <c r="BQ49" s="66" t="s">
        <v>1639</v>
      </c>
      <c r="BR49" s="192">
        <v>1.1085744930979775</v>
      </c>
      <c r="BS49" s="67"/>
      <c r="BT49" s="66" t="s">
        <v>1641</v>
      </c>
      <c r="BU49" s="192">
        <v>2.2693519042338677</v>
      </c>
      <c r="BV49" s="67"/>
      <c r="BW49" s="66"/>
      <c r="BX49" s="192"/>
      <c r="BY49" s="67"/>
      <c r="BZ49" s="66"/>
      <c r="CA49" s="192"/>
      <c r="CB49" s="67"/>
      <c r="CC49" s="66" t="s">
        <v>1639</v>
      </c>
      <c r="CD49" s="192">
        <v>1.2634797598744527</v>
      </c>
      <c r="CE49" s="67"/>
      <c r="CF49" s="66" t="s">
        <v>1641</v>
      </c>
      <c r="CG49" s="192">
        <v>0.64493935759090604</v>
      </c>
      <c r="CH49" s="67"/>
      <c r="CI49" s="66" t="s">
        <v>1641</v>
      </c>
      <c r="CJ49" s="192">
        <v>0.64493935759090604</v>
      </c>
      <c r="CL49" s="1289"/>
      <c r="CM49" s="1290"/>
      <c r="CN49" s="1290"/>
      <c r="CO49" s="108" t="s">
        <v>1284</v>
      </c>
      <c r="CP49" s="108" t="s">
        <v>1284</v>
      </c>
      <c r="CQ49" s="108" t="s">
        <v>1285</v>
      </c>
      <c r="CR49" s="108" t="s">
        <v>1285</v>
      </c>
      <c r="CS49" s="108" t="s">
        <v>1285</v>
      </c>
      <c r="CT49" s="108" t="s">
        <v>1286</v>
      </c>
      <c r="CU49" s="108" t="s">
        <v>1287</v>
      </c>
      <c r="CV49" s="109" t="s">
        <v>1288</v>
      </c>
      <c r="CX49" s="120">
        <v>13</v>
      </c>
      <c r="CY49" s="120">
        <v>1213</v>
      </c>
      <c r="CZ49" s="121" t="s">
        <v>450</v>
      </c>
      <c r="DA49" s="181">
        <f t="shared" si="2"/>
        <v>0.73861283643892339</v>
      </c>
      <c r="DC49" s="155" t="s">
        <v>1192</v>
      </c>
      <c r="DD49" s="156" t="s">
        <v>1535</v>
      </c>
      <c r="DE49" s="157" t="s">
        <v>1629</v>
      </c>
      <c r="DF49" s="167" t="s">
        <v>1537</v>
      </c>
      <c r="DG49" s="158"/>
      <c r="DH49" s="155" t="s">
        <v>1192</v>
      </c>
      <c r="DI49" s="156" t="s">
        <v>1535</v>
      </c>
      <c r="DJ49" s="157" t="s">
        <v>1629</v>
      </c>
      <c r="DK49" s="167" t="s">
        <v>1537</v>
      </c>
      <c r="DW49" s="221">
        <v>45</v>
      </c>
      <c r="DX49" s="222">
        <v>74</v>
      </c>
      <c r="DY49" s="220">
        <v>85</v>
      </c>
      <c r="DZ49" s="220">
        <v>90</v>
      </c>
      <c r="EA49" s="220">
        <v>91</v>
      </c>
      <c r="EB49" s="220" t="s">
        <v>3</v>
      </c>
      <c r="EC49" s="220" t="s">
        <v>3</v>
      </c>
    </row>
    <row r="50" spans="2:133" ht="11.1" customHeight="1">
      <c r="B50"/>
      <c r="C50"/>
      <c r="D50"/>
      <c r="E50" s="3" t="s">
        <v>1233</v>
      </c>
      <c r="K50" s="2"/>
      <c r="BM50" s="76">
        <v>9</v>
      </c>
      <c r="BN50" s="66" t="s">
        <v>1639</v>
      </c>
      <c r="BO50" s="192">
        <v>1</v>
      </c>
      <c r="BP50" s="67"/>
      <c r="BQ50" s="66" t="s">
        <v>1310</v>
      </c>
      <c r="BR50" s="192">
        <v>1.1243699376020859</v>
      </c>
      <c r="BS50" s="67"/>
      <c r="BT50" s="66" t="s">
        <v>1639</v>
      </c>
      <c r="BU50" s="192">
        <v>2.9916475486935865</v>
      </c>
      <c r="BV50" s="67"/>
      <c r="BW50" s="66"/>
      <c r="BX50" s="192"/>
      <c r="BY50" s="67"/>
      <c r="BZ50" s="66"/>
      <c r="CA50" s="192"/>
      <c r="CB50" s="67"/>
      <c r="CC50" s="66" t="s">
        <v>1310</v>
      </c>
      <c r="CD50" s="192">
        <v>1.3172694781319776</v>
      </c>
      <c r="CE50" s="67"/>
      <c r="CF50" s="66" t="s">
        <v>1639</v>
      </c>
      <c r="CG50" s="192">
        <v>0.78517517480266352</v>
      </c>
      <c r="CH50" s="67"/>
      <c r="CI50" s="66" t="s">
        <v>1639</v>
      </c>
      <c r="CJ50" s="192">
        <v>0.78517517480266352</v>
      </c>
      <c r="CL50" s="1291"/>
      <c r="CM50" s="1292"/>
      <c r="CN50" s="1292"/>
      <c r="CO50" s="110" t="s">
        <v>1522</v>
      </c>
      <c r="CP50" s="110" t="s">
        <v>1522</v>
      </c>
      <c r="CQ50" s="110" t="s">
        <v>1522</v>
      </c>
      <c r="CR50" s="110" t="s">
        <v>1522</v>
      </c>
      <c r="CS50" s="110" t="s">
        <v>1522</v>
      </c>
      <c r="CT50" s="110" t="s">
        <v>1522</v>
      </c>
      <c r="CU50" s="110" t="s">
        <v>1522</v>
      </c>
      <c r="CV50" s="111" t="s">
        <v>1522</v>
      </c>
      <c r="CX50" s="120">
        <v>14</v>
      </c>
      <c r="CY50" s="120">
        <v>1214</v>
      </c>
      <c r="CZ50" s="121" t="s">
        <v>469</v>
      </c>
      <c r="DA50" s="181">
        <f t="shared" si="2"/>
        <v>0.92210144927536231</v>
      </c>
      <c r="DC50" s="159" t="s">
        <v>10</v>
      </c>
      <c r="DD50" s="159">
        <v>1400</v>
      </c>
      <c r="DE50" s="160" t="s">
        <v>714</v>
      </c>
      <c r="DF50" s="168">
        <v>0.81720151828847487</v>
      </c>
      <c r="DG50" s="161"/>
      <c r="DH50" s="162">
        <v>7</v>
      </c>
      <c r="DI50" s="162">
        <v>1407</v>
      </c>
      <c r="DJ50" s="163" t="s">
        <v>721</v>
      </c>
      <c r="DK50" s="169">
        <v>0.74361628709454797</v>
      </c>
      <c r="DW50" s="221">
        <v>46</v>
      </c>
      <c r="DX50" s="222">
        <v>76</v>
      </c>
      <c r="DY50" s="220">
        <v>87</v>
      </c>
      <c r="DZ50" s="220">
        <v>92</v>
      </c>
      <c r="EA50" s="220">
        <v>93</v>
      </c>
      <c r="EB50" s="220" t="s">
        <v>3</v>
      </c>
      <c r="EC50" s="220" t="s">
        <v>3</v>
      </c>
    </row>
    <row r="51" spans="2:133" ht="11.1" customHeight="1">
      <c r="B51"/>
      <c r="C51"/>
      <c r="D51"/>
      <c r="E51" s="3" t="s">
        <v>1234</v>
      </c>
      <c r="K51" s="2"/>
      <c r="BM51" s="76">
        <v>10</v>
      </c>
      <c r="BN51" s="66" t="s">
        <v>1637</v>
      </c>
      <c r="BO51" s="192">
        <v>2.1664183973677735</v>
      </c>
      <c r="BP51" s="67"/>
      <c r="BQ51" s="66" t="s">
        <v>1530</v>
      </c>
      <c r="BR51" s="192"/>
      <c r="BS51" s="67"/>
      <c r="BT51" s="66" t="s">
        <v>1310</v>
      </c>
      <c r="BU51" s="192">
        <v>2.9955253813148173</v>
      </c>
      <c r="BV51" s="67"/>
      <c r="BW51" s="66"/>
      <c r="BX51" s="192"/>
      <c r="BY51" s="67"/>
      <c r="BZ51" s="66"/>
      <c r="CA51" s="192"/>
      <c r="CB51" s="67"/>
      <c r="CC51" s="66" t="s">
        <v>1530</v>
      </c>
      <c r="CD51" s="192"/>
      <c r="CE51" s="67"/>
      <c r="CF51" s="66" t="s">
        <v>1637</v>
      </c>
      <c r="CG51" s="192">
        <v>1.6148777840092858</v>
      </c>
      <c r="CH51" s="67"/>
      <c r="CI51" s="66" t="s">
        <v>1637</v>
      </c>
      <c r="CJ51" s="192">
        <v>1.6148777840092858</v>
      </c>
      <c r="CL51" s="98" t="s">
        <v>0</v>
      </c>
      <c r="CM51" s="99"/>
      <c r="CN51" s="100"/>
      <c r="CO51" s="101"/>
      <c r="CP51" s="101"/>
      <c r="CQ51" s="101"/>
      <c r="CR51" s="101"/>
      <c r="CS51" s="101"/>
      <c r="CT51" s="101"/>
      <c r="CU51" s="101"/>
      <c r="CV51" s="101"/>
      <c r="CX51" s="120">
        <v>15</v>
      </c>
      <c r="CY51" s="120">
        <v>1215</v>
      </c>
      <c r="CZ51" s="121" t="s">
        <v>485</v>
      </c>
      <c r="DA51" s="181">
        <f t="shared" si="2"/>
        <v>0.84756728778467905</v>
      </c>
      <c r="DC51" s="162">
        <v>1</v>
      </c>
      <c r="DD51" s="162">
        <v>1401</v>
      </c>
      <c r="DE51" s="163" t="s">
        <v>715</v>
      </c>
      <c r="DF51" s="169">
        <v>0.75</v>
      </c>
      <c r="DG51" s="161"/>
      <c r="DH51" s="162">
        <v>8</v>
      </c>
      <c r="DI51" s="162">
        <v>1408</v>
      </c>
      <c r="DJ51" s="163" t="s">
        <v>722</v>
      </c>
      <c r="DK51" s="169">
        <v>0.84403036576949619</v>
      </c>
      <c r="DW51" s="221">
        <v>47</v>
      </c>
      <c r="DX51" s="222">
        <v>78</v>
      </c>
      <c r="DY51" s="220">
        <v>89</v>
      </c>
      <c r="DZ51" s="220">
        <v>94</v>
      </c>
      <c r="EA51" s="220">
        <v>95</v>
      </c>
      <c r="EB51" s="220" t="s">
        <v>3</v>
      </c>
      <c r="EC51" s="220" t="s">
        <v>3</v>
      </c>
    </row>
    <row r="52" spans="2:133" ht="11.1" customHeight="1">
      <c r="B52"/>
      <c r="C52"/>
      <c r="D52"/>
      <c r="E52" s="3" t="s">
        <v>1274</v>
      </c>
      <c r="K52" s="2"/>
      <c r="BM52" s="76">
        <v>11</v>
      </c>
      <c r="BN52" s="66" t="s">
        <v>1310</v>
      </c>
      <c r="BO52" s="192">
        <v>1.1192201116993397</v>
      </c>
      <c r="BP52" s="67"/>
      <c r="BQ52" s="66"/>
      <c r="BR52" s="192"/>
      <c r="BS52" s="67"/>
      <c r="BT52" s="66" t="s">
        <v>1642</v>
      </c>
      <c r="BU52" s="192">
        <v>1</v>
      </c>
      <c r="BV52" s="67"/>
      <c r="BW52" s="66"/>
      <c r="BX52" s="192"/>
      <c r="BY52" s="67"/>
      <c r="BZ52" s="66"/>
      <c r="CA52" s="192"/>
      <c r="CB52" s="67"/>
      <c r="CC52" s="66"/>
      <c r="CD52" s="192"/>
      <c r="CE52" s="67"/>
      <c r="CF52" s="66" t="s">
        <v>1310</v>
      </c>
      <c r="CG52" s="192">
        <v>0.85892245658229172</v>
      </c>
      <c r="CH52" s="67"/>
      <c r="CI52" s="66" t="s">
        <v>1310</v>
      </c>
      <c r="CJ52" s="192">
        <v>0.85892245658229172</v>
      </c>
      <c r="CL52" s="102" t="s">
        <v>1291</v>
      </c>
      <c r="CM52" s="103"/>
      <c r="CN52" s="104"/>
      <c r="CO52" s="105">
        <v>697002</v>
      </c>
      <c r="CP52" s="105">
        <f t="shared" ref="CP52:CV52" si="3">CP17*$CT$41</f>
        <v>591308</v>
      </c>
      <c r="CQ52" s="105">
        <f t="shared" si="3"/>
        <v>295720</v>
      </c>
      <c r="CR52" s="105">
        <f t="shared" si="3"/>
        <v>109551</v>
      </c>
      <c r="CS52" s="105">
        <f t="shared" si="3"/>
        <v>319444</v>
      </c>
      <c r="CT52" s="105">
        <f t="shared" si="3"/>
        <v>445242</v>
      </c>
      <c r="CU52" s="105">
        <f t="shared" si="3"/>
        <v>787775</v>
      </c>
      <c r="CV52" s="105">
        <f t="shared" si="3"/>
        <v>895786</v>
      </c>
      <c r="CX52" s="120">
        <v>16</v>
      </c>
      <c r="CY52" s="120">
        <v>1216</v>
      </c>
      <c r="CZ52" s="121" t="s">
        <v>499</v>
      </c>
      <c r="DA52" s="181">
        <f t="shared" si="2"/>
        <v>0.84661835748792269</v>
      </c>
      <c r="DC52" s="162">
        <v>2</v>
      </c>
      <c r="DD52" s="162">
        <v>1402</v>
      </c>
      <c r="DE52" s="163" t="s">
        <v>716</v>
      </c>
      <c r="DF52" s="169">
        <v>0.79451345755693581</v>
      </c>
      <c r="DG52" s="161"/>
      <c r="DH52" s="162">
        <v>9</v>
      </c>
      <c r="DI52" s="162">
        <v>1409</v>
      </c>
      <c r="DJ52" s="163" t="s">
        <v>723</v>
      </c>
      <c r="DK52" s="169">
        <v>0.86067977915803995</v>
      </c>
      <c r="DW52" s="221">
        <v>48</v>
      </c>
      <c r="DX52" s="222">
        <v>80</v>
      </c>
      <c r="DY52" s="220">
        <v>91</v>
      </c>
      <c r="DZ52" s="220">
        <v>96</v>
      </c>
      <c r="EA52" s="220">
        <v>97</v>
      </c>
      <c r="EB52" s="220" t="s">
        <v>3</v>
      </c>
      <c r="EC52" s="220" t="s">
        <v>3</v>
      </c>
    </row>
    <row r="53" spans="2:133" ht="11.1" customHeight="1">
      <c r="D53"/>
      <c r="E53" s="3" t="s">
        <v>1237</v>
      </c>
      <c r="K53" s="2"/>
      <c r="BM53" s="76">
        <v>12</v>
      </c>
      <c r="BN53" s="66" t="s">
        <v>1530</v>
      </c>
      <c r="BO53" s="192"/>
      <c r="BP53" s="67"/>
      <c r="BQ53" s="66"/>
      <c r="BR53" s="192"/>
      <c r="BS53" s="67"/>
      <c r="BT53" s="66" t="s">
        <v>1530</v>
      </c>
      <c r="BU53" s="192"/>
      <c r="BV53" s="67"/>
      <c r="BW53" s="66"/>
      <c r="BX53" s="192"/>
      <c r="BY53" s="67"/>
      <c r="BZ53" s="66"/>
      <c r="CA53" s="192"/>
      <c r="CB53" s="67"/>
      <c r="CC53" s="66"/>
      <c r="CD53" s="192"/>
      <c r="CE53" s="67"/>
      <c r="CF53" s="66" t="s">
        <v>1530</v>
      </c>
      <c r="CG53" s="192"/>
      <c r="CH53" s="67"/>
      <c r="CI53" s="66" t="s">
        <v>1530</v>
      </c>
      <c r="CJ53" s="192"/>
      <c r="CL53" s="102" t="s">
        <v>1295</v>
      </c>
      <c r="CM53" s="103"/>
      <c r="CN53" s="104"/>
      <c r="CO53" s="105">
        <v>1422431.2286052466</v>
      </c>
      <c r="CP53" s="105">
        <f t="shared" ref="CP53:CV53" si="4">CP18*$CT$41</f>
        <v>1157544.620820554</v>
      </c>
      <c r="CQ53" s="105">
        <f t="shared" si="4"/>
        <v>568868.02798137057</v>
      </c>
      <c r="CR53" s="105">
        <f t="shared" si="4"/>
        <v>374874.6879987389</v>
      </c>
      <c r="CS53" s="105">
        <f t="shared" si="4"/>
        <v>999276.03752509609</v>
      </c>
      <c r="CT53" s="105">
        <f t="shared" si="4"/>
        <v>1119313.0632217855</v>
      </c>
      <c r="CU53" s="105">
        <f t="shared" si="4"/>
        <v>1342540.4105977085</v>
      </c>
      <c r="CV53" s="105">
        <f t="shared" si="4"/>
        <v>1915244.3421218994</v>
      </c>
      <c r="CX53" s="120">
        <v>17</v>
      </c>
      <c r="CY53" s="120">
        <v>1217</v>
      </c>
      <c r="CZ53" s="121" t="s">
        <v>511</v>
      </c>
      <c r="DA53" s="181">
        <f t="shared" ref="DA53:DA69" si="5">DK19</f>
        <v>0.92356797791580403</v>
      </c>
      <c r="DC53" s="162">
        <v>3</v>
      </c>
      <c r="DD53" s="162">
        <v>1403</v>
      </c>
      <c r="DE53" s="163" t="s">
        <v>717</v>
      </c>
      <c r="DF53" s="169">
        <v>0.84661835748792269</v>
      </c>
      <c r="DG53" s="161"/>
      <c r="DH53" s="162">
        <v>10</v>
      </c>
      <c r="DI53" s="162">
        <v>1410</v>
      </c>
      <c r="DJ53" s="163" t="s">
        <v>724</v>
      </c>
      <c r="DK53" s="169">
        <v>0.93081435472739826</v>
      </c>
      <c r="DW53" s="221">
        <v>49</v>
      </c>
      <c r="DX53" s="222">
        <v>82</v>
      </c>
      <c r="DY53" s="220">
        <v>93</v>
      </c>
      <c r="DZ53" s="220">
        <v>98</v>
      </c>
      <c r="EA53" s="220">
        <v>99</v>
      </c>
      <c r="EB53" s="220" t="s">
        <v>3</v>
      </c>
      <c r="EC53" s="220" t="s">
        <v>3</v>
      </c>
    </row>
    <row r="54" spans="2:133" ht="11.1" customHeight="1">
      <c r="D54"/>
      <c r="E54" s="3"/>
      <c r="K54" s="2"/>
      <c r="BM54" s="76">
        <v>13</v>
      </c>
      <c r="BN54" s="66"/>
      <c r="BO54" s="192"/>
      <c r="BP54" s="67"/>
      <c r="BQ54" s="66"/>
      <c r="BR54" s="192"/>
      <c r="BS54" s="67"/>
      <c r="BT54" s="66"/>
      <c r="BU54" s="192"/>
      <c r="BV54" s="67"/>
      <c r="BW54" s="66"/>
      <c r="BX54" s="192"/>
      <c r="BY54" s="67"/>
      <c r="BZ54" s="66"/>
      <c r="CA54" s="192"/>
      <c r="CB54" s="67"/>
      <c r="CC54" s="66"/>
      <c r="CD54" s="192"/>
      <c r="CE54" s="67"/>
      <c r="CF54" s="66"/>
      <c r="CG54" s="192"/>
      <c r="CH54" s="67"/>
      <c r="CI54" s="66"/>
      <c r="CJ54" s="192"/>
      <c r="CL54" s="102" t="s">
        <v>1296</v>
      </c>
      <c r="CM54" s="103"/>
      <c r="CN54" s="104"/>
      <c r="CO54" s="105">
        <v>200662.22327169744</v>
      </c>
      <c r="CP54" s="105">
        <f t="shared" ref="CP54:CV54" si="6">CP19*$CT$41</f>
        <v>128993.50785967731</v>
      </c>
      <c r="CQ54" s="105">
        <f t="shared" si="6"/>
        <v>191705.15234868601</v>
      </c>
      <c r="CR54" s="105">
        <f t="shared" si="6"/>
        <v>80639.029939200002</v>
      </c>
      <c r="CS54" s="105">
        <f t="shared" si="6"/>
        <v>335100.34681607812</v>
      </c>
      <c r="CT54" s="105">
        <f t="shared" si="6"/>
        <v>105145.09005079906</v>
      </c>
      <c r="CU54" s="105">
        <f t="shared" si="6"/>
        <v>61391.874175728357</v>
      </c>
      <c r="CV54" s="105">
        <f t="shared" si="6"/>
        <v>32830.37876616951</v>
      </c>
      <c r="CX54" s="120">
        <v>18</v>
      </c>
      <c r="CY54" s="120">
        <v>1218</v>
      </c>
      <c r="CZ54" s="121" t="s">
        <v>523</v>
      </c>
      <c r="DA54" s="181">
        <f t="shared" si="5"/>
        <v>0.86042097998619738</v>
      </c>
      <c r="DC54" s="162">
        <v>4</v>
      </c>
      <c r="DD54" s="162">
        <v>1404</v>
      </c>
      <c r="DE54" s="163" t="s">
        <v>718</v>
      </c>
      <c r="DF54" s="169">
        <v>0.82082470669427199</v>
      </c>
      <c r="DG54" s="161"/>
      <c r="DH54" s="162">
        <v>11</v>
      </c>
      <c r="DI54" s="162">
        <v>1471</v>
      </c>
      <c r="DJ54" s="163" t="s">
        <v>725</v>
      </c>
      <c r="DK54" s="169">
        <v>0.7495686680469289</v>
      </c>
      <c r="DW54" s="221">
        <v>50</v>
      </c>
      <c r="DX54" s="222">
        <v>84</v>
      </c>
      <c r="DY54" s="220">
        <v>95</v>
      </c>
      <c r="DZ54" s="220" t="s">
        <v>3</v>
      </c>
      <c r="EA54" s="220" t="s">
        <v>3</v>
      </c>
      <c r="EB54" s="220" t="s">
        <v>3</v>
      </c>
      <c r="EC54" s="220" t="s">
        <v>3</v>
      </c>
    </row>
    <row r="55" spans="2:133" ht="11.1" customHeight="1">
      <c r="D55"/>
      <c r="E55" s="3"/>
      <c r="K55" s="2"/>
      <c r="BM55" s="76">
        <v>14</v>
      </c>
      <c r="BN55" s="66"/>
      <c r="BO55" s="192"/>
      <c r="BP55" s="67"/>
      <c r="BQ55" s="66"/>
      <c r="BR55" s="192"/>
      <c r="BS55" s="67"/>
      <c r="BT55" s="66"/>
      <c r="BU55" s="192"/>
      <c r="BV55" s="67"/>
      <c r="BW55" s="66"/>
      <c r="BX55" s="192"/>
      <c r="BY55" s="67"/>
      <c r="BZ55" s="66"/>
      <c r="CA55" s="192"/>
      <c r="CB55" s="67"/>
      <c r="CC55" s="66"/>
      <c r="CD55" s="192"/>
      <c r="CE55" s="67"/>
      <c r="CF55" s="66"/>
      <c r="CG55" s="192"/>
      <c r="CH55" s="67"/>
      <c r="CI55" s="66"/>
      <c r="CJ55" s="192"/>
      <c r="CL55" s="102" t="s">
        <v>1298</v>
      </c>
      <c r="CM55" s="103"/>
      <c r="CN55" s="104"/>
      <c r="CO55" s="105">
        <v>256884.51108011158</v>
      </c>
      <c r="CP55" s="105">
        <f t="shared" ref="CP55:CV55" si="7">CP20*$CT$41</f>
        <v>149058.00095713802</v>
      </c>
      <c r="CQ55" s="105">
        <f t="shared" si="7"/>
        <v>144469.17678415836</v>
      </c>
      <c r="CR55" s="105">
        <f t="shared" si="7"/>
        <v>109613.73611950289</v>
      </c>
      <c r="CS55" s="105">
        <f t="shared" si="7"/>
        <v>92448.447483305747</v>
      </c>
      <c r="CT55" s="105">
        <f t="shared" si="7"/>
        <v>170011.93906692677</v>
      </c>
      <c r="CU55" s="105">
        <f t="shared" si="7"/>
        <v>76607.022595929477</v>
      </c>
      <c r="CV55" s="105">
        <f t="shared" si="7"/>
        <v>44076.876863384648</v>
      </c>
      <c r="CX55" s="120">
        <v>19</v>
      </c>
      <c r="CY55" s="120">
        <v>1219</v>
      </c>
      <c r="CZ55" s="121" t="s">
        <v>533</v>
      </c>
      <c r="DA55" s="181">
        <f t="shared" si="5"/>
        <v>0.88414423740510695</v>
      </c>
      <c r="DC55" s="162">
        <v>5</v>
      </c>
      <c r="DD55" s="162">
        <v>1405</v>
      </c>
      <c r="DE55" s="163" t="s">
        <v>719</v>
      </c>
      <c r="DF55" s="169">
        <v>0.85308833678398899</v>
      </c>
      <c r="DG55" s="161"/>
      <c r="DH55" s="162">
        <v>12</v>
      </c>
      <c r="DI55" s="162">
        <v>1473</v>
      </c>
      <c r="DJ55" s="163" t="s">
        <v>726</v>
      </c>
      <c r="DK55" s="169">
        <v>0.86913388543823322</v>
      </c>
    </row>
    <row r="56" spans="2:133" ht="11.1" customHeight="1">
      <c r="D56"/>
      <c r="E56" s="3"/>
      <c r="K56" s="2"/>
      <c r="BM56" s="76">
        <v>15</v>
      </c>
      <c r="BN56" s="66"/>
      <c r="BO56" s="192"/>
      <c r="BP56" s="67"/>
      <c r="BQ56" s="66"/>
      <c r="BR56" s="192"/>
      <c r="BS56" s="67"/>
      <c r="BT56" s="66"/>
      <c r="BU56" s="192"/>
      <c r="BV56" s="67"/>
      <c r="BW56" s="66"/>
      <c r="BX56" s="192"/>
      <c r="BY56" s="67"/>
      <c r="BZ56" s="66"/>
      <c r="CA56" s="192"/>
      <c r="CB56" s="67"/>
      <c r="CC56" s="66"/>
      <c r="CD56" s="192"/>
      <c r="CE56" s="67"/>
      <c r="CF56" s="66"/>
      <c r="CG56" s="192"/>
      <c r="CH56" s="67"/>
      <c r="CI56" s="66"/>
      <c r="CJ56" s="192"/>
      <c r="CL56" s="102" t="s">
        <v>1507</v>
      </c>
      <c r="CM56" s="103"/>
      <c r="CN56" s="104"/>
      <c r="CO56" s="105">
        <v>420636.91887952044</v>
      </c>
      <c r="CP56" s="105">
        <f t="shared" ref="CP56:CV56" si="8">CP21*$CT$41</f>
        <v>186371.94373167929</v>
      </c>
      <c r="CQ56" s="105">
        <f t="shared" si="8"/>
        <v>97400.548642233975</v>
      </c>
      <c r="CR56" s="105">
        <f t="shared" si="8"/>
        <v>58174.171600000001</v>
      </c>
      <c r="CS56" s="105">
        <f t="shared" si="8"/>
        <v>0</v>
      </c>
      <c r="CT56" s="105">
        <f t="shared" si="8"/>
        <v>138468.01453758727</v>
      </c>
      <c r="CU56" s="105">
        <f t="shared" si="8"/>
        <v>143634.6682284277</v>
      </c>
      <c r="CV56" s="105">
        <f t="shared" si="8"/>
        <v>133188.90665461202</v>
      </c>
      <c r="CX56" s="120">
        <v>20</v>
      </c>
      <c r="CY56" s="120">
        <v>1220</v>
      </c>
      <c r="CZ56" s="121" t="s">
        <v>543</v>
      </c>
      <c r="DA56" s="181">
        <f t="shared" si="5"/>
        <v>0.8814699792960663</v>
      </c>
      <c r="DC56" s="162">
        <v>6</v>
      </c>
      <c r="DD56" s="162">
        <v>1406</v>
      </c>
      <c r="DE56" s="163" t="s">
        <v>720</v>
      </c>
      <c r="DF56" s="169">
        <v>0.7661318150448585</v>
      </c>
      <c r="DG56" s="161"/>
      <c r="DH56" s="161"/>
      <c r="DI56" s="161"/>
      <c r="DJ56" s="161"/>
      <c r="DK56" s="170"/>
    </row>
    <row r="57" spans="2:133" ht="11.1" customHeight="1">
      <c r="D57"/>
      <c r="E57" s="3"/>
      <c r="K57" s="2"/>
      <c r="BM57" s="75" t="s">
        <v>1311</v>
      </c>
      <c r="BN57" s="65" t="s">
        <v>1442</v>
      </c>
      <c r="BO57" s="191"/>
      <c r="BP57" s="67"/>
      <c r="BQ57" s="65" t="s">
        <v>1443</v>
      </c>
      <c r="BR57" s="191"/>
      <c r="BS57" s="67"/>
      <c r="BT57" s="65" t="s">
        <v>1444</v>
      </c>
      <c r="BU57" s="191"/>
      <c r="BV57" s="67"/>
      <c r="BW57" s="65" t="s">
        <v>1445</v>
      </c>
      <c r="BX57" s="191"/>
      <c r="BY57" s="67"/>
      <c r="BZ57" s="65" t="s">
        <v>1474</v>
      </c>
      <c r="CA57" s="191"/>
      <c r="CB57" s="67"/>
      <c r="CC57" s="65" t="s">
        <v>1475</v>
      </c>
      <c r="CD57" s="191"/>
      <c r="CE57" s="67"/>
      <c r="CF57" s="65" t="s">
        <v>1476</v>
      </c>
      <c r="CG57" s="191"/>
      <c r="CH57" s="67"/>
      <c r="CI57" s="65" t="s">
        <v>1477</v>
      </c>
      <c r="CJ57" s="191"/>
      <c r="CL57" s="102" t="s">
        <v>1311</v>
      </c>
      <c r="CM57" s="103"/>
      <c r="CN57" s="104"/>
      <c r="CO57" s="105">
        <v>1178043.9611627902</v>
      </c>
      <c r="CP57" s="105">
        <f t="shared" ref="CP57:CV57" si="9">CP22*$CT$41</f>
        <v>624054.42437273031</v>
      </c>
      <c r="CQ57" s="105">
        <f t="shared" si="9"/>
        <v>399661.26190789428</v>
      </c>
      <c r="CR57" s="105">
        <f t="shared" si="9"/>
        <v>315035.31881954125</v>
      </c>
      <c r="CS57" s="105">
        <f t="shared" si="9"/>
        <v>297427.32536114001</v>
      </c>
      <c r="CT57" s="105">
        <f t="shared" si="9"/>
        <v>371957.71567262203</v>
      </c>
      <c r="CU57" s="105">
        <f t="shared" si="9"/>
        <v>617656.1728034917</v>
      </c>
      <c r="CV57" s="105">
        <f t="shared" si="9"/>
        <v>838165.06959714275</v>
      </c>
      <c r="CX57" s="120">
        <v>21</v>
      </c>
      <c r="CY57" s="120">
        <v>1221</v>
      </c>
      <c r="CZ57" s="121" t="s">
        <v>552</v>
      </c>
      <c r="DA57" s="181">
        <f t="shared" si="5"/>
        <v>0.92253278122843341</v>
      </c>
      <c r="DC57" s="161"/>
      <c r="DD57" s="161"/>
      <c r="DE57" s="161"/>
      <c r="DF57" s="170"/>
      <c r="DG57" s="161"/>
      <c r="DH57" s="161"/>
      <c r="DI57" s="161"/>
      <c r="DJ57" s="161"/>
      <c r="DK57" s="170"/>
      <c r="DW57" s="223"/>
    </row>
    <row r="58" spans="2:133" ht="11.1" customHeight="1">
      <c r="D58"/>
      <c r="E58" s="3"/>
      <c r="K58" s="2"/>
      <c r="BM58" s="76">
        <v>1</v>
      </c>
      <c r="BN58" s="207" t="s">
        <v>1670</v>
      </c>
      <c r="BO58" s="192">
        <v>1</v>
      </c>
      <c r="BP58" s="67"/>
      <c r="BQ58" s="207" t="s">
        <v>1670</v>
      </c>
      <c r="BR58" s="192">
        <v>1</v>
      </c>
      <c r="BS58" s="67"/>
      <c r="BT58" s="207" t="s">
        <v>1670</v>
      </c>
      <c r="BU58" s="192">
        <v>1</v>
      </c>
      <c r="BV58" s="67"/>
      <c r="BW58" s="207" t="s">
        <v>1670</v>
      </c>
      <c r="BX58" s="192">
        <v>1</v>
      </c>
      <c r="BY58" s="67"/>
      <c r="BZ58" s="207" t="s">
        <v>1670</v>
      </c>
      <c r="CA58" s="192">
        <v>1</v>
      </c>
      <c r="CB58" s="67"/>
      <c r="CC58" s="207" t="s">
        <v>1670</v>
      </c>
      <c r="CD58" s="192">
        <v>1</v>
      </c>
      <c r="CE58" s="67"/>
      <c r="CF58" s="207" t="s">
        <v>1670</v>
      </c>
      <c r="CG58" s="192">
        <v>1</v>
      </c>
      <c r="CH58" s="67"/>
      <c r="CI58" s="207" t="s">
        <v>1670</v>
      </c>
      <c r="CJ58" s="192">
        <v>1</v>
      </c>
      <c r="CL58" s="102" t="s">
        <v>1327</v>
      </c>
      <c r="CM58" s="103"/>
      <c r="CN58" s="104"/>
      <c r="CO58" s="105">
        <v>400233.13319242658</v>
      </c>
      <c r="CP58" s="105">
        <f t="shared" ref="CP58:CV58" si="10">CP23*$CT$41</f>
        <v>259668.68666025047</v>
      </c>
      <c r="CQ58" s="105">
        <f t="shared" si="10"/>
        <v>199841.01979466228</v>
      </c>
      <c r="CR58" s="105">
        <f t="shared" si="10"/>
        <v>78630.917990400005</v>
      </c>
      <c r="CS58" s="105">
        <f t="shared" si="10"/>
        <v>71605.490572625698</v>
      </c>
      <c r="CT58" s="105">
        <f t="shared" si="10"/>
        <v>115834.14599660241</v>
      </c>
      <c r="CU58" s="105">
        <f t="shared" si="10"/>
        <v>631002.65593155846</v>
      </c>
      <c r="CV58" s="105">
        <f t="shared" si="10"/>
        <v>749025.72865547577</v>
      </c>
      <c r="CX58" s="120">
        <v>23</v>
      </c>
      <c r="CY58" s="120">
        <v>1223</v>
      </c>
      <c r="CZ58" s="121" t="s">
        <v>561</v>
      </c>
      <c r="DA58" s="181">
        <f t="shared" si="5"/>
        <v>0.82703588681849549</v>
      </c>
      <c r="DC58" s="155" t="s">
        <v>1192</v>
      </c>
      <c r="DD58" s="156" t="s">
        <v>1535</v>
      </c>
      <c r="DE58" s="157" t="s">
        <v>1629</v>
      </c>
      <c r="DF58" s="167" t="s">
        <v>1537</v>
      </c>
      <c r="DG58" s="158"/>
      <c r="DH58" s="155" t="s">
        <v>1192</v>
      </c>
      <c r="DI58" s="156" t="s">
        <v>1535</v>
      </c>
      <c r="DJ58" s="157" t="s">
        <v>1629</v>
      </c>
      <c r="DK58" s="167" t="s">
        <v>1537</v>
      </c>
    </row>
    <row r="59" spans="2:133" ht="11.1" customHeight="1">
      <c r="D59"/>
      <c r="E59"/>
      <c r="F59"/>
      <c r="G59"/>
      <c r="K59" s="2"/>
      <c r="BM59" s="76">
        <v>2</v>
      </c>
      <c r="BN59" s="66" t="s">
        <v>1646</v>
      </c>
      <c r="BO59" s="192">
        <v>1</v>
      </c>
      <c r="BP59" s="67"/>
      <c r="BQ59" s="66" t="s">
        <v>1646</v>
      </c>
      <c r="BR59" s="192">
        <v>1.1954402359033642</v>
      </c>
      <c r="BS59" s="67"/>
      <c r="BT59" s="66" t="s">
        <v>1312</v>
      </c>
      <c r="BU59" s="192">
        <v>1</v>
      </c>
      <c r="BV59" s="67"/>
      <c r="BW59" s="66" t="s">
        <v>1312</v>
      </c>
      <c r="BX59" s="192">
        <v>0.75589030998429441</v>
      </c>
      <c r="BY59" s="67"/>
      <c r="BZ59" s="66" t="s">
        <v>1312</v>
      </c>
      <c r="CA59" s="192">
        <v>1</v>
      </c>
      <c r="CB59" s="67"/>
      <c r="CC59" s="66" t="s">
        <v>1652</v>
      </c>
      <c r="CD59" s="192">
        <v>3.3625030238613305</v>
      </c>
      <c r="CE59" s="67"/>
      <c r="CF59" s="66" t="s">
        <v>1652</v>
      </c>
      <c r="CG59" s="192">
        <v>3.0516065196527511</v>
      </c>
      <c r="CH59" s="67"/>
      <c r="CI59" s="66" t="s">
        <v>1652</v>
      </c>
      <c r="CJ59" s="192">
        <v>3.0516065196527511</v>
      </c>
      <c r="CL59" s="102" t="s">
        <v>1336</v>
      </c>
      <c r="CM59" s="103"/>
      <c r="CN59" s="104"/>
      <c r="CO59" s="105">
        <v>697281.65173357353</v>
      </c>
      <c r="CP59" s="105">
        <f t="shared" ref="CP59:CV59" si="11">CP24*$CT$41</f>
        <v>319856.93279896479</v>
      </c>
      <c r="CQ59" s="105">
        <f t="shared" si="11"/>
        <v>173232.33048297366</v>
      </c>
      <c r="CR59" s="105">
        <f t="shared" si="11"/>
        <v>25743.439999999995</v>
      </c>
      <c r="CS59" s="105">
        <f t="shared" si="11"/>
        <v>235061.84045075628</v>
      </c>
      <c r="CT59" s="105">
        <f t="shared" si="11"/>
        <v>238320.11307822983</v>
      </c>
      <c r="CU59" s="105">
        <f t="shared" si="11"/>
        <v>56987.027220856493</v>
      </c>
      <c r="CV59" s="105">
        <f t="shared" si="11"/>
        <v>47063.677569797903</v>
      </c>
      <c r="CX59" s="120">
        <v>22</v>
      </c>
      <c r="CY59" s="120">
        <v>1222</v>
      </c>
      <c r="CZ59" s="121" t="s">
        <v>570</v>
      </c>
      <c r="DA59" s="181">
        <f t="shared" si="5"/>
        <v>0.83109040717736371</v>
      </c>
      <c r="DC59" s="159" t="s">
        <v>11</v>
      </c>
      <c r="DD59" s="159">
        <v>1500</v>
      </c>
      <c r="DE59" s="160" t="s">
        <v>727</v>
      </c>
      <c r="DF59" s="168">
        <v>0.76250862663906138</v>
      </c>
      <c r="DG59" s="161"/>
      <c r="DH59" s="162">
        <v>6</v>
      </c>
      <c r="DI59" s="162">
        <v>1506</v>
      </c>
      <c r="DJ59" s="163" t="s">
        <v>733</v>
      </c>
      <c r="DK59" s="169">
        <v>0.81487232574189095</v>
      </c>
    </row>
    <row r="60" spans="2:133" ht="11.1" customHeight="1">
      <c r="D60"/>
      <c r="E60"/>
      <c r="F60"/>
      <c r="G60"/>
      <c r="K60" s="2"/>
      <c r="BM60" s="76">
        <v>3</v>
      </c>
      <c r="BN60" s="66" t="s">
        <v>1312</v>
      </c>
      <c r="BO60" s="192">
        <v>0.81811215966534601</v>
      </c>
      <c r="BP60" s="67"/>
      <c r="BQ60" s="66" t="s">
        <v>1312</v>
      </c>
      <c r="BR60" s="192">
        <v>0.92722406748534991</v>
      </c>
      <c r="BS60" s="67"/>
      <c r="BT60" s="66" t="s">
        <v>1314</v>
      </c>
      <c r="BU60" s="192">
        <v>1.0173536462206985</v>
      </c>
      <c r="BV60" s="67"/>
      <c r="BW60" s="66" t="s">
        <v>1314</v>
      </c>
      <c r="BX60" s="192">
        <v>0.76900776300541596</v>
      </c>
      <c r="BY60" s="67"/>
      <c r="BZ60" s="66" t="s">
        <v>1314</v>
      </c>
      <c r="CA60" s="192">
        <v>0.99116588130158101</v>
      </c>
      <c r="CB60" s="67"/>
      <c r="CC60" s="66" t="s">
        <v>1646</v>
      </c>
      <c r="CD60" s="192">
        <v>1.2892679103395384</v>
      </c>
      <c r="CE60" s="67"/>
      <c r="CF60" s="66" t="s">
        <v>1646</v>
      </c>
      <c r="CG60" s="192">
        <v>1</v>
      </c>
      <c r="CH60" s="67"/>
      <c r="CI60" s="66" t="s">
        <v>1646</v>
      </c>
      <c r="CJ60" s="192">
        <v>1</v>
      </c>
      <c r="CL60" s="102" t="s">
        <v>1508</v>
      </c>
      <c r="CM60" s="103"/>
      <c r="CN60" s="104"/>
      <c r="CO60" s="105">
        <v>329099.45224092581</v>
      </c>
      <c r="CP60" s="105">
        <f t="shared" ref="CP60:CV60" si="12">CP25*$CT$41</f>
        <v>188866.21985863819</v>
      </c>
      <c r="CQ60" s="105">
        <f>CQ25*$CT$41</f>
        <v>178377.69793318462</v>
      </c>
      <c r="CR60" s="105">
        <f t="shared" si="12"/>
        <v>79310.5</v>
      </c>
      <c r="CS60" s="105">
        <f t="shared" si="12"/>
        <v>4615.7035614525139</v>
      </c>
      <c r="CT60" s="105">
        <f t="shared" si="12"/>
        <v>145905.33659757124</v>
      </c>
      <c r="CU60" s="105">
        <f t="shared" si="12"/>
        <v>520095.03421167051</v>
      </c>
      <c r="CV60" s="105">
        <f t="shared" si="12"/>
        <v>628531.54929275054</v>
      </c>
      <c r="CX60" s="120">
        <v>24</v>
      </c>
      <c r="CY60" s="120">
        <v>1224</v>
      </c>
      <c r="CZ60" s="121" t="s">
        <v>577</v>
      </c>
      <c r="DA60" s="181">
        <f t="shared" si="5"/>
        <v>0.90355417529330562</v>
      </c>
      <c r="DC60" s="162">
        <v>1</v>
      </c>
      <c r="DD60" s="162">
        <v>1501</v>
      </c>
      <c r="DE60" s="163" t="s">
        <v>728</v>
      </c>
      <c r="DF60" s="169">
        <v>0.66261214630779852</v>
      </c>
      <c r="DG60" s="161"/>
      <c r="DH60" s="162">
        <v>7</v>
      </c>
      <c r="DI60" s="162">
        <v>1507</v>
      </c>
      <c r="DJ60" s="163" t="s">
        <v>734</v>
      </c>
      <c r="DK60" s="169">
        <v>0.80753968253968256</v>
      </c>
    </row>
    <row r="61" spans="2:133" ht="11.1" customHeight="1">
      <c r="D61"/>
      <c r="E61"/>
      <c r="F61"/>
      <c r="G61"/>
      <c r="K61" s="2"/>
      <c r="BM61" s="76">
        <v>4</v>
      </c>
      <c r="BN61" s="66" t="s">
        <v>1314</v>
      </c>
      <c r="BO61" s="192">
        <v>0.91767849081003616</v>
      </c>
      <c r="BP61" s="67"/>
      <c r="BQ61" s="66" t="s">
        <v>1314</v>
      </c>
      <c r="BR61" s="192">
        <v>1</v>
      </c>
      <c r="BS61" s="67"/>
      <c r="BT61" s="66" t="s">
        <v>1315</v>
      </c>
      <c r="BU61" s="192">
        <v>0.7839247592426537</v>
      </c>
      <c r="BV61" s="67"/>
      <c r="BW61" s="66" t="s">
        <v>1315</v>
      </c>
      <c r="BX61" s="192">
        <v>0.51928071283752664</v>
      </c>
      <c r="BY61" s="67"/>
      <c r="BZ61" s="66" t="s">
        <v>1315</v>
      </c>
      <c r="CA61" s="192">
        <v>0.92285723062621139</v>
      </c>
      <c r="CB61" s="67"/>
      <c r="CC61" s="66" t="s">
        <v>1312</v>
      </c>
      <c r="CD61" s="192">
        <v>1</v>
      </c>
      <c r="CE61" s="67"/>
      <c r="CF61" s="66" t="s">
        <v>1312</v>
      </c>
      <c r="CG61" s="192">
        <v>0.77563397954785251</v>
      </c>
      <c r="CH61" s="67"/>
      <c r="CI61" s="66" t="s">
        <v>1312</v>
      </c>
      <c r="CJ61" s="192">
        <v>0.77563397954785251</v>
      </c>
      <c r="CL61" s="1293" t="s">
        <v>1523</v>
      </c>
      <c r="CM61" s="1294"/>
      <c r="CN61" s="1295"/>
      <c r="CO61" s="106">
        <v>5602275.0801662924</v>
      </c>
      <c r="CP61" s="106">
        <f t="shared" ref="CP61:CV61" si="13">SUM(CP52:CP60)</f>
        <v>3605722.3370596324</v>
      </c>
      <c r="CQ61" s="106">
        <f t="shared" si="13"/>
        <v>2249275.2158751641</v>
      </c>
      <c r="CR61" s="106">
        <f t="shared" si="13"/>
        <v>1231572.802467383</v>
      </c>
      <c r="CS61" s="106">
        <f t="shared" si="13"/>
        <v>2354979.1917704544</v>
      </c>
      <c r="CT61" s="106">
        <f t="shared" si="13"/>
        <v>2850197.4182221238</v>
      </c>
      <c r="CU61" s="106">
        <f t="shared" si="13"/>
        <v>4237689.8657653714</v>
      </c>
      <c r="CV61" s="106">
        <f t="shared" si="13"/>
        <v>5283912.5295212325</v>
      </c>
      <c r="CX61" s="120">
        <v>25</v>
      </c>
      <c r="CY61" s="120">
        <v>1225</v>
      </c>
      <c r="CZ61" s="121" t="s">
        <v>584</v>
      </c>
      <c r="DA61" s="181">
        <f t="shared" si="5"/>
        <v>0.90873015873015872</v>
      </c>
      <c r="DC61" s="162">
        <v>2</v>
      </c>
      <c r="DD61" s="162">
        <v>1502</v>
      </c>
      <c r="DE61" s="163" t="s">
        <v>729</v>
      </c>
      <c r="DF61" s="169">
        <v>0.73628364389233947</v>
      </c>
      <c r="DG61" s="161"/>
      <c r="DH61" s="162">
        <v>8</v>
      </c>
      <c r="DI61" s="162">
        <v>1508</v>
      </c>
      <c r="DJ61" s="163" t="s">
        <v>735</v>
      </c>
      <c r="DK61" s="169">
        <v>0.77406832298136652</v>
      </c>
    </row>
    <row r="62" spans="2:133" ht="11.1" customHeight="1">
      <c r="D62"/>
      <c r="E62"/>
      <c r="F62"/>
      <c r="G62"/>
      <c r="K62" s="2"/>
      <c r="BM62" s="76">
        <v>5</v>
      </c>
      <c r="BN62" s="66" t="s">
        <v>1316</v>
      </c>
      <c r="BO62" s="192">
        <v>1.7102346467466927</v>
      </c>
      <c r="BP62" s="67"/>
      <c r="BQ62" s="66" t="s">
        <v>1316</v>
      </c>
      <c r="BR62" s="192">
        <v>1.9853728660749033</v>
      </c>
      <c r="BS62" s="67"/>
      <c r="BT62" s="66" t="s">
        <v>1319</v>
      </c>
      <c r="BU62" s="192">
        <v>0.79820223659735667</v>
      </c>
      <c r="BV62" s="67"/>
      <c r="BW62" s="66" t="s">
        <v>1319</v>
      </c>
      <c r="BX62" s="192">
        <v>0.60335333605173302</v>
      </c>
      <c r="BY62" s="67"/>
      <c r="BZ62" s="66" t="s">
        <v>1319</v>
      </c>
      <c r="CA62" s="192">
        <v>1.006289995831918</v>
      </c>
      <c r="CB62" s="67"/>
      <c r="CC62" s="66" t="s">
        <v>1314</v>
      </c>
      <c r="CD62" s="192">
        <v>0.99116588130158101</v>
      </c>
      <c r="CE62" s="67"/>
      <c r="CF62" s="66" t="s">
        <v>1314</v>
      </c>
      <c r="CG62" s="192">
        <v>0.83651191416049764</v>
      </c>
      <c r="CH62" s="67"/>
      <c r="CI62" s="66" t="s">
        <v>1314</v>
      </c>
      <c r="CJ62" s="192">
        <v>0.83651191416049764</v>
      </c>
      <c r="CL62" s="98" t="s">
        <v>4</v>
      </c>
      <c r="CM62" s="99"/>
      <c r="CN62" s="100"/>
      <c r="CO62" s="107"/>
      <c r="CP62" s="107"/>
      <c r="CQ62" s="107"/>
      <c r="CR62" s="107"/>
      <c r="CS62" s="107"/>
      <c r="CT62" s="107"/>
      <c r="CU62" s="107"/>
      <c r="CV62" s="107"/>
      <c r="CX62" s="120">
        <v>26</v>
      </c>
      <c r="CY62" s="120">
        <v>1271</v>
      </c>
      <c r="CZ62" s="121" t="s">
        <v>590</v>
      </c>
      <c r="DA62" s="181">
        <f t="shared" si="5"/>
        <v>0.86654589371980673</v>
      </c>
      <c r="DC62" s="162">
        <v>3</v>
      </c>
      <c r="DD62" s="162">
        <v>1503</v>
      </c>
      <c r="DE62" s="163" t="s">
        <v>730</v>
      </c>
      <c r="DF62" s="169">
        <v>0.75138026224982746</v>
      </c>
      <c r="DG62" s="161"/>
      <c r="DH62" s="162">
        <v>9</v>
      </c>
      <c r="DI62" s="162">
        <v>1509</v>
      </c>
      <c r="DJ62" s="163" t="s">
        <v>736</v>
      </c>
      <c r="DK62" s="169">
        <v>0.7142857142857143</v>
      </c>
    </row>
    <row r="63" spans="2:133" ht="11.1" customHeight="1">
      <c r="D63"/>
      <c r="E63"/>
      <c r="F63"/>
      <c r="G63"/>
      <c r="K63" s="2"/>
      <c r="BM63" s="76">
        <v>6</v>
      </c>
      <c r="BN63" s="66" t="s">
        <v>1320</v>
      </c>
      <c r="BO63" s="192">
        <v>1.6369629473524565</v>
      </c>
      <c r="BP63" s="67"/>
      <c r="BQ63" s="66" t="s">
        <v>1320</v>
      </c>
      <c r="BR63" s="192">
        <v>1.887184072182045</v>
      </c>
      <c r="BS63" s="67"/>
      <c r="BT63" s="66" t="s">
        <v>1324</v>
      </c>
      <c r="BU63" s="192">
        <v>1.6336785070594835</v>
      </c>
      <c r="BV63" s="67"/>
      <c r="BW63" s="66" t="s">
        <v>1313</v>
      </c>
      <c r="BX63" s="192">
        <v>1</v>
      </c>
      <c r="BY63" s="67"/>
      <c r="BZ63" s="66" t="s">
        <v>1313</v>
      </c>
      <c r="CA63" s="192">
        <v>1.2042261529851903</v>
      </c>
      <c r="CB63" s="67"/>
      <c r="CC63" s="66" t="s">
        <v>1316</v>
      </c>
      <c r="CD63" s="192">
        <v>2.0538786609075439</v>
      </c>
      <c r="CE63" s="67"/>
      <c r="CF63" s="66" t="s">
        <v>1316</v>
      </c>
      <c r="CG63" s="192">
        <v>1.6607880565226307</v>
      </c>
      <c r="CH63" s="67"/>
      <c r="CI63" s="66" t="s">
        <v>1316</v>
      </c>
      <c r="CJ63" s="192">
        <v>1.6607880565226307</v>
      </c>
      <c r="CL63" s="102" t="s">
        <v>1524</v>
      </c>
      <c r="CM63" s="103"/>
      <c r="CN63" s="104"/>
      <c r="CO63" s="86">
        <v>168068.25240498877</v>
      </c>
      <c r="CP63" s="86">
        <f t="shared" ref="CP63:CV63" si="14">CP61*0.03</f>
        <v>108171.67011178898</v>
      </c>
      <c r="CQ63" s="86">
        <f t="shared" si="14"/>
        <v>67478.256476254915</v>
      </c>
      <c r="CR63" s="86">
        <f t="shared" si="14"/>
        <v>36947.18407402149</v>
      </c>
      <c r="CS63" s="86">
        <f t="shared" si="14"/>
        <v>70649.375753113636</v>
      </c>
      <c r="CT63" s="86">
        <f t="shared" si="14"/>
        <v>85505.922546663714</v>
      </c>
      <c r="CU63" s="86">
        <f t="shared" si="14"/>
        <v>127130.69597296114</v>
      </c>
      <c r="CV63" s="86">
        <f t="shared" si="14"/>
        <v>158517.37588563698</v>
      </c>
      <c r="CX63" s="120">
        <v>27</v>
      </c>
      <c r="CY63" s="120">
        <v>1272</v>
      </c>
      <c r="CZ63" s="121" t="s">
        <v>596</v>
      </c>
      <c r="DA63" s="181">
        <f t="shared" si="5"/>
        <v>0.8649068322981367</v>
      </c>
      <c r="DC63" s="162">
        <v>4</v>
      </c>
      <c r="DD63" s="162">
        <v>1504</v>
      </c>
      <c r="DE63" s="163" t="s">
        <v>731</v>
      </c>
      <c r="DF63" s="169">
        <v>0.75155279503105588</v>
      </c>
      <c r="DG63" s="161"/>
      <c r="DH63" s="162">
        <v>10</v>
      </c>
      <c r="DI63" s="162">
        <v>1571</v>
      </c>
      <c r="DJ63" s="163" t="s">
        <v>737</v>
      </c>
      <c r="DK63" s="169">
        <v>0.74905106970324364</v>
      </c>
    </row>
    <row r="64" spans="2:133" ht="11.1" customHeight="1">
      <c r="D64"/>
      <c r="E64"/>
      <c r="F64"/>
      <c r="G64"/>
      <c r="K64" s="2"/>
      <c r="BM64" s="76">
        <v>7</v>
      </c>
      <c r="BN64" s="66" t="s">
        <v>1317</v>
      </c>
      <c r="BO64" s="192">
        <v>1.8030454659793922</v>
      </c>
      <c r="BP64" s="67"/>
      <c r="BQ64" s="66" t="s">
        <v>1317</v>
      </c>
      <c r="BR64" s="192">
        <v>2.1097453383391911</v>
      </c>
      <c r="BS64" s="67"/>
      <c r="BT64" s="66" t="s">
        <v>1325</v>
      </c>
      <c r="BU64" s="192">
        <v>2.0665591849475651</v>
      </c>
      <c r="BV64" s="67"/>
      <c r="BW64" s="66" t="s">
        <v>1530</v>
      </c>
      <c r="BX64" s="192"/>
      <c r="BY64" s="67"/>
      <c r="BZ64" s="66" t="s">
        <v>1324</v>
      </c>
      <c r="CA64" s="192">
        <v>1.5471036391562878</v>
      </c>
      <c r="CB64" s="67"/>
      <c r="CC64" s="66" t="s">
        <v>1320</v>
      </c>
      <c r="CD64" s="192">
        <v>1.9479832281464551</v>
      </c>
      <c r="CE64" s="67"/>
      <c r="CF64" s="66" t="s">
        <v>1320</v>
      </c>
      <c r="CG64" s="192">
        <v>1.5786519605942051</v>
      </c>
      <c r="CH64" s="67"/>
      <c r="CI64" s="66" t="s">
        <v>1320</v>
      </c>
      <c r="CJ64" s="192">
        <v>1.5786519605942051</v>
      </c>
      <c r="CL64" s="102" t="s">
        <v>1</v>
      </c>
      <c r="CM64" s="103"/>
      <c r="CN64" s="104"/>
      <c r="CO64" s="86">
        <v>84034.126202494386</v>
      </c>
      <c r="CP64" s="86">
        <f t="shared" ref="CP64:CV64" si="15">CP61*0.015</f>
        <v>54085.835055894488</v>
      </c>
      <c r="CQ64" s="86">
        <f t="shared" si="15"/>
        <v>33739.128238127458</v>
      </c>
      <c r="CR64" s="86">
        <f t="shared" si="15"/>
        <v>18473.592037010745</v>
      </c>
      <c r="CS64" s="86">
        <f t="shared" si="15"/>
        <v>35324.687876556818</v>
      </c>
      <c r="CT64" s="86">
        <f t="shared" si="15"/>
        <v>42752.961273331857</v>
      </c>
      <c r="CU64" s="86">
        <f t="shared" si="15"/>
        <v>63565.34798648057</v>
      </c>
      <c r="CV64" s="86">
        <f t="shared" si="15"/>
        <v>79258.687942818491</v>
      </c>
      <c r="CX64" s="120">
        <v>28</v>
      </c>
      <c r="CY64" s="120">
        <v>1273</v>
      </c>
      <c r="CZ64" s="121" t="s">
        <v>602</v>
      </c>
      <c r="DA64" s="181">
        <f t="shared" si="5"/>
        <v>0.92451690821256038</v>
      </c>
      <c r="DC64" s="162">
        <v>5</v>
      </c>
      <c r="DD64" s="162">
        <v>1505</v>
      </c>
      <c r="DE64" s="163" t="s">
        <v>732</v>
      </c>
      <c r="DF64" s="169">
        <v>0.73498964803312627</v>
      </c>
      <c r="DG64" s="161"/>
      <c r="DH64" s="162">
        <v>11</v>
      </c>
      <c r="DI64" s="162">
        <v>1572</v>
      </c>
      <c r="DJ64" s="163" t="s">
        <v>738</v>
      </c>
      <c r="DK64" s="169">
        <v>0.76035196687370599</v>
      </c>
    </row>
    <row r="65" spans="2:115" ht="11.1" customHeight="1">
      <c r="D65"/>
      <c r="E65"/>
      <c r="F65"/>
      <c r="G65"/>
      <c r="K65" s="2"/>
      <c r="BM65" s="76">
        <v>8</v>
      </c>
      <c r="BN65" s="66" t="s">
        <v>1650</v>
      </c>
      <c r="BO65" s="192">
        <v>4.8600813131485037</v>
      </c>
      <c r="BP65" s="67"/>
      <c r="BQ65" s="66" t="s">
        <v>1321</v>
      </c>
      <c r="BR65" s="192">
        <v>2.3127592091623268</v>
      </c>
      <c r="BS65" s="67"/>
      <c r="BT65" s="66" t="s">
        <v>1530</v>
      </c>
      <c r="BU65" s="192"/>
      <c r="BV65" s="67"/>
      <c r="BW65" s="66"/>
      <c r="BX65" s="192"/>
      <c r="BY65" s="67"/>
      <c r="BZ65" s="66" t="s">
        <v>1325</v>
      </c>
      <c r="CA65" s="192">
        <v>1.911125483632877</v>
      </c>
      <c r="CB65" s="67"/>
      <c r="CC65" s="66" t="s">
        <v>1317</v>
      </c>
      <c r="CD65" s="192">
        <v>2.1880128757382575</v>
      </c>
      <c r="CE65" s="67"/>
      <c r="CF65" s="66" t="s">
        <v>1317</v>
      </c>
      <c r="CG65" s="192">
        <v>1.7648271113653033</v>
      </c>
      <c r="CH65" s="67"/>
      <c r="CI65" s="66" t="s">
        <v>1317</v>
      </c>
      <c r="CJ65" s="192">
        <v>1.7648271113653033</v>
      </c>
      <c r="CL65" s="102" t="s">
        <v>2</v>
      </c>
      <c r="CM65" s="103"/>
      <c r="CN65" s="104"/>
      <c r="CO65" s="86">
        <v>560227.50801662926</v>
      </c>
      <c r="CP65" s="86">
        <f t="shared" ref="CP65:CU65" si="16">CP61*0.1</f>
        <v>360572.23370596324</v>
      </c>
      <c r="CQ65" s="86">
        <f t="shared" si="16"/>
        <v>224927.52158751641</v>
      </c>
      <c r="CR65" s="86">
        <f t="shared" si="16"/>
        <v>123157.2802467383</v>
      </c>
      <c r="CS65" s="86">
        <f t="shared" si="16"/>
        <v>235497.91917704546</v>
      </c>
      <c r="CT65" s="86">
        <f t="shared" si="16"/>
        <v>285019.74182221241</v>
      </c>
      <c r="CU65" s="86">
        <f t="shared" si="16"/>
        <v>423768.98657653714</v>
      </c>
      <c r="CV65" s="86">
        <f>CV61*0.1</f>
        <v>528391.25295212329</v>
      </c>
      <c r="CX65" s="120">
        <v>29</v>
      </c>
      <c r="CY65" s="120">
        <v>1274</v>
      </c>
      <c r="CZ65" s="121" t="s">
        <v>607</v>
      </c>
      <c r="DA65" s="181">
        <f t="shared" si="5"/>
        <v>0.88448930296756378</v>
      </c>
      <c r="DC65" s="161"/>
      <c r="DD65" s="161"/>
      <c r="DE65" s="161"/>
      <c r="DF65" s="170"/>
      <c r="DG65" s="161"/>
      <c r="DH65" s="161"/>
      <c r="DI65" s="161"/>
      <c r="DJ65" s="161"/>
      <c r="DK65" s="170"/>
    </row>
    <row r="66" spans="2:115" ht="11.1" customHeight="1">
      <c r="D66"/>
      <c r="E66"/>
      <c r="F66"/>
      <c r="G66"/>
      <c r="K66" s="2"/>
      <c r="BM66" s="76">
        <v>9</v>
      </c>
      <c r="BN66" s="66" t="s">
        <v>1649</v>
      </c>
      <c r="BO66" s="192">
        <v>2.8124703682586589</v>
      </c>
      <c r="BP66" s="67"/>
      <c r="BQ66" s="66" t="s">
        <v>1318</v>
      </c>
      <c r="BR66" s="192">
        <v>1.7314952362393885</v>
      </c>
      <c r="BS66" s="67"/>
      <c r="BT66" s="66"/>
      <c r="BU66" s="192"/>
      <c r="BV66" s="67"/>
      <c r="BW66" s="66"/>
      <c r="BX66" s="192"/>
      <c r="BY66" s="67"/>
      <c r="BZ66" s="66" t="s">
        <v>1530</v>
      </c>
      <c r="CA66" s="192"/>
      <c r="CB66" s="67"/>
      <c r="CC66" s="66" t="s">
        <v>1653</v>
      </c>
      <c r="CD66" s="192">
        <v>3.9511878528684776</v>
      </c>
      <c r="CE66" s="67"/>
      <c r="CF66" s="66" t="s">
        <v>1653</v>
      </c>
      <c r="CG66" s="192">
        <v>5.3794200798807852</v>
      </c>
      <c r="CH66" s="67"/>
      <c r="CI66" s="66" t="s">
        <v>1653</v>
      </c>
      <c r="CJ66" s="192">
        <v>5.3794200798807852</v>
      </c>
      <c r="CL66" s="1293" t="s">
        <v>1525</v>
      </c>
      <c r="CM66" s="1294"/>
      <c r="CN66" s="1295"/>
      <c r="CO66" s="87">
        <v>812329.88662411249</v>
      </c>
      <c r="CP66" s="87">
        <f t="shared" ref="CP66:CV66" si="17">SUM(CP63:CP65)</f>
        <v>522829.73887364671</v>
      </c>
      <c r="CQ66" s="87">
        <f t="shared" si="17"/>
        <v>326144.90630189877</v>
      </c>
      <c r="CR66" s="87">
        <f t="shared" si="17"/>
        <v>178578.05635777052</v>
      </c>
      <c r="CS66" s="87">
        <f t="shared" si="17"/>
        <v>341471.98280671588</v>
      </c>
      <c r="CT66" s="87">
        <f t="shared" si="17"/>
        <v>413278.62564220798</v>
      </c>
      <c r="CU66" s="87">
        <f t="shared" si="17"/>
        <v>614465.03053597885</v>
      </c>
      <c r="CV66" s="87">
        <f t="shared" si="17"/>
        <v>766167.31678057881</v>
      </c>
      <c r="CX66" s="120">
        <v>30</v>
      </c>
      <c r="CY66" s="120">
        <v>1275</v>
      </c>
      <c r="CZ66" s="121" t="s">
        <v>612</v>
      </c>
      <c r="DA66" s="181">
        <f t="shared" si="5"/>
        <v>0.89587646652864039</v>
      </c>
      <c r="DC66" s="155" t="s">
        <v>1192</v>
      </c>
      <c r="DD66" s="156" t="s">
        <v>1535</v>
      </c>
      <c r="DE66" s="157" t="s">
        <v>1629</v>
      </c>
      <c r="DF66" s="167" t="s">
        <v>1537</v>
      </c>
      <c r="DG66" s="158"/>
      <c r="DH66" s="155" t="s">
        <v>1192</v>
      </c>
      <c r="DI66" s="156" t="s">
        <v>1535</v>
      </c>
      <c r="DJ66" s="157" t="s">
        <v>1629</v>
      </c>
      <c r="DK66" s="167" t="s">
        <v>1537</v>
      </c>
    </row>
    <row r="67" spans="2:115" ht="11.1" customHeight="1">
      <c r="D67"/>
      <c r="E67"/>
      <c r="F67"/>
      <c r="G67"/>
      <c r="K67" s="2"/>
      <c r="BM67" s="76">
        <v>10</v>
      </c>
      <c r="BN67" s="66" t="s">
        <v>1321</v>
      </c>
      <c r="BO67" s="192">
        <v>1.880655960155031</v>
      </c>
      <c r="BP67" s="67"/>
      <c r="BQ67" s="66" t="s">
        <v>1322</v>
      </c>
      <c r="BR67" s="192">
        <v>1.6026777989314234</v>
      </c>
      <c r="BS67" s="67"/>
      <c r="BT67" s="66"/>
      <c r="BU67" s="192"/>
      <c r="BV67" s="67"/>
      <c r="BW67" s="66"/>
      <c r="BX67" s="192"/>
      <c r="BY67" s="67"/>
      <c r="BZ67" s="66"/>
      <c r="CA67" s="192"/>
      <c r="CB67" s="67"/>
      <c r="CC67" s="66" t="s">
        <v>1318</v>
      </c>
      <c r="CD67" s="192">
        <v>1.5739624208267418</v>
      </c>
      <c r="CE67" s="67"/>
      <c r="CF67" s="66" t="s">
        <v>1650</v>
      </c>
      <c r="CG67" s="192">
        <v>5.3782148800202121</v>
      </c>
      <c r="CH67" s="67"/>
      <c r="CI67" s="66" t="s">
        <v>1650</v>
      </c>
      <c r="CJ67" s="192">
        <v>5.3782148800202121</v>
      </c>
      <c r="CL67" s="1296" t="s">
        <v>1526</v>
      </c>
      <c r="CM67" s="1297"/>
      <c r="CN67" s="1297"/>
      <c r="CO67" s="88">
        <v>6414604.9667904051</v>
      </c>
      <c r="CP67" s="88">
        <f t="shared" ref="CP67:CV67" si="18">CP61+CP66</f>
        <v>4128552.075933279</v>
      </c>
      <c r="CQ67" s="88">
        <f t="shared" si="18"/>
        <v>2575420.122177063</v>
      </c>
      <c r="CR67" s="88">
        <f t="shared" si="18"/>
        <v>1410150.8588251534</v>
      </c>
      <c r="CS67" s="88">
        <f t="shared" si="18"/>
        <v>2696451.1745771701</v>
      </c>
      <c r="CT67" s="88">
        <f t="shared" si="18"/>
        <v>3263476.0438643317</v>
      </c>
      <c r="CU67" s="88">
        <f t="shared" si="18"/>
        <v>4852154.8963013506</v>
      </c>
      <c r="CV67" s="89">
        <f t="shared" si="18"/>
        <v>6050079.8463018108</v>
      </c>
      <c r="CX67" s="120">
        <v>31</v>
      </c>
      <c r="CY67" s="120">
        <v>1276</v>
      </c>
      <c r="CZ67" s="121" t="s">
        <v>616</v>
      </c>
      <c r="DA67" s="181">
        <f t="shared" si="5"/>
        <v>0.78347135955831604</v>
      </c>
      <c r="DC67" s="159" t="s">
        <v>12</v>
      </c>
      <c r="DD67" s="159">
        <v>1600</v>
      </c>
      <c r="DE67" s="160" t="s">
        <v>739</v>
      </c>
      <c r="DF67" s="168">
        <v>0.85093167701863348</v>
      </c>
      <c r="DG67" s="161"/>
      <c r="DH67" s="162">
        <v>9</v>
      </c>
      <c r="DI67" s="162">
        <v>1609</v>
      </c>
      <c r="DJ67" s="163" t="s">
        <v>748</v>
      </c>
      <c r="DK67" s="169">
        <v>0.83324706694271911</v>
      </c>
    </row>
    <row r="68" spans="2:115" ht="11.1" customHeight="1">
      <c r="D68"/>
      <c r="E68"/>
      <c r="F68"/>
      <c r="G68"/>
      <c r="K68" s="2"/>
      <c r="BM68" s="76">
        <v>11</v>
      </c>
      <c r="BN68" s="66" t="s">
        <v>1318</v>
      </c>
      <c r="BO68" s="192">
        <v>1.5683209091826722</v>
      </c>
      <c r="BP68" s="67"/>
      <c r="BQ68" s="66" t="s">
        <v>1323</v>
      </c>
      <c r="BR68" s="192">
        <v>1.3933434059500218</v>
      </c>
      <c r="BS68" s="67"/>
      <c r="BT68" s="66"/>
      <c r="BU68" s="192"/>
      <c r="BV68" s="67"/>
      <c r="BW68" s="66"/>
      <c r="BX68" s="192"/>
      <c r="BY68" s="67"/>
      <c r="BZ68" s="66"/>
      <c r="CA68" s="192"/>
      <c r="CB68" s="67"/>
      <c r="CC68" s="66" t="s">
        <v>1324</v>
      </c>
      <c r="CD68" s="192">
        <v>1.5471036391562878</v>
      </c>
      <c r="CE68" s="67"/>
      <c r="CF68" s="66" t="s">
        <v>1649</v>
      </c>
      <c r="CG68" s="192">
        <v>3.0828843447112955</v>
      </c>
      <c r="CH68" s="67"/>
      <c r="CI68" s="66" t="s">
        <v>1649</v>
      </c>
      <c r="CJ68" s="192">
        <v>3.0828843447112955</v>
      </c>
      <c r="CL68" s="98" t="s">
        <v>1527</v>
      </c>
      <c r="CM68" s="99"/>
      <c r="CN68" s="100"/>
      <c r="CO68" s="90">
        <v>641460.4966790406</v>
      </c>
      <c r="CP68" s="90">
        <f t="shared" ref="CP68:CV68" si="19">CP67*0.1</f>
        <v>412855.20759332791</v>
      </c>
      <c r="CQ68" s="90">
        <f t="shared" si="19"/>
        <v>257542.0122177063</v>
      </c>
      <c r="CR68" s="90">
        <f t="shared" si="19"/>
        <v>141015.08588251536</v>
      </c>
      <c r="CS68" s="90">
        <f t="shared" si="19"/>
        <v>269645.11745771702</v>
      </c>
      <c r="CT68" s="90">
        <f t="shared" si="19"/>
        <v>326347.6043864332</v>
      </c>
      <c r="CU68" s="90">
        <f t="shared" si="19"/>
        <v>485215.48963013507</v>
      </c>
      <c r="CV68" s="90">
        <f t="shared" si="19"/>
        <v>605007.9846301811</v>
      </c>
      <c r="CX68" s="120">
        <v>32</v>
      </c>
      <c r="CY68" s="120">
        <v>1277</v>
      </c>
      <c r="CZ68" s="121" t="s">
        <v>620</v>
      </c>
      <c r="DA68" s="181">
        <f t="shared" si="5"/>
        <v>0.87732919254658381</v>
      </c>
      <c r="DC68" s="162">
        <v>1</v>
      </c>
      <c r="DD68" s="162">
        <v>1601</v>
      </c>
      <c r="DE68" s="163" t="s">
        <v>740</v>
      </c>
      <c r="DF68" s="169">
        <v>0.81211180124223603</v>
      </c>
      <c r="DG68" s="161"/>
      <c r="DH68" s="162">
        <v>10</v>
      </c>
      <c r="DI68" s="162">
        <v>1610</v>
      </c>
      <c r="DJ68" s="163" t="s">
        <v>749</v>
      </c>
      <c r="DK68" s="169">
        <v>0.90545203588681844</v>
      </c>
    </row>
    <row r="69" spans="2:115" ht="11.1" customHeight="1">
      <c r="D69"/>
      <c r="E69"/>
      <c r="F69"/>
      <c r="G69"/>
      <c r="K69" s="2"/>
      <c r="BM69" s="76">
        <v>12</v>
      </c>
      <c r="BN69" s="66" t="s">
        <v>1648</v>
      </c>
      <c r="BO69" s="192">
        <v>3.9421867516461591</v>
      </c>
      <c r="BP69" s="67"/>
      <c r="BQ69" s="66" t="s">
        <v>1315</v>
      </c>
      <c r="BR69" s="192">
        <v>0.8556954350895013</v>
      </c>
      <c r="BS69" s="67"/>
      <c r="BT69" s="66"/>
      <c r="BU69" s="192"/>
      <c r="BV69" s="67"/>
      <c r="BW69" s="66"/>
      <c r="BX69" s="192"/>
      <c r="BY69" s="67"/>
      <c r="BZ69" s="66"/>
      <c r="CA69" s="192"/>
      <c r="CB69" s="67"/>
      <c r="CC69" s="66" t="s">
        <v>1325</v>
      </c>
      <c r="CD69" s="192">
        <v>1.911125483632877</v>
      </c>
      <c r="CE69" s="67"/>
      <c r="CF69" s="66" t="s">
        <v>1321</v>
      </c>
      <c r="CG69" s="192">
        <v>1.9346506330486968</v>
      </c>
      <c r="CH69" s="67"/>
      <c r="CI69" s="66" t="s">
        <v>1321</v>
      </c>
      <c r="CJ69" s="192">
        <v>1.9346506330486968</v>
      </c>
      <c r="CL69" s="98" t="s">
        <v>1528</v>
      </c>
      <c r="CM69" s="99"/>
      <c r="CN69" s="100"/>
      <c r="CO69" s="91">
        <v>7056065.4634694457</v>
      </c>
      <c r="CP69" s="91">
        <f t="shared" ref="CP69:CV69" si="20">CP67+CP68</f>
        <v>4541407.2835266069</v>
      </c>
      <c r="CQ69" s="91">
        <f t="shared" si="20"/>
        <v>2832962.1343947696</v>
      </c>
      <c r="CR69" s="91">
        <f t="shared" si="20"/>
        <v>1551165.9447076689</v>
      </c>
      <c r="CS69" s="91">
        <f t="shared" si="20"/>
        <v>2966096.2920348872</v>
      </c>
      <c r="CT69" s="91">
        <f t="shared" si="20"/>
        <v>3589823.6482507647</v>
      </c>
      <c r="CU69" s="91">
        <f t="shared" si="20"/>
        <v>5337370.3859314853</v>
      </c>
      <c r="CV69" s="91">
        <f t="shared" si="20"/>
        <v>6655087.8309319923</v>
      </c>
      <c r="CX69" s="120">
        <v>33</v>
      </c>
      <c r="CY69" s="120">
        <v>1278</v>
      </c>
      <c r="CZ69" s="121" t="s">
        <v>624</v>
      </c>
      <c r="DA69" s="181">
        <f t="shared" si="5"/>
        <v>0.86016218081435469</v>
      </c>
      <c r="DC69" s="162">
        <v>2</v>
      </c>
      <c r="DD69" s="162">
        <v>1602</v>
      </c>
      <c r="DE69" s="163" t="s">
        <v>741</v>
      </c>
      <c r="DF69" s="169">
        <v>0.80003450655624564</v>
      </c>
      <c r="DG69" s="161"/>
      <c r="DH69" s="162">
        <v>11</v>
      </c>
      <c r="DI69" s="162">
        <v>1611</v>
      </c>
      <c r="DJ69" s="163" t="s">
        <v>750</v>
      </c>
      <c r="DK69" s="169">
        <v>0.86965148378191859</v>
      </c>
    </row>
    <row r="70" spans="2:115" ht="11.1" customHeight="1">
      <c r="D70"/>
      <c r="E70"/>
      <c r="F70"/>
      <c r="G70"/>
      <c r="K70" s="2"/>
      <c r="BM70" s="76">
        <v>13</v>
      </c>
      <c r="BN70" s="66" t="s">
        <v>1326</v>
      </c>
      <c r="BO70" s="192">
        <v>2.694791578322461</v>
      </c>
      <c r="BP70" s="67"/>
      <c r="BQ70" s="66" t="s">
        <v>1319</v>
      </c>
      <c r="BR70" s="192">
        <v>0.85807576948690401</v>
      </c>
      <c r="BS70" s="67"/>
      <c r="BT70" s="66"/>
      <c r="BU70" s="192"/>
      <c r="BV70" s="67"/>
      <c r="BW70" s="66"/>
      <c r="BX70" s="192"/>
      <c r="BY70" s="67"/>
      <c r="BZ70" s="66"/>
      <c r="CA70" s="192"/>
      <c r="CB70" s="67"/>
      <c r="CC70" s="66" t="s">
        <v>1530</v>
      </c>
      <c r="CD70" s="192"/>
      <c r="CE70" s="67"/>
      <c r="CF70" s="66" t="s">
        <v>1318</v>
      </c>
      <c r="CG70" s="192">
        <v>1.4484163944263939</v>
      </c>
      <c r="CH70" s="67"/>
      <c r="CI70" s="66" t="s">
        <v>1318</v>
      </c>
      <c r="CJ70" s="192">
        <v>1.4484163944263939</v>
      </c>
      <c r="CL70" s="1298" t="s">
        <v>1529</v>
      </c>
      <c r="CM70" s="1299"/>
      <c r="CN70" s="1299"/>
      <c r="CO70" s="92">
        <v>7060000</v>
      </c>
      <c r="CP70" s="92">
        <f t="shared" ref="CP70:CV70" si="21">ROUND(CP69,-4)</f>
        <v>4540000</v>
      </c>
      <c r="CQ70" s="92">
        <f t="shared" si="21"/>
        <v>2830000</v>
      </c>
      <c r="CR70" s="92">
        <f t="shared" si="21"/>
        <v>1550000</v>
      </c>
      <c r="CS70" s="92">
        <f t="shared" si="21"/>
        <v>2970000</v>
      </c>
      <c r="CT70" s="92">
        <f t="shared" si="21"/>
        <v>3590000</v>
      </c>
      <c r="CU70" s="92">
        <f t="shared" si="21"/>
        <v>5340000</v>
      </c>
      <c r="CV70" s="93">
        <f t="shared" si="21"/>
        <v>6660000</v>
      </c>
      <c r="CX70" s="118" t="s">
        <v>9</v>
      </c>
      <c r="CY70" s="118">
        <v>1300</v>
      </c>
      <c r="CZ70" s="119" t="s">
        <v>52</v>
      </c>
      <c r="DA70" s="180">
        <f t="shared" ref="DA70:DA79" si="22">DF38</f>
        <v>0.82237750172532775</v>
      </c>
      <c r="DC70" s="162">
        <v>3</v>
      </c>
      <c r="DD70" s="162">
        <v>1603</v>
      </c>
      <c r="DE70" s="163" t="s">
        <v>742</v>
      </c>
      <c r="DF70" s="169">
        <v>0.81849551414768806</v>
      </c>
      <c r="DG70" s="161"/>
      <c r="DH70" s="162">
        <v>12</v>
      </c>
      <c r="DI70" s="162">
        <v>1612</v>
      </c>
      <c r="DJ70" s="163" t="s">
        <v>751</v>
      </c>
      <c r="DK70" s="169">
        <v>0.81513112491373352</v>
      </c>
    </row>
    <row r="71" spans="2:115" ht="11.1" customHeight="1">
      <c r="D71"/>
      <c r="E71"/>
      <c r="F71"/>
      <c r="G71"/>
      <c r="K71" s="2"/>
      <c r="BM71" s="76">
        <v>14</v>
      </c>
      <c r="BN71" s="66" t="s">
        <v>1322</v>
      </c>
      <c r="BO71" s="192">
        <v>1.4492448945496619</v>
      </c>
      <c r="BP71" s="67"/>
      <c r="BQ71" s="66" t="s">
        <v>1647</v>
      </c>
      <c r="BR71" s="192">
        <v>1.6801189896840316</v>
      </c>
      <c r="BS71" s="67"/>
      <c r="BT71" s="66"/>
      <c r="BU71" s="192"/>
      <c r="BV71" s="67"/>
      <c r="BW71" s="66"/>
      <c r="BX71" s="192"/>
      <c r="BY71" s="67"/>
      <c r="BZ71" s="66"/>
      <c r="CA71" s="192"/>
      <c r="CB71" s="67"/>
      <c r="CC71" s="66"/>
      <c r="CD71" s="192"/>
      <c r="CE71" s="67"/>
      <c r="CF71" s="66" t="s">
        <v>1648</v>
      </c>
      <c r="CG71" s="192">
        <v>4.3492736055713879</v>
      </c>
      <c r="CH71" s="67"/>
      <c r="CI71" s="66" t="s">
        <v>1648</v>
      </c>
      <c r="CJ71" s="192">
        <v>4.3492736055713879</v>
      </c>
      <c r="CX71" s="120">
        <v>1</v>
      </c>
      <c r="CY71" s="120">
        <v>1301</v>
      </c>
      <c r="CZ71" s="121" t="s">
        <v>94</v>
      </c>
      <c r="DA71" s="181">
        <f t="shared" si="22"/>
        <v>1.1920289855072463</v>
      </c>
      <c r="DC71" s="162">
        <v>4</v>
      </c>
      <c r="DD71" s="162">
        <v>1604</v>
      </c>
      <c r="DE71" s="163" t="s">
        <v>743</v>
      </c>
      <c r="DF71" s="169">
        <v>0.81487232574189095</v>
      </c>
      <c r="DG71" s="161"/>
      <c r="DH71" s="162">
        <v>13</v>
      </c>
      <c r="DI71" s="162">
        <v>1613</v>
      </c>
      <c r="DJ71" s="163" t="s">
        <v>752</v>
      </c>
      <c r="DK71" s="169">
        <v>0.89380607315389926</v>
      </c>
    </row>
    <row r="72" spans="2:115" ht="11.1" customHeight="1">
      <c r="D72"/>
      <c r="E72"/>
      <c r="F72"/>
      <c r="G72"/>
      <c r="K72" s="2"/>
      <c r="BM72" s="76">
        <v>15</v>
      </c>
      <c r="BN72" s="66" t="s">
        <v>1323</v>
      </c>
      <c r="BO72" s="192">
        <v>1.1978607424121632</v>
      </c>
      <c r="BP72" s="67"/>
      <c r="BQ72" s="66" t="s">
        <v>1324</v>
      </c>
      <c r="BR72" s="192">
        <v>1.4345117291198803</v>
      </c>
      <c r="BS72" s="67"/>
      <c r="BT72" s="66"/>
      <c r="BU72" s="192"/>
      <c r="BV72" s="67"/>
      <c r="BW72" s="66"/>
      <c r="BX72" s="192"/>
      <c r="BY72" s="67"/>
      <c r="BZ72" s="66"/>
      <c r="CA72" s="192"/>
      <c r="CB72" s="67"/>
      <c r="CC72" s="66"/>
      <c r="CD72" s="192"/>
      <c r="CE72" s="67"/>
      <c r="CF72" s="66" t="s">
        <v>1326</v>
      </c>
      <c r="CG72" s="192">
        <v>2.9509687967050358</v>
      </c>
      <c r="CH72" s="67"/>
      <c r="CI72" s="66" t="s">
        <v>1326</v>
      </c>
      <c r="CJ72" s="192">
        <v>2.9509687967050358</v>
      </c>
      <c r="CX72" s="120">
        <v>2</v>
      </c>
      <c r="CY72" s="120">
        <v>1302</v>
      </c>
      <c r="CZ72" s="121" t="s">
        <v>129</v>
      </c>
      <c r="DA72" s="181">
        <f t="shared" si="22"/>
        <v>0.787008281573499</v>
      </c>
      <c r="DC72" s="162">
        <v>5</v>
      </c>
      <c r="DD72" s="162">
        <v>1605</v>
      </c>
      <c r="DE72" s="163" t="s">
        <v>744</v>
      </c>
      <c r="DF72" s="169">
        <v>0.88302277432712217</v>
      </c>
      <c r="DG72" s="161"/>
      <c r="DH72" s="162">
        <v>14</v>
      </c>
      <c r="DI72" s="162">
        <v>1671</v>
      </c>
      <c r="DJ72" s="163" t="s">
        <v>753</v>
      </c>
      <c r="DK72" s="169">
        <v>0.84799861973775015</v>
      </c>
    </row>
    <row r="73" spans="2:115" ht="11.1" customHeight="1">
      <c r="D73"/>
      <c r="E73"/>
      <c r="F73"/>
      <c r="G73"/>
      <c r="K73" s="2"/>
      <c r="BM73" s="76">
        <v>16</v>
      </c>
      <c r="BN73" s="66" t="s">
        <v>1651</v>
      </c>
      <c r="BO73" s="192">
        <v>0.79573323103265958</v>
      </c>
      <c r="BP73" s="67"/>
      <c r="BQ73" s="66" t="s">
        <v>1325</v>
      </c>
      <c r="BR73" s="192">
        <v>1.7720415444089828</v>
      </c>
      <c r="BS73" s="67"/>
      <c r="BT73" s="66"/>
      <c r="BU73" s="192"/>
      <c r="BV73" s="67"/>
      <c r="BW73" s="66"/>
      <c r="BX73" s="192"/>
      <c r="BY73" s="67"/>
      <c r="BZ73" s="66"/>
      <c r="CA73" s="192"/>
      <c r="CB73" s="67"/>
      <c r="CC73" s="66"/>
      <c r="CD73" s="192"/>
      <c r="CE73" s="67"/>
      <c r="CF73" s="66" t="s">
        <v>1322</v>
      </c>
      <c r="CG73" s="192">
        <v>1.3406590733666581</v>
      </c>
      <c r="CH73" s="67"/>
      <c r="CI73" s="66" t="s">
        <v>1322</v>
      </c>
      <c r="CJ73" s="192">
        <v>1.3406590733666581</v>
      </c>
      <c r="CX73" s="120">
        <v>3</v>
      </c>
      <c r="CY73" s="120">
        <v>1303</v>
      </c>
      <c r="CZ73" s="121" t="s">
        <v>163</v>
      </c>
      <c r="DA73" s="181">
        <f t="shared" si="22"/>
        <v>0.82349896480331253</v>
      </c>
      <c r="DC73" s="162">
        <v>6</v>
      </c>
      <c r="DD73" s="162">
        <v>1606</v>
      </c>
      <c r="DE73" s="163" t="s">
        <v>745</v>
      </c>
      <c r="DF73" s="169">
        <v>0.84842995169082125</v>
      </c>
      <c r="DG73" s="161"/>
      <c r="DH73" s="162">
        <v>15</v>
      </c>
      <c r="DI73" s="162">
        <v>1672</v>
      </c>
      <c r="DJ73" s="163" t="s">
        <v>754</v>
      </c>
      <c r="DK73" s="169">
        <v>0.84428916494133888</v>
      </c>
    </row>
    <row r="74" spans="2:115" ht="11.1" customHeight="1">
      <c r="K74" s="2"/>
      <c r="BM74" s="76">
        <v>17</v>
      </c>
      <c r="BN74" s="66" t="s">
        <v>1647</v>
      </c>
      <c r="BO74" s="192">
        <v>1.4078627626150517</v>
      </c>
      <c r="BP74" s="67"/>
      <c r="BQ74" s="66" t="s">
        <v>1530</v>
      </c>
      <c r="BR74" s="192"/>
      <c r="BS74" s="67"/>
      <c r="BT74" s="66"/>
      <c r="BU74" s="192"/>
      <c r="BV74" s="67"/>
      <c r="BW74" s="66"/>
      <c r="BX74" s="192"/>
      <c r="BY74" s="67"/>
      <c r="BZ74" s="66"/>
      <c r="CA74" s="192"/>
      <c r="CB74" s="67"/>
      <c r="CC74" s="66"/>
      <c r="CD74" s="192"/>
      <c r="CE74" s="67"/>
      <c r="CF74" s="66" t="s">
        <v>1323</v>
      </c>
      <c r="CG74" s="192">
        <v>1.16554835959416</v>
      </c>
      <c r="CH74" s="67"/>
      <c r="CI74" s="66" t="s">
        <v>1323</v>
      </c>
      <c r="CJ74" s="192">
        <v>1.16554835959416</v>
      </c>
      <c r="CX74" s="120">
        <v>4</v>
      </c>
      <c r="CY74" s="120">
        <v>1304</v>
      </c>
      <c r="CZ74" s="121" t="s">
        <v>1630</v>
      </c>
      <c r="DA74" s="181">
        <f t="shared" si="22"/>
        <v>0.79537612146307801</v>
      </c>
      <c r="DC74" s="162">
        <v>7</v>
      </c>
      <c r="DD74" s="162">
        <v>1607</v>
      </c>
      <c r="DE74" s="163" t="s">
        <v>746</v>
      </c>
      <c r="DF74" s="169">
        <v>0.90338164251207731</v>
      </c>
      <c r="DG74" s="161"/>
      <c r="DH74" s="162">
        <v>16</v>
      </c>
      <c r="DI74" s="162">
        <v>1673</v>
      </c>
      <c r="DJ74" s="163" t="s">
        <v>755</v>
      </c>
      <c r="DK74" s="169">
        <v>0.86516563146997938</v>
      </c>
    </row>
    <row r="75" spans="2:115" ht="11.1" customHeight="1">
      <c r="B75"/>
      <c r="C75"/>
      <c r="D75"/>
      <c r="K75" s="2"/>
      <c r="BM75" s="76">
        <v>18</v>
      </c>
      <c r="BN75" s="66" t="s">
        <v>1324</v>
      </c>
      <c r="BO75" s="192">
        <v>1.1327807168738941</v>
      </c>
      <c r="BP75" s="67"/>
      <c r="BQ75" s="66"/>
      <c r="BR75" s="192"/>
      <c r="BS75" s="67"/>
      <c r="BT75" s="66"/>
      <c r="BU75" s="192"/>
      <c r="BV75" s="67"/>
      <c r="BW75" s="66"/>
      <c r="BX75" s="192"/>
      <c r="BY75" s="67"/>
      <c r="BZ75" s="66"/>
      <c r="CA75" s="192"/>
      <c r="CB75" s="67"/>
      <c r="CC75" s="66"/>
      <c r="CD75" s="192"/>
      <c r="CE75" s="67"/>
      <c r="CF75" s="66" t="s">
        <v>1651</v>
      </c>
      <c r="CG75" s="192">
        <v>0.74222888403859244</v>
      </c>
      <c r="CH75" s="67"/>
      <c r="CI75" s="66" t="s">
        <v>1651</v>
      </c>
      <c r="CJ75" s="192">
        <v>0.74222888403859244</v>
      </c>
      <c r="CL75" s="199"/>
      <c r="CX75" s="120">
        <v>5</v>
      </c>
      <c r="CY75" s="120">
        <v>1305</v>
      </c>
      <c r="CZ75" s="121" t="s">
        <v>232</v>
      </c>
      <c r="DA75" s="181">
        <f t="shared" si="22"/>
        <v>0.78200483091787443</v>
      </c>
      <c r="DC75" s="162">
        <v>8</v>
      </c>
      <c r="DD75" s="162">
        <v>1608</v>
      </c>
      <c r="DE75" s="163" t="s">
        <v>747</v>
      </c>
      <c r="DF75" s="169">
        <v>0.8218599033816425</v>
      </c>
      <c r="DG75" s="161"/>
      <c r="DH75" s="162">
        <v>17</v>
      </c>
      <c r="DI75" s="162">
        <v>1674</v>
      </c>
      <c r="DJ75" s="163" t="s">
        <v>756</v>
      </c>
      <c r="DK75" s="169">
        <v>0.90148378191856449</v>
      </c>
    </row>
    <row r="76" spans="2:115" ht="11.1" customHeight="1">
      <c r="B76"/>
      <c r="C76"/>
      <c r="D76"/>
      <c r="K76" s="2"/>
      <c r="BM76" s="76">
        <v>19</v>
      </c>
      <c r="BN76" s="66" t="s">
        <v>1325</v>
      </c>
      <c r="BO76" s="192">
        <v>1.3535060382932149</v>
      </c>
      <c r="BP76" s="67"/>
      <c r="BQ76" s="66"/>
      <c r="BR76" s="192"/>
      <c r="BS76" s="67"/>
      <c r="BT76" s="66"/>
      <c r="BU76" s="192"/>
      <c r="BV76" s="67"/>
      <c r="BW76" s="66"/>
      <c r="BX76" s="192"/>
      <c r="BY76" s="67"/>
      <c r="BZ76" s="66"/>
      <c r="CA76" s="192"/>
      <c r="CB76" s="67"/>
      <c r="CC76" s="66"/>
      <c r="CD76" s="192"/>
      <c r="CE76" s="67"/>
      <c r="CF76" s="66" t="s">
        <v>1647</v>
      </c>
      <c r="CG76" s="192">
        <v>1.4054395520779908</v>
      </c>
      <c r="CH76" s="67"/>
      <c r="CI76" s="66" t="s">
        <v>1647</v>
      </c>
      <c r="CJ76" s="192">
        <v>1.4054395520779908</v>
      </c>
      <c r="CN76" s="244" t="s">
        <v>1714</v>
      </c>
      <c r="CO76" s="256"/>
      <c r="CP76" s="256"/>
      <c r="CX76" s="120">
        <v>6</v>
      </c>
      <c r="CY76" s="120">
        <v>1306</v>
      </c>
      <c r="CZ76" s="121" t="s">
        <v>267</v>
      </c>
      <c r="DA76" s="181">
        <f t="shared" si="22"/>
        <v>0.80753968253968256</v>
      </c>
      <c r="DC76" s="161"/>
      <c r="DD76" s="161"/>
      <c r="DE76" s="161"/>
      <c r="DF76" s="170"/>
      <c r="DG76" s="161"/>
      <c r="DH76" s="161"/>
      <c r="DI76" s="161"/>
      <c r="DJ76" s="161"/>
      <c r="DK76" s="170"/>
    </row>
    <row r="77" spans="2:115" ht="11.1" customHeight="1">
      <c r="B77"/>
      <c r="C77"/>
      <c r="D77"/>
      <c r="K77" s="2"/>
      <c r="BM77" s="76">
        <v>20</v>
      </c>
      <c r="BN77" s="66" t="s">
        <v>1530</v>
      </c>
      <c r="BO77" s="192"/>
      <c r="BP77" s="67"/>
      <c r="BQ77" s="66"/>
      <c r="BR77" s="192"/>
      <c r="BS77" s="67"/>
      <c r="BT77" s="66"/>
      <c r="BU77" s="192"/>
      <c r="BV77" s="67"/>
      <c r="BW77" s="66"/>
      <c r="BX77" s="192"/>
      <c r="BY77" s="67"/>
      <c r="BZ77" s="66"/>
      <c r="CA77" s="192"/>
      <c r="CB77" s="67"/>
      <c r="CC77" s="66"/>
      <c r="CD77" s="192"/>
      <c r="CE77" s="67"/>
      <c r="CF77" s="66" t="s">
        <v>1530</v>
      </c>
      <c r="CG77" s="192"/>
      <c r="CH77" s="67"/>
      <c r="CI77" s="66" t="s">
        <v>1530</v>
      </c>
      <c r="CJ77" s="192"/>
      <c r="CN77" s="256"/>
      <c r="CO77" s="24" t="s">
        <v>1715</v>
      </c>
      <c r="CP77" s="256"/>
      <c r="CX77" s="120">
        <v>7</v>
      </c>
      <c r="CY77" s="120">
        <v>1307</v>
      </c>
      <c r="CZ77" s="121" t="s">
        <v>299</v>
      </c>
      <c r="DA77" s="181">
        <f t="shared" si="22"/>
        <v>0.82065217391304346</v>
      </c>
      <c r="DC77" s="155" t="s">
        <v>1192</v>
      </c>
      <c r="DD77" s="156" t="s">
        <v>1535</v>
      </c>
      <c r="DE77" s="157" t="s">
        <v>1629</v>
      </c>
      <c r="DF77" s="167" t="s">
        <v>1537</v>
      </c>
      <c r="DG77" s="158"/>
      <c r="DH77" s="155" t="s">
        <v>1192</v>
      </c>
      <c r="DI77" s="156" t="s">
        <v>1535</v>
      </c>
      <c r="DJ77" s="157" t="s">
        <v>1629</v>
      </c>
      <c r="DK77" s="167" t="s">
        <v>1537</v>
      </c>
    </row>
    <row r="78" spans="2:115" ht="11.1" customHeight="1">
      <c r="B78"/>
      <c r="C78"/>
      <c r="D78"/>
      <c r="K78" s="2"/>
      <c r="BM78" s="76">
        <v>21</v>
      </c>
      <c r="BN78" s="66"/>
      <c r="BO78" s="192"/>
      <c r="BP78" s="67"/>
      <c r="BQ78" s="66"/>
      <c r="BR78" s="192"/>
      <c r="BS78" s="67"/>
      <c r="BT78" s="66"/>
      <c r="BU78" s="192"/>
      <c r="BV78" s="67"/>
      <c r="BW78" s="66"/>
      <c r="BX78" s="192"/>
      <c r="BY78" s="67"/>
      <c r="BZ78" s="66"/>
      <c r="CA78" s="192"/>
      <c r="CB78" s="67"/>
      <c r="CC78" s="66"/>
      <c r="CD78" s="192"/>
      <c r="CE78" s="67"/>
      <c r="CF78" s="66"/>
      <c r="CG78" s="192"/>
      <c r="CH78" s="67"/>
      <c r="CI78" s="66"/>
      <c r="CJ78" s="192"/>
      <c r="CN78" s="252" t="s">
        <v>1507</v>
      </c>
      <c r="CO78" s="105">
        <f>CQ56</f>
        <v>97400.548642233975</v>
      </c>
      <c r="CP78" s="256"/>
      <c r="CX78" s="120">
        <v>8</v>
      </c>
      <c r="CY78" s="120">
        <v>1308</v>
      </c>
      <c r="CZ78" s="121" t="s">
        <v>329</v>
      </c>
      <c r="DA78" s="181">
        <f t="shared" si="22"/>
        <v>0.84420289855072461</v>
      </c>
      <c r="DC78" s="159" t="s">
        <v>13</v>
      </c>
      <c r="DD78" s="159">
        <v>1700</v>
      </c>
      <c r="DE78" s="160" t="s">
        <v>757</v>
      </c>
      <c r="DF78" s="168">
        <v>0.80460662525879911</v>
      </c>
      <c r="DG78" s="161"/>
      <c r="DH78" s="162">
        <v>6</v>
      </c>
      <c r="DI78" s="162">
        <v>1706</v>
      </c>
      <c r="DJ78" s="163" t="s">
        <v>763</v>
      </c>
      <c r="DK78" s="169">
        <v>0.88707729468599028</v>
      </c>
    </row>
    <row r="79" spans="2:115" ht="11.1" customHeight="1">
      <c r="B79"/>
      <c r="C79"/>
      <c r="D79"/>
      <c r="K79" s="2"/>
      <c r="BM79" s="76">
        <v>22</v>
      </c>
      <c r="BN79" s="66"/>
      <c r="BO79" s="192"/>
      <c r="BP79" s="67"/>
      <c r="BQ79" s="66"/>
      <c r="BR79" s="192"/>
      <c r="BS79" s="67"/>
      <c r="BT79" s="66"/>
      <c r="BU79" s="192"/>
      <c r="BV79" s="67"/>
      <c r="BW79" s="66"/>
      <c r="BX79" s="192"/>
      <c r="BY79" s="67"/>
      <c r="BZ79" s="66"/>
      <c r="CA79" s="192"/>
      <c r="CB79" s="67"/>
      <c r="CC79" s="66"/>
      <c r="CD79" s="192"/>
      <c r="CE79" s="67"/>
      <c r="CF79" s="66"/>
      <c r="CG79" s="192"/>
      <c r="CH79" s="67"/>
      <c r="CI79" s="66"/>
      <c r="CJ79" s="192"/>
      <c r="CN79" s="252" t="s">
        <v>1311</v>
      </c>
      <c r="CO79" s="105">
        <f>CQ57</f>
        <v>399661.26190789428</v>
      </c>
      <c r="CP79" s="256"/>
      <c r="CX79" s="120">
        <v>9</v>
      </c>
      <c r="CY79" s="120">
        <v>1309</v>
      </c>
      <c r="CZ79" s="121" t="s">
        <v>356</v>
      </c>
      <c r="DA79" s="181">
        <f t="shared" si="22"/>
        <v>0.74447895100069006</v>
      </c>
      <c r="DC79" s="162">
        <v>1</v>
      </c>
      <c r="DD79" s="162">
        <v>1701</v>
      </c>
      <c r="DE79" s="163" t="s">
        <v>758</v>
      </c>
      <c r="DF79" s="169">
        <v>0.77329192546583847</v>
      </c>
      <c r="DG79" s="161"/>
      <c r="DH79" s="162">
        <v>7</v>
      </c>
      <c r="DI79" s="162">
        <v>1707</v>
      </c>
      <c r="DJ79" s="163" t="s">
        <v>764</v>
      </c>
      <c r="DK79" s="169">
        <v>0.81875431331953064</v>
      </c>
    </row>
    <row r="80" spans="2:115" ht="11.1" customHeight="1">
      <c r="B80"/>
      <c r="C80"/>
      <c r="D80"/>
      <c r="K80" s="2"/>
      <c r="BM80" s="76">
        <v>23</v>
      </c>
      <c r="BN80" s="66"/>
      <c r="BO80" s="192"/>
      <c r="BP80" s="67"/>
      <c r="BQ80" s="66"/>
      <c r="BR80" s="192"/>
      <c r="BS80" s="67"/>
      <c r="BT80" s="66"/>
      <c r="BU80" s="192"/>
      <c r="BV80" s="67"/>
      <c r="BW80" s="66"/>
      <c r="BX80" s="192"/>
      <c r="BY80" s="67"/>
      <c r="BZ80" s="66"/>
      <c r="CA80" s="192"/>
      <c r="CB80" s="67"/>
      <c r="CC80" s="66"/>
      <c r="CD80" s="192"/>
      <c r="CE80" s="67"/>
      <c r="CF80" s="66"/>
      <c r="CG80" s="192"/>
      <c r="CH80" s="67"/>
      <c r="CI80" s="66"/>
      <c r="CJ80" s="192"/>
      <c r="CN80" s="252" t="s">
        <v>1327</v>
      </c>
      <c r="CO80" s="105">
        <f>CQ58</f>
        <v>199841.01979466228</v>
      </c>
      <c r="CP80" s="256"/>
      <c r="CX80" s="120">
        <v>10</v>
      </c>
      <c r="CY80" s="120">
        <v>1310</v>
      </c>
      <c r="CZ80" s="121" t="s">
        <v>383</v>
      </c>
      <c r="DA80" s="181">
        <f t="shared" ref="DA80:DA89" si="23">DK38</f>
        <v>0.81383712905452033</v>
      </c>
      <c r="DC80" s="162">
        <v>2</v>
      </c>
      <c r="DD80" s="162">
        <v>1702</v>
      </c>
      <c r="DE80" s="163" t="s">
        <v>759</v>
      </c>
      <c r="DF80" s="169">
        <v>0.81124913733609394</v>
      </c>
      <c r="DG80" s="161"/>
      <c r="DH80" s="162">
        <v>8</v>
      </c>
      <c r="DI80" s="162">
        <v>1708</v>
      </c>
      <c r="DJ80" s="163" t="s">
        <v>765</v>
      </c>
      <c r="DK80" s="169">
        <v>0.77760524499654937</v>
      </c>
    </row>
    <row r="81" spans="2:115" ht="11.1" customHeight="1">
      <c r="B81"/>
      <c r="C81"/>
      <c r="D81"/>
      <c r="K81" s="2"/>
      <c r="BM81" s="76">
        <v>24</v>
      </c>
      <c r="BN81" s="66"/>
      <c r="BO81" s="192"/>
      <c r="BP81" s="67"/>
      <c r="BQ81" s="66"/>
      <c r="BR81" s="192"/>
      <c r="BS81" s="67"/>
      <c r="BT81" s="66"/>
      <c r="BU81" s="192"/>
      <c r="BV81" s="67"/>
      <c r="BW81" s="66"/>
      <c r="BX81" s="192"/>
      <c r="BY81" s="67"/>
      <c r="BZ81" s="66"/>
      <c r="CA81" s="192"/>
      <c r="CB81" s="67"/>
      <c r="CC81" s="66"/>
      <c r="CD81" s="192"/>
      <c r="CE81" s="67"/>
      <c r="CF81" s="66"/>
      <c r="CG81" s="192"/>
      <c r="CH81" s="67"/>
      <c r="CI81" s="66"/>
      <c r="CJ81" s="192"/>
      <c r="CN81" s="252" t="s">
        <v>1336</v>
      </c>
      <c r="CO81" s="105">
        <f>CQ59</f>
        <v>173232.33048297366</v>
      </c>
      <c r="CP81" s="256"/>
      <c r="CX81" s="120">
        <v>11</v>
      </c>
      <c r="CY81" s="120">
        <v>1311</v>
      </c>
      <c r="CZ81" s="121" t="s">
        <v>409</v>
      </c>
      <c r="DA81" s="181">
        <f t="shared" si="23"/>
        <v>0.8040027605244997</v>
      </c>
      <c r="DC81" s="162">
        <v>3</v>
      </c>
      <c r="DD81" s="162">
        <v>1703</v>
      </c>
      <c r="DE81" s="163" t="s">
        <v>760</v>
      </c>
      <c r="DF81" s="169">
        <v>0.79382332643202203</v>
      </c>
      <c r="DG81" s="161"/>
      <c r="DH81" s="162">
        <v>9</v>
      </c>
      <c r="DI81" s="162">
        <v>1709</v>
      </c>
      <c r="DJ81" s="163" t="s">
        <v>766</v>
      </c>
      <c r="DK81" s="169">
        <v>0.7887336093857833</v>
      </c>
    </row>
    <row r="82" spans="2:115" ht="11.1" customHeight="1">
      <c r="B82"/>
      <c r="C82"/>
      <c r="D82"/>
      <c r="K82" s="2"/>
      <c r="BM82" s="76">
        <v>25</v>
      </c>
      <c r="BN82" s="66"/>
      <c r="BO82" s="192"/>
      <c r="BP82" s="67"/>
      <c r="BQ82" s="66"/>
      <c r="BR82" s="192"/>
      <c r="BS82" s="67"/>
      <c r="BT82" s="66"/>
      <c r="BU82" s="192"/>
      <c r="BV82" s="67"/>
      <c r="BW82" s="66"/>
      <c r="BX82" s="192"/>
      <c r="BY82" s="67"/>
      <c r="BZ82" s="66"/>
      <c r="CA82" s="192"/>
      <c r="CB82" s="67"/>
      <c r="CC82" s="66"/>
      <c r="CD82" s="192"/>
      <c r="CE82" s="67"/>
      <c r="CF82" s="66"/>
      <c r="CG82" s="192"/>
      <c r="CH82" s="67"/>
      <c r="CI82" s="66"/>
      <c r="CJ82" s="192"/>
      <c r="CN82" s="256"/>
      <c r="CO82" s="253" t="s">
        <v>1717</v>
      </c>
      <c r="CP82" s="253" t="s">
        <v>1716</v>
      </c>
      <c r="CX82" s="120">
        <v>12</v>
      </c>
      <c r="CY82" s="120">
        <v>1312</v>
      </c>
      <c r="CZ82" s="121" t="s">
        <v>431</v>
      </c>
      <c r="DA82" s="181">
        <f t="shared" si="23"/>
        <v>0.81694271911663219</v>
      </c>
      <c r="DC82" s="162">
        <v>4</v>
      </c>
      <c r="DD82" s="162">
        <v>1704</v>
      </c>
      <c r="DE82" s="163" t="s">
        <v>761</v>
      </c>
      <c r="DF82" s="169">
        <v>0.78105590062111807</v>
      </c>
      <c r="DG82" s="161"/>
      <c r="DH82" s="162">
        <v>10</v>
      </c>
      <c r="DI82" s="162">
        <v>1771</v>
      </c>
      <c r="DJ82" s="163" t="s">
        <v>767</v>
      </c>
      <c r="DK82" s="169">
        <v>0.82177363699102834</v>
      </c>
    </row>
    <row r="83" spans="2:115" ht="11.1" customHeight="1">
      <c r="B83"/>
      <c r="C83"/>
      <c r="D83"/>
      <c r="K83" s="2"/>
      <c r="BM83" s="75" t="s">
        <v>1327</v>
      </c>
      <c r="BN83" s="65" t="s">
        <v>1446</v>
      </c>
      <c r="BO83" s="191"/>
      <c r="BP83" s="67"/>
      <c r="BQ83" s="65" t="s">
        <v>1447</v>
      </c>
      <c r="BR83" s="191"/>
      <c r="BS83" s="67"/>
      <c r="BT83" s="65" t="s">
        <v>1448</v>
      </c>
      <c r="BU83" s="191"/>
      <c r="BV83" s="67"/>
      <c r="BW83" s="65" t="s">
        <v>1449</v>
      </c>
      <c r="BX83" s="191"/>
      <c r="BY83" s="67"/>
      <c r="BZ83" s="65" t="s">
        <v>1478</v>
      </c>
      <c r="CA83" s="191"/>
      <c r="CB83" s="67"/>
      <c r="CC83" s="65" t="s">
        <v>1479</v>
      </c>
      <c r="CD83" s="191"/>
      <c r="CE83" s="67"/>
      <c r="CF83" s="65" t="s">
        <v>1480</v>
      </c>
      <c r="CG83" s="191"/>
      <c r="CH83" s="67"/>
      <c r="CI83" s="65" t="s">
        <v>1481</v>
      </c>
      <c r="CJ83" s="191"/>
      <c r="CN83" s="256"/>
      <c r="CO83" s="257">
        <f>SUM(CO78:CO81)</f>
        <v>870135.16082776408</v>
      </c>
      <c r="CP83" s="257">
        <f>CO83*EK7</f>
        <v>948447.32530226291</v>
      </c>
      <c r="CX83" s="120">
        <v>13</v>
      </c>
      <c r="CY83" s="120">
        <v>1371</v>
      </c>
      <c r="CZ83" s="121" t="s">
        <v>451</v>
      </c>
      <c r="DA83" s="181">
        <f t="shared" si="23"/>
        <v>0.79994824016563149</v>
      </c>
      <c r="DC83" s="162">
        <v>5</v>
      </c>
      <c r="DD83" s="162">
        <v>1705</v>
      </c>
      <c r="DE83" s="163" t="s">
        <v>762</v>
      </c>
      <c r="DF83" s="169">
        <v>0.79891304347826086</v>
      </c>
      <c r="DG83" s="161"/>
      <c r="DH83" s="161"/>
      <c r="DI83" s="161"/>
      <c r="DJ83" s="161"/>
      <c r="DK83" s="170"/>
    </row>
    <row r="84" spans="2:115" ht="11.1" customHeight="1">
      <c r="B84"/>
      <c r="C84"/>
      <c r="D84"/>
      <c r="K84" s="2"/>
      <c r="BM84" s="76">
        <v>1</v>
      </c>
      <c r="BN84" s="207" t="s">
        <v>1670</v>
      </c>
      <c r="BO84" s="192">
        <v>1</v>
      </c>
      <c r="BP84" s="67"/>
      <c r="BQ84" s="207" t="s">
        <v>1670</v>
      </c>
      <c r="BR84" s="192">
        <v>1</v>
      </c>
      <c r="BS84" s="67"/>
      <c r="BT84" s="207" t="s">
        <v>1670</v>
      </c>
      <c r="BU84" s="192">
        <v>1</v>
      </c>
      <c r="BV84" s="67"/>
      <c r="BW84" s="207" t="s">
        <v>1670</v>
      </c>
      <c r="BX84" s="192">
        <v>1</v>
      </c>
      <c r="BY84" s="67"/>
      <c r="BZ84" s="207" t="s">
        <v>1670</v>
      </c>
      <c r="CA84" s="192">
        <v>1</v>
      </c>
      <c r="CB84" s="67"/>
      <c r="CC84" s="207" t="s">
        <v>1670</v>
      </c>
      <c r="CD84" s="192">
        <v>1</v>
      </c>
      <c r="CE84" s="67"/>
      <c r="CF84" s="207" t="s">
        <v>1670</v>
      </c>
      <c r="CG84" s="192">
        <v>1</v>
      </c>
      <c r="CH84" s="67"/>
      <c r="CI84" s="207" t="s">
        <v>1670</v>
      </c>
      <c r="CJ84" s="192">
        <v>1</v>
      </c>
      <c r="CN84" s="256"/>
      <c r="CO84" s="256"/>
      <c r="CP84" s="256"/>
      <c r="CX84" s="120">
        <v>14</v>
      </c>
      <c r="CY84" s="120">
        <v>1372</v>
      </c>
      <c r="CZ84" s="121" t="s">
        <v>470</v>
      </c>
      <c r="DA84" s="181">
        <f t="shared" si="23"/>
        <v>0.78735334713595584</v>
      </c>
      <c r="DC84" s="161"/>
      <c r="DD84" s="161"/>
      <c r="DE84" s="161"/>
      <c r="DF84" s="170"/>
      <c r="DG84" s="161"/>
      <c r="DH84" s="161"/>
      <c r="DI84" s="161"/>
      <c r="DJ84" s="161"/>
      <c r="DK84" s="170"/>
    </row>
    <row r="85" spans="2:115" ht="11.1" customHeight="1">
      <c r="B85"/>
      <c r="C85"/>
      <c r="D85"/>
      <c r="K85" s="2"/>
      <c r="BM85" s="76">
        <v>2</v>
      </c>
      <c r="BN85" s="66" t="s">
        <v>1335</v>
      </c>
      <c r="BO85" s="192">
        <v>0.7497102776242669</v>
      </c>
      <c r="BP85" s="67"/>
      <c r="BQ85" s="66" t="s">
        <v>1335</v>
      </c>
      <c r="BR85" s="192">
        <v>0.82850291751290184</v>
      </c>
      <c r="BS85" s="67"/>
      <c r="BT85" s="66" t="s">
        <v>1335</v>
      </c>
      <c r="BU85" s="192">
        <v>0.98355690426014519</v>
      </c>
      <c r="BV85" s="67"/>
      <c r="BW85" s="66" t="s">
        <v>1655</v>
      </c>
      <c r="BX85" s="192">
        <v>1</v>
      </c>
      <c r="BY85" s="67"/>
      <c r="BZ85" s="66" t="s">
        <v>1657</v>
      </c>
      <c r="CA85" s="192">
        <v>1</v>
      </c>
      <c r="CB85" s="67"/>
      <c r="CC85" s="66" t="s">
        <v>1656</v>
      </c>
      <c r="CD85" s="192">
        <v>1</v>
      </c>
      <c r="CE85" s="67"/>
      <c r="CF85" s="66" t="s">
        <v>1656</v>
      </c>
      <c r="CG85" s="192">
        <v>0.48395694934070649</v>
      </c>
      <c r="CH85" s="67"/>
      <c r="CI85" s="66" t="s">
        <v>1656</v>
      </c>
      <c r="CJ85" s="192">
        <v>0.48395694934070649</v>
      </c>
      <c r="CN85" s="256"/>
      <c r="CO85" s="256"/>
      <c r="CP85" s="256"/>
      <c r="CX85" s="120">
        <v>15</v>
      </c>
      <c r="CY85" s="120">
        <v>1373</v>
      </c>
      <c r="CZ85" s="121" t="s">
        <v>486</v>
      </c>
      <c r="DA85" s="181">
        <f t="shared" si="23"/>
        <v>0.8227225672877847</v>
      </c>
      <c r="DC85" s="155" t="s">
        <v>1192</v>
      </c>
      <c r="DD85" s="156" t="s">
        <v>1535</v>
      </c>
      <c r="DE85" s="157" t="s">
        <v>1629</v>
      </c>
      <c r="DF85" s="167" t="s">
        <v>1537</v>
      </c>
      <c r="DG85" s="158"/>
      <c r="DH85" s="155" t="s">
        <v>1192</v>
      </c>
      <c r="DI85" s="156" t="s">
        <v>1535</v>
      </c>
      <c r="DJ85" s="157" t="s">
        <v>1629</v>
      </c>
      <c r="DK85" s="167" t="s">
        <v>1537</v>
      </c>
    </row>
    <row r="86" spans="2:115" ht="11.1" customHeight="1">
      <c r="B86"/>
      <c r="C86"/>
      <c r="D86"/>
      <c r="K86" s="2"/>
      <c r="BM86" s="76">
        <v>3</v>
      </c>
      <c r="BN86" s="66" t="s">
        <v>1331</v>
      </c>
      <c r="BO86" s="192">
        <v>1</v>
      </c>
      <c r="BP86" s="67"/>
      <c r="BQ86" s="66" t="s">
        <v>1331</v>
      </c>
      <c r="BR86" s="192">
        <v>1.1050974519628014</v>
      </c>
      <c r="BS86" s="67"/>
      <c r="BT86" s="66" t="s">
        <v>1331</v>
      </c>
      <c r="BU86" s="192">
        <v>1.3119159942383443</v>
      </c>
      <c r="BV86" s="67"/>
      <c r="BW86" s="66" t="s">
        <v>1530</v>
      </c>
      <c r="BX86" s="192"/>
      <c r="BY86" s="67"/>
      <c r="BZ86" s="66" t="s">
        <v>1530</v>
      </c>
      <c r="CA86" s="192"/>
      <c r="CB86" s="67"/>
      <c r="CC86" s="66" t="s">
        <v>1335</v>
      </c>
      <c r="CD86" s="192">
        <v>1.5491259680134681</v>
      </c>
      <c r="CE86" s="67"/>
      <c r="CF86" s="66" t="s">
        <v>1335</v>
      </c>
      <c r="CG86" s="192">
        <v>0.7497102776242669</v>
      </c>
      <c r="CH86" s="67"/>
      <c r="CI86" s="66" t="s">
        <v>1335</v>
      </c>
      <c r="CJ86" s="192">
        <v>0.7497102776242669</v>
      </c>
      <c r="CN86" s="256"/>
      <c r="CO86" s="256"/>
      <c r="CP86" s="256"/>
      <c r="CX86" s="120">
        <v>16</v>
      </c>
      <c r="CY86" s="120">
        <v>1374</v>
      </c>
      <c r="CZ86" s="121" t="s">
        <v>500</v>
      </c>
      <c r="DA86" s="181">
        <f t="shared" si="23"/>
        <v>0.79330572808833677</v>
      </c>
      <c r="DC86" s="159" t="s">
        <v>14</v>
      </c>
      <c r="DD86" s="159">
        <v>1800</v>
      </c>
      <c r="DE86" s="160" t="s">
        <v>768</v>
      </c>
      <c r="DF86" s="168">
        <v>0.77717391304347827</v>
      </c>
      <c r="DG86" s="161"/>
      <c r="DH86" s="162">
        <v>8</v>
      </c>
      <c r="DI86" s="162">
        <v>1808</v>
      </c>
      <c r="DJ86" s="163" t="s">
        <v>776</v>
      </c>
      <c r="DK86" s="169">
        <v>0.800983436853002</v>
      </c>
    </row>
    <row r="87" spans="2:115" ht="11.1" customHeight="1">
      <c r="B87"/>
      <c r="C87"/>
      <c r="D87"/>
      <c r="K87" s="2"/>
      <c r="BM87" s="76">
        <v>4</v>
      </c>
      <c r="BN87" s="66" t="s">
        <v>1332</v>
      </c>
      <c r="BO87" s="192">
        <v>0.90489757100051749</v>
      </c>
      <c r="BP87" s="67"/>
      <c r="BQ87" s="66" t="s">
        <v>1332</v>
      </c>
      <c r="BR87" s="192">
        <v>1</v>
      </c>
      <c r="BS87" s="67"/>
      <c r="BT87" s="66" t="s">
        <v>1332</v>
      </c>
      <c r="BU87" s="192">
        <v>1.1871495965430066</v>
      </c>
      <c r="BV87" s="67"/>
      <c r="BW87" s="66"/>
      <c r="BX87" s="192"/>
      <c r="BY87" s="67"/>
      <c r="BZ87" s="66"/>
      <c r="CA87" s="192"/>
      <c r="CB87" s="67"/>
      <c r="CC87" s="66" t="s">
        <v>1331</v>
      </c>
      <c r="CD87" s="192">
        <v>2.0662994949494946</v>
      </c>
      <c r="CE87" s="67"/>
      <c r="CF87" s="66" t="s">
        <v>1331</v>
      </c>
      <c r="CG87" s="192">
        <v>1</v>
      </c>
      <c r="CH87" s="67"/>
      <c r="CI87" s="66" t="s">
        <v>1331</v>
      </c>
      <c r="CJ87" s="192">
        <v>1</v>
      </c>
      <c r="CN87" s="260" t="s">
        <v>1737</v>
      </c>
      <c r="CO87" s="254" t="s">
        <v>1715</v>
      </c>
      <c r="CQ87" s="262" t="s">
        <v>1748</v>
      </c>
      <c r="CX87" s="120">
        <v>17</v>
      </c>
      <c r="CY87" s="120">
        <v>1375</v>
      </c>
      <c r="CZ87" s="121" t="s">
        <v>512</v>
      </c>
      <c r="DA87" s="181">
        <f t="shared" si="23"/>
        <v>0.82427536231884058</v>
      </c>
      <c r="DC87" s="162">
        <v>1</v>
      </c>
      <c r="DD87" s="162">
        <v>1801</v>
      </c>
      <c r="DE87" s="163" t="s">
        <v>769</v>
      </c>
      <c r="DF87" s="169">
        <v>0.88759489302967565</v>
      </c>
      <c r="DG87" s="161"/>
      <c r="DH87" s="162">
        <v>9</v>
      </c>
      <c r="DI87" s="162">
        <v>1809</v>
      </c>
      <c r="DJ87" s="163" t="s">
        <v>777</v>
      </c>
      <c r="DK87" s="169">
        <v>0.75517598343685299</v>
      </c>
    </row>
    <row r="88" spans="2:115" ht="11.1" customHeight="1">
      <c r="B88"/>
      <c r="C88"/>
      <c r="D88"/>
      <c r="K88" s="2"/>
      <c r="BM88" s="76">
        <v>5</v>
      </c>
      <c r="BN88" s="66" t="s">
        <v>1333</v>
      </c>
      <c r="BO88" s="192">
        <v>0.76224392750129366</v>
      </c>
      <c r="BP88" s="67"/>
      <c r="BQ88" s="66" t="s">
        <v>1333</v>
      </c>
      <c r="BR88" s="192">
        <v>0.8423538220557979</v>
      </c>
      <c r="BS88" s="67"/>
      <c r="BT88" s="66" t="s">
        <v>1333</v>
      </c>
      <c r="BU88" s="192">
        <v>1</v>
      </c>
      <c r="BV88" s="67"/>
      <c r="BW88" s="66"/>
      <c r="BX88" s="192"/>
      <c r="BY88" s="67"/>
      <c r="BZ88" s="66"/>
      <c r="CA88" s="192"/>
      <c r="CB88" s="67"/>
      <c r="CC88" s="66" t="s">
        <v>1332</v>
      </c>
      <c r="CD88" s="192">
        <v>1.8697893939393937</v>
      </c>
      <c r="CE88" s="67"/>
      <c r="CF88" s="66" t="s">
        <v>1332</v>
      </c>
      <c r="CG88" s="192">
        <v>0.90489757100051749</v>
      </c>
      <c r="CH88" s="67"/>
      <c r="CI88" s="66" t="s">
        <v>1332</v>
      </c>
      <c r="CJ88" s="192">
        <v>0.90489757100051749</v>
      </c>
      <c r="CN88" s="261" t="s">
        <v>6</v>
      </c>
      <c r="CO88" s="255">
        <v>0</v>
      </c>
      <c r="CQ88" s="263" t="s">
        <v>6</v>
      </c>
      <c r="CX88" s="120">
        <v>18</v>
      </c>
      <c r="CY88" s="120">
        <v>1376</v>
      </c>
      <c r="CZ88" s="121" t="s">
        <v>524</v>
      </c>
      <c r="DA88" s="181">
        <f t="shared" si="23"/>
        <v>0.79830917874396135</v>
      </c>
      <c r="DC88" s="162">
        <v>2</v>
      </c>
      <c r="DD88" s="162">
        <v>1802</v>
      </c>
      <c r="DE88" s="163" t="s">
        <v>770</v>
      </c>
      <c r="DF88" s="169">
        <v>0.84083850931677018</v>
      </c>
      <c r="DG88" s="161"/>
      <c r="DH88" s="162">
        <v>10</v>
      </c>
      <c r="DI88" s="162">
        <v>1810</v>
      </c>
      <c r="DJ88" s="163" t="s">
        <v>778</v>
      </c>
      <c r="DK88" s="169">
        <v>0.73153899240855758</v>
      </c>
    </row>
    <row r="89" spans="2:115" ht="11.1" customHeight="1">
      <c r="B89"/>
      <c r="C89"/>
      <c r="D89"/>
      <c r="K89" s="2"/>
      <c r="BM89" s="76">
        <v>6</v>
      </c>
      <c r="BN89" s="66" t="s">
        <v>1328</v>
      </c>
      <c r="BO89" s="192">
        <v>1.0810259302898306</v>
      </c>
      <c r="BP89" s="67"/>
      <c r="BQ89" s="66" t="s">
        <v>1328</v>
      </c>
      <c r="BR89" s="192">
        <v>1.1946390010690089</v>
      </c>
      <c r="BS89" s="67"/>
      <c r="BT89" s="66" t="s">
        <v>1328</v>
      </c>
      <c r="BU89" s="192">
        <v>1.4182152081336141</v>
      </c>
      <c r="BV89" s="67"/>
      <c r="BW89" s="66"/>
      <c r="BX89" s="192"/>
      <c r="BY89" s="67"/>
      <c r="BZ89" s="66"/>
      <c r="CA89" s="192"/>
      <c r="CB89" s="67"/>
      <c r="CC89" s="66" t="s">
        <v>1333</v>
      </c>
      <c r="CD89" s="192">
        <v>1.5750242424242422</v>
      </c>
      <c r="CE89" s="67"/>
      <c r="CF89" s="66" t="s">
        <v>1333</v>
      </c>
      <c r="CG89" s="192">
        <v>0.76224392750129366</v>
      </c>
      <c r="CH89" s="67"/>
      <c r="CI89" s="66" t="s">
        <v>1333</v>
      </c>
      <c r="CJ89" s="192">
        <v>0.76224392750129366</v>
      </c>
      <c r="CN89" s="259" t="s">
        <v>1746</v>
      </c>
      <c r="CO89" s="255">
        <f>75000+850000</f>
        <v>925000</v>
      </c>
      <c r="CQ89" s="264" t="s">
        <v>1751</v>
      </c>
      <c r="CX89" s="120">
        <v>19</v>
      </c>
      <c r="CY89" s="120">
        <v>1377</v>
      </c>
      <c r="CZ89" s="121" t="s">
        <v>534</v>
      </c>
      <c r="DA89" s="181">
        <f t="shared" si="23"/>
        <v>0.84178743961352653</v>
      </c>
      <c r="DC89" s="162">
        <v>3</v>
      </c>
      <c r="DD89" s="162">
        <v>1803</v>
      </c>
      <c r="DE89" s="163" t="s">
        <v>771</v>
      </c>
      <c r="DF89" s="169">
        <v>0.72058316080055207</v>
      </c>
      <c r="DG89" s="161"/>
      <c r="DH89" s="162">
        <v>11</v>
      </c>
      <c r="DI89" s="162">
        <v>1811</v>
      </c>
      <c r="DJ89" s="163" t="s">
        <v>779</v>
      </c>
      <c r="DK89" s="169">
        <v>0.85766045548654246</v>
      </c>
    </row>
    <row r="90" spans="2:115" ht="11.1" customHeight="1">
      <c r="B90"/>
      <c r="C90"/>
      <c r="D90"/>
      <c r="K90" s="2"/>
      <c r="BM90" s="76">
        <v>7</v>
      </c>
      <c r="BN90" s="66" t="s">
        <v>1329</v>
      </c>
      <c r="BO90" s="192">
        <v>1.0852748930617275</v>
      </c>
      <c r="BP90" s="67"/>
      <c r="BQ90" s="66" t="s">
        <v>1329</v>
      </c>
      <c r="BR90" s="192">
        <v>1.1993345190017168</v>
      </c>
      <c r="BS90" s="67"/>
      <c r="BT90" s="66" t="s">
        <v>1329</v>
      </c>
      <c r="BU90" s="192">
        <v>1.4237894903529889</v>
      </c>
      <c r="BV90" s="67"/>
      <c r="BW90" s="66"/>
      <c r="BX90" s="192"/>
      <c r="BY90" s="67"/>
      <c r="BZ90" s="66"/>
      <c r="CA90" s="192"/>
      <c r="CB90" s="67"/>
      <c r="CC90" s="66" t="s">
        <v>1328</v>
      </c>
      <c r="CD90" s="192">
        <v>2.2337233337851847</v>
      </c>
      <c r="CE90" s="67"/>
      <c r="CF90" s="66" t="s">
        <v>1328</v>
      </c>
      <c r="CG90" s="192">
        <v>1.0810259302898306</v>
      </c>
      <c r="CH90" s="67"/>
      <c r="CI90" s="66" t="s">
        <v>1328</v>
      </c>
      <c r="CJ90" s="192">
        <v>1.0810259302898306</v>
      </c>
      <c r="CN90" s="259" t="s">
        <v>1741</v>
      </c>
      <c r="CO90" s="255">
        <f>CO89-100000</f>
        <v>825000</v>
      </c>
      <c r="CQ90" s="264" t="s">
        <v>1752</v>
      </c>
      <c r="CX90" s="118" t="s">
        <v>10</v>
      </c>
      <c r="CY90" s="118">
        <v>1400</v>
      </c>
      <c r="CZ90" s="119" t="s">
        <v>46</v>
      </c>
      <c r="DA90" s="180">
        <f t="shared" ref="DA90:DA96" si="24">DF50</f>
        <v>0.81720151828847487</v>
      </c>
      <c r="DC90" s="162">
        <v>4</v>
      </c>
      <c r="DD90" s="162">
        <v>1804</v>
      </c>
      <c r="DE90" s="163" t="s">
        <v>772</v>
      </c>
      <c r="DF90" s="169">
        <v>0.69435817805383016</v>
      </c>
      <c r="DG90" s="161"/>
      <c r="DH90" s="162">
        <v>12</v>
      </c>
      <c r="DI90" s="162">
        <v>1812</v>
      </c>
      <c r="DJ90" s="163" t="s">
        <v>780</v>
      </c>
      <c r="DK90" s="169">
        <v>0.80115596963423052</v>
      </c>
    </row>
    <row r="91" spans="2:115" ht="11.1" customHeight="1">
      <c r="B91"/>
      <c r="C91"/>
      <c r="D91"/>
      <c r="K91" s="2"/>
      <c r="BM91" s="76">
        <v>8</v>
      </c>
      <c r="BN91" s="66" t="s">
        <v>1330</v>
      </c>
      <c r="BO91" s="192">
        <v>1.5569097607422764</v>
      </c>
      <c r="BP91" s="67"/>
      <c r="BQ91" s="66" t="s">
        <v>1330</v>
      </c>
      <c r="BR91" s="192">
        <v>1.7205370095323045</v>
      </c>
      <c r="BS91" s="67"/>
      <c r="BT91" s="66" t="s">
        <v>1330</v>
      </c>
      <c r="BU91" s="192">
        <v>2.0425348167035864</v>
      </c>
      <c r="BV91" s="67"/>
      <c r="BW91" s="66"/>
      <c r="BX91" s="192"/>
      <c r="BY91" s="67"/>
      <c r="BZ91" s="66"/>
      <c r="CA91" s="192"/>
      <c r="CB91" s="67"/>
      <c r="CC91" s="66" t="s">
        <v>1329</v>
      </c>
      <c r="CD91" s="192">
        <v>2.2425029634148141</v>
      </c>
      <c r="CE91" s="67"/>
      <c r="CF91" s="66" t="s">
        <v>1329</v>
      </c>
      <c r="CG91" s="192">
        <v>1.0852748930617275</v>
      </c>
      <c r="CH91" s="67"/>
      <c r="CI91" s="66" t="s">
        <v>1329</v>
      </c>
      <c r="CJ91" s="192">
        <v>1.0852748930617275</v>
      </c>
      <c r="CN91" s="259" t="s">
        <v>1742</v>
      </c>
      <c r="CO91" s="255">
        <f>CO90-100000</f>
        <v>725000</v>
      </c>
      <c r="CQ91" s="264" t="s">
        <v>1753</v>
      </c>
      <c r="CX91" s="120">
        <v>1</v>
      </c>
      <c r="CY91" s="120">
        <v>1401</v>
      </c>
      <c r="CZ91" s="121" t="s">
        <v>95</v>
      </c>
      <c r="DA91" s="181">
        <f t="shared" si="24"/>
        <v>0.75</v>
      </c>
      <c r="DC91" s="162">
        <v>5</v>
      </c>
      <c r="DD91" s="162">
        <v>1805</v>
      </c>
      <c r="DE91" s="163" t="s">
        <v>773</v>
      </c>
      <c r="DF91" s="169">
        <v>0.7330055210489993</v>
      </c>
      <c r="DG91" s="161"/>
      <c r="DH91" s="162">
        <v>13</v>
      </c>
      <c r="DI91" s="162">
        <v>1813</v>
      </c>
      <c r="DJ91" s="163" t="s">
        <v>781</v>
      </c>
      <c r="DK91" s="169">
        <v>0.89708419599723943</v>
      </c>
    </row>
    <row r="92" spans="2:115" ht="11.1" customHeight="1">
      <c r="B92"/>
      <c r="C92"/>
      <c r="D92"/>
      <c r="K92" s="2"/>
      <c r="BM92" s="76">
        <v>9</v>
      </c>
      <c r="BN92" s="66" t="s">
        <v>1654</v>
      </c>
      <c r="BO92" s="192">
        <v>1.0682790419741401</v>
      </c>
      <c r="BP92" s="67"/>
      <c r="BQ92" s="66" t="s">
        <v>1654</v>
      </c>
      <c r="BR92" s="192">
        <v>1.1805524472708848</v>
      </c>
      <c r="BS92" s="67"/>
      <c r="BT92" s="66" t="s">
        <v>1654</v>
      </c>
      <c r="BU92" s="192">
        <v>1.4014923614754899</v>
      </c>
      <c r="BV92" s="67"/>
      <c r="BW92" s="66"/>
      <c r="BX92" s="192"/>
      <c r="BY92" s="67"/>
      <c r="BZ92" s="66"/>
      <c r="CA92" s="192"/>
      <c r="CB92" s="67"/>
      <c r="CC92" s="66" t="s">
        <v>1330</v>
      </c>
      <c r="CD92" s="192">
        <v>3.2170418523037041</v>
      </c>
      <c r="CE92" s="67"/>
      <c r="CF92" s="66" t="s">
        <v>1330</v>
      </c>
      <c r="CG92" s="192">
        <v>1.5569097607422764</v>
      </c>
      <c r="CH92" s="67"/>
      <c r="CI92" s="66" t="s">
        <v>1330</v>
      </c>
      <c r="CJ92" s="192">
        <v>1.5569097607422764</v>
      </c>
      <c r="CN92" s="259" t="s">
        <v>1747</v>
      </c>
      <c r="CO92" s="255">
        <f>950000+55000</f>
        <v>1005000</v>
      </c>
      <c r="CQ92" s="264" t="s">
        <v>1754</v>
      </c>
      <c r="CX92" s="120">
        <v>2</v>
      </c>
      <c r="CY92" s="120">
        <v>1402</v>
      </c>
      <c r="CZ92" s="121" t="s">
        <v>130</v>
      </c>
      <c r="DA92" s="181">
        <f t="shared" si="24"/>
        <v>0.79451345755693581</v>
      </c>
      <c r="DC92" s="162">
        <v>6</v>
      </c>
      <c r="DD92" s="162">
        <v>1806</v>
      </c>
      <c r="DE92" s="163" t="s">
        <v>774</v>
      </c>
      <c r="DF92" s="169">
        <v>0.74585921325051752</v>
      </c>
      <c r="DG92" s="161"/>
      <c r="DH92" s="162">
        <v>14</v>
      </c>
      <c r="DI92" s="162">
        <v>1871</v>
      </c>
      <c r="DJ92" s="163" t="s">
        <v>782</v>
      </c>
      <c r="DK92" s="169">
        <v>0.6947032436162871</v>
      </c>
    </row>
    <row r="93" spans="2:115" ht="11.1" customHeight="1">
      <c r="B93"/>
      <c r="C93"/>
      <c r="D93"/>
      <c r="K93" s="2"/>
      <c r="BM93" s="76">
        <v>10</v>
      </c>
      <c r="BN93" s="66" t="s">
        <v>1334</v>
      </c>
      <c r="BO93" s="192">
        <v>0.48884540337445093</v>
      </c>
      <c r="BP93" s="67"/>
      <c r="BQ93" s="66" t="s">
        <v>1334</v>
      </c>
      <c r="BR93" s="192">
        <v>0.54022180967283362</v>
      </c>
      <c r="BS93" s="67"/>
      <c r="BT93" s="66" t="s">
        <v>1334</v>
      </c>
      <c r="BU93" s="192">
        <v>0.64132410339683721</v>
      </c>
      <c r="BV93" s="67"/>
      <c r="BW93" s="66"/>
      <c r="BX93" s="192"/>
      <c r="BY93" s="67"/>
      <c r="BZ93" s="66"/>
      <c r="CA93" s="192"/>
      <c r="CB93" s="67"/>
      <c r="CC93" s="66" t="s">
        <v>1654</v>
      </c>
      <c r="CD93" s="192">
        <v>2.2073844448962956</v>
      </c>
      <c r="CE93" s="67"/>
      <c r="CF93" s="66" t="s">
        <v>1654</v>
      </c>
      <c r="CG93" s="192">
        <v>1.0682790419741401</v>
      </c>
      <c r="CH93" s="67"/>
      <c r="CI93" s="66" t="s">
        <v>1654</v>
      </c>
      <c r="CJ93" s="192">
        <v>1.0682790419741401</v>
      </c>
      <c r="CN93" s="259" t="s">
        <v>1743</v>
      </c>
      <c r="CO93" s="255">
        <f>CO92-150000</f>
        <v>855000</v>
      </c>
      <c r="CQ93" s="265"/>
      <c r="CX93" s="120">
        <v>3</v>
      </c>
      <c r="CY93" s="120">
        <v>1403</v>
      </c>
      <c r="CZ93" s="121" t="s">
        <v>164</v>
      </c>
      <c r="DA93" s="181">
        <f t="shared" si="24"/>
        <v>0.84661835748792269</v>
      </c>
      <c r="DC93" s="162">
        <v>7</v>
      </c>
      <c r="DD93" s="162">
        <v>1807</v>
      </c>
      <c r="DE93" s="163" t="s">
        <v>775</v>
      </c>
      <c r="DF93" s="169">
        <v>0.81383712905452033</v>
      </c>
      <c r="DG93" s="161"/>
      <c r="DH93" s="162">
        <v>15</v>
      </c>
      <c r="DI93" s="162">
        <v>1872</v>
      </c>
      <c r="DJ93" s="163" t="s">
        <v>783</v>
      </c>
      <c r="DK93" s="169">
        <v>0.72403381642512077</v>
      </c>
    </row>
    <row r="94" spans="2:115" ht="11.1" customHeight="1">
      <c r="B94"/>
      <c r="C94"/>
      <c r="D94"/>
      <c r="K94" s="2"/>
      <c r="BM94" s="76">
        <v>11</v>
      </c>
      <c r="BN94" s="66" t="s">
        <v>1530</v>
      </c>
      <c r="BO94" s="192"/>
      <c r="BP94" s="67"/>
      <c r="BQ94" s="66" t="s">
        <v>1530</v>
      </c>
      <c r="BR94" s="192"/>
      <c r="BS94" s="67"/>
      <c r="BT94" s="66" t="s">
        <v>1530</v>
      </c>
      <c r="BU94" s="192"/>
      <c r="BV94" s="67"/>
      <c r="BW94" s="66"/>
      <c r="BX94" s="192"/>
      <c r="BY94" s="67"/>
      <c r="BZ94" s="66"/>
      <c r="CA94" s="192"/>
      <c r="CB94" s="67"/>
      <c r="CC94" s="66" t="s">
        <v>1657</v>
      </c>
      <c r="CD94" s="192">
        <v>3.6229723818989892</v>
      </c>
      <c r="CE94" s="67"/>
      <c r="CF94" s="66" t="s">
        <v>1657</v>
      </c>
      <c r="CG94" s="192">
        <v>1.753362661489468</v>
      </c>
      <c r="CH94" s="67"/>
      <c r="CI94" s="66" t="s">
        <v>1657</v>
      </c>
      <c r="CJ94" s="192">
        <v>1.753362661489468</v>
      </c>
      <c r="CN94" s="259" t="s">
        <v>1744</v>
      </c>
      <c r="CO94" s="255">
        <f>CO93-150000</f>
        <v>705000</v>
      </c>
      <c r="CQ94" s="265"/>
      <c r="CX94" s="120">
        <v>4</v>
      </c>
      <c r="CY94" s="120">
        <v>1404</v>
      </c>
      <c r="CZ94" s="121" t="s">
        <v>198</v>
      </c>
      <c r="DA94" s="181">
        <f t="shared" si="24"/>
        <v>0.82082470669427199</v>
      </c>
      <c r="DC94" s="161"/>
      <c r="DD94" s="161"/>
      <c r="DE94" s="161"/>
      <c r="DF94" s="170"/>
      <c r="DG94" s="161"/>
      <c r="DH94" s="161"/>
      <c r="DI94" s="161"/>
      <c r="DJ94" s="161"/>
      <c r="DK94" s="170"/>
    </row>
    <row r="95" spans="2:115" ht="11.1" customHeight="1">
      <c r="B95"/>
      <c r="C95"/>
      <c r="D95"/>
      <c r="K95" s="2"/>
      <c r="BM95" s="76">
        <v>12</v>
      </c>
      <c r="BN95" s="66"/>
      <c r="BO95" s="192"/>
      <c r="BP95" s="67"/>
      <c r="BQ95" s="66"/>
      <c r="BR95" s="192"/>
      <c r="BS95" s="67"/>
      <c r="BT95" s="66"/>
      <c r="BU95" s="192"/>
      <c r="BV95" s="67"/>
      <c r="BW95" s="66"/>
      <c r="BX95" s="192"/>
      <c r="BY95" s="67"/>
      <c r="BZ95" s="66"/>
      <c r="CA95" s="192"/>
      <c r="CB95" s="67"/>
      <c r="CC95" s="66" t="s">
        <v>1334</v>
      </c>
      <c r="CD95" s="192">
        <v>1.0101010101010099</v>
      </c>
      <c r="CE95" s="67"/>
      <c r="CF95" s="66" t="s">
        <v>1658</v>
      </c>
      <c r="CG95" s="192">
        <v>2.6456313230625286</v>
      </c>
      <c r="CH95" s="67"/>
      <c r="CI95" s="66" t="s">
        <v>1658</v>
      </c>
      <c r="CJ95" s="192">
        <v>2.6456313230625286</v>
      </c>
      <c r="CN95" s="259" t="s">
        <v>1745</v>
      </c>
      <c r="CO95" s="255">
        <f>1200000+60000</f>
        <v>1260000</v>
      </c>
      <c r="CX95" s="120">
        <v>5</v>
      </c>
      <c r="CY95" s="120">
        <v>1405</v>
      </c>
      <c r="CZ95" s="121" t="s">
        <v>233</v>
      </c>
      <c r="DA95" s="181">
        <f t="shared" si="24"/>
        <v>0.85308833678398899</v>
      </c>
      <c r="DC95" s="155" t="s">
        <v>1192</v>
      </c>
      <c r="DD95" s="156" t="s">
        <v>1535</v>
      </c>
      <c r="DE95" s="157" t="s">
        <v>1629</v>
      </c>
      <c r="DF95" s="167" t="s">
        <v>1537</v>
      </c>
      <c r="DG95" s="158"/>
      <c r="DH95" s="155" t="s">
        <v>1192</v>
      </c>
      <c r="DI95" s="156" t="s">
        <v>1535</v>
      </c>
      <c r="DJ95" s="157" t="s">
        <v>1629</v>
      </c>
      <c r="DK95" s="167" t="s">
        <v>1537</v>
      </c>
    </row>
    <row r="96" spans="2:115" ht="11.1" customHeight="1">
      <c r="B96"/>
      <c r="C96"/>
      <c r="D96"/>
      <c r="K96" s="2"/>
      <c r="BM96" s="76">
        <v>13</v>
      </c>
      <c r="BN96" s="66"/>
      <c r="BO96" s="192"/>
      <c r="BP96" s="67"/>
      <c r="BQ96" s="66"/>
      <c r="BR96" s="192"/>
      <c r="BS96" s="67"/>
      <c r="BT96" s="66"/>
      <c r="BU96" s="192"/>
      <c r="BV96" s="67"/>
      <c r="BW96" s="66"/>
      <c r="BX96" s="192"/>
      <c r="BY96" s="67"/>
      <c r="BZ96" s="66"/>
      <c r="CA96" s="192"/>
      <c r="CB96" s="67"/>
      <c r="CC96" s="66" t="s">
        <v>1530</v>
      </c>
      <c r="CD96" s="192"/>
      <c r="CE96" s="67"/>
      <c r="CF96" s="66" t="s">
        <v>1334</v>
      </c>
      <c r="CG96" s="192">
        <v>0.48884540337445093</v>
      </c>
      <c r="CH96" s="67"/>
      <c r="CI96" s="66" t="s">
        <v>1334</v>
      </c>
      <c r="CJ96" s="192">
        <v>0.48884540337445093</v>
      </c>
      <c r="CN96" s="258"/>
      <c r="CO96" s="255"/>
      <c r="CX96" s="120">
        <v>6</v>
      </c>
      <c r="CY96" s="120">
        <v>1406</v>
      </c>
      <c r="CZ96" s="121" t="s">
        <v>268</v>
      </c>
      <c r="DA96" s="181">
        <f t="shared" si="24"/>
        <v>0.7661318150448585</v>
      </c>
      <c r="DC96" s="159" t="s">
        <v>15</v>
      </c>
      <c r="DD96" s="159">
        <v>1900</v>
      </c>
      <c r="DE96" s="160" t="s">
        <v>784</v>
      </c>
      <c r="DF96" s="168">
        <v>0.87741545893719797</v>
      </c>
      <c r="DG96" s="161"/>
      <c r="DH96" s="162">
        <v>4</v>
      </c>
      <c r="DI96" s="162">
        <v>1904</v>
      </c>
      <c r="DJ96" s="163" t="s">
        <v>788</v>
      </c>
      <c r="DK96" s="169">
        <v>0.92089371980676327</v>
      </c>
    </row>
    <row r="97" spans="2:115" ht="11.1" customHeight="1">
      <c r="B97"/>
      <c r="C97"/>
      <c r="D97"/>
      <c r="K97" s="2"/>
      <c r="BM97" s="76">
        <v>14</v>
      </c>
      <c r="BN97" s="66"/>
      <c r="BO97" s="192"/>
      <c r="BP97" s="67"/>
      <c r="BQ97" s="66"/>
      <c r="BR97" s="192"/>
      <c r="BS97" s="67"/>
      <c r="BT97" s="66"/>
      <c r="BU97" s="192"/>
      <c r="BV97" s="67"/>
      <c r="BW97" s="66"/>
      <c r="BX97" s="192"/>
      <c r="BY97" s="67"/>
      <c r="BZ97" s="66"/>
      <c r="CA97" s="192"/>
      <c r="CB97" s="67"/>
      <c r="CC97" s="66"/>
      <c r="CD97" s="192"/>
      <c r="CE97" s="67"/>
      <c r="CF97" s="66" t="s">
        <v>1530</v>
      </c>
      <c r="CG97" s="192"/>
      <c r="CH97" s="67"/>
      <c r="CI97" s="66" t="s">
        <v>1530</v>
      </c>
      <c r="CJ97" s="192"/>
      <c r="CN97" s="258"/>
      <c r="CO97" s="255"/>
      <c r="CX97" s="120">
        <v>7</v>
      </c>
      <c r="CY97" s="120">
        <v>1407</v>
      </c>
      <c r="CZ97" s="121" t="s">
        <v>300</v>
      </c>
      <c r="DA97" s="181">
        <f t="shared" ref="DA97:DA102" si="25">DK50</f>
        <v>0.74361628709454797</v>
      </c>
      <c r="DC97" s="162">
        <v>1</v>
      </c>
      <c r="DD97" s="162">
        <v>1901</v>
      </c>
      <c r="DE97" s="163" t="s">
        <v>785</v>
      </c>
      <c r="DF97" s="169">
        <v>0.85075914423740517</v>
      </c>
      <c r="DG97" s="161"/>
      <c r="DH97" s="162">
        <v>5</v>
      </c>
      <c r="DI97" s="162">
        <v>1905</v>
      </c>
      <c r="DJ97" s="163" t="s">
        <v>789</v>
      </c>
      <c r="DK97" s="169">
        <v>0.88699102829537602</v>
      </c>
    </row>
    <row r="98" spans="2:115" ht="11.1" customHeight="1">
      <c r="B98"/>
      <c r="C98"/>
      <c r="D98"/>
      <c r="K98" s="2"/>
      <c r="BM98" s="76">
        <v>15</v>
      </c>
      <c r="BN98" s="66"/>
      <c r="BO98" s="192"/>
      <c r="BP98" s="67"/>
      <c r="BQ98" s="66"/>
      <c r="BR98" s="192"/>
      <c r="BS98" s="67"/>
      <c r="BT98" s="66"/>
      <c r="BU98" s="192"/>
      <c r="BV98" s="67"/>
      <c r="BW98" s="66"/>
      <c r="BX98" s="192"/>
      <c r="BY98" s="67"/>
      <c r="BZ98" s="66"/>
      <c r="CA98" s="192"/>
      <c r="CB98" s="67"/>
      <c r="CC98" s="66"/>
      <c r="CD98" s="192"/>
      <c r="CE98" s="67"/>
      <c r="CF98" s="66"/>
      <c r="CG98" s="192"/>
      <c r="CH98" s="67"/>
      <c r="CI98" s="66"/>
      <c r="CJ98" s="192"/>
      <c r="CN98" s="258"/>
      <c r="CO98" s="255"/>
      <c r="CX98" s="120">
        <v>8</v>
      </c>
      <c r="CY98" s="120">
        <v>1408</v>
      </c>
      <c r="CZ98" s="121" t="s">
        <v>330</v>
      </c>
      <c r="DA98" s="181">
        <f t="shared" si="25"/>
        <v>0.84403036576949619</v>
      </c>
      <c r="DC98" s="162">
        <v>2</v>
      </c>
      <c r="DD98" s="162">
        <v>1902</v>
      </c>
      <c r="DE98" s="163" t="s">
        <v>786</v>
      </c>
      <c r="DF98" s="169">
        <v>0.84601449275362317</v>
      </c>
      <c r="DG98" s="161"/>
      <c r="DH98" s="162">
        <v>6</v>
      </c>
      <c r="DI98" s="162">
        <v>1906</v>
      </c>
      <c r="DJ98" s="163" t="s">
        <v>790</v>
      </c>
      <c r="DK98" s="169">
        <v>0.84109730848861286</v>
      </c>
    </row>
    <row r="99" spans="2:115" ht="11.1" customHeight="1">
      <c r="B99"/>
      <c r="C99"/>
      <c r="D99"/>
      <c r="K99" s="2"/>
      <c r="BM99" s="75" t="s">
        <v>1336</v>
      </c>
      <c r="BN99" s="65" t="s">
        <v>1450</v>
      </c>
      <c r="BO99" s="191"/>
      <c r="BP99" s="67"/>
      <c r="BQ99" s="65" t="s">
        <v>1451</v>
      </c>
      <c r="BR99" s="191"/>
      <c r="BS99" s="67"/>
      <c r="BT99" s="65" t="s">
        <v>1452</v>
      </c>
      <c r="BU99" s="191"/>
      <c r="BV99" s="67"/>
      <c r="BW99" s="65" t="s">
        <v>1453</v>
      </c>
      <c r="BX99" s="191"/>
      <c r="BY99" s="67"/>
      <c r="BZ99" s="65" t="s">
        <v>1482</v>
      </c>
      <c r="CA99" s="191"/>
      <c r="CB99" s="67"/>
      <c r="CC99" s="65" t="s">
        <v>1483</v>
      </c>
      <c r="CD99" s="191"/>
      <c r="CE99" s="67"/>
      <c r="CF99" s="65" t="s">
        <v>1484</v>
      </c>
      <c r="CG99" s="191"/>
      <c r="CH99" s="67"/>
      <c r="CI99" s="65" t="s">
        <v>1485</v>
      </c>
      <c r="CJ99" s="191"/>
      <c r="CX99" s="120">
        <v>9</v>
      </c>
      <c r="CY99" s="120">
        <v>1409</v>
      </c>
      <c r="CZ99" s="121" t="s">
        <v>357</v>
      </c>
      <c r="DA99" s="181">
        <f t="shared" si="25"/>
        <v>0.86067977915803995</v>
      </c>
      <c r="DC99" s="162">
        <v>3</v>
      </c>
      <c r="DD99" s="162">
        <v>1903</v>
      </c>
      <c r="DE99" s="163" t="s">
        <v>787</v>
      </c>
      <c r="DF99" s="169">
        <v>0.90631469979296064</v>
      </c>
      <c r="DG99" s="161"/>
      <c r="DH99" s="162">
        <v>7</v>
      </c>
      <c r="DI99" s="162">
        <v>1971</v>
      </c>
      <c r="DJ99" s="163" t="s">
        <v>791</v>
      </c>
      <c r="DK99" s="169">
        <v>0.89337474120082816</v>
      </c>
    </row>
    <row r="100" spans="2:115" ht="11.1" customHeight="1">
      <c r="B100"/>
      <c r="C100"/>
      <c r="D100"/>
      <c r="K100" s="2"/>
      <c r="BM100" s="76">
        <v>1</v>
      </c>
      <c r="BN100" s="207" t="s">
        <v>1670</v>
      </c>
      <c r="BO100" s="192">
        <v>1</v>
      </c>
      <c r="BP100" s="67"/>
      <c r="BQ100" s="207" t="s">
        <v>1670</v>
      </c>
      <c r="BR100" s="192">
        <v>1</v>
      </c>
      <c r="BS100" s="67"/>
      <c r="BT100" s="207" t="s">
        <v>1670</v>
      </c>
      <c r="BU100" s="192">
        <v>1</v>
      </c>
      <c r="BV100" s="67"/>
      <c r="BW100" s="207" t="s">
        <v>1670</v>
      </c>
      <c r="BX100" s="192">
        <v>1</v>
      </c>
      <c r="BY100" s="67"/>
      <c r="BZ100" s="207" t="s">
        <v>1670</v>
      </c>
      <c r="CA100" s="192">
        <v>1</v>
      </c>
      <c r="CB100" s="67"/>
      <c r="CC100" s="207" t="s">
        <v>1670</v>
      </c>
      <c r="CD100" s="192">
        <v>1</v>
      </c>
      <c r="CE100" s="67"/>
      <c r="CF100" s="207" t="s">
        <v>1670</v>
      </c>
      <c r="CG100" s="192">
        <v>1</v>
      </c>
      <c r="CH100" s="67"/>
      <c r="CI100" s="207" t="s">
        <v>1670</v>
      </c>
      <c r="CJ100" s="192">
        <v>1</v>
      </c>
      <c r="CX100" s="120">
        <v>10</v>
      </c>
      <c r="CY100" s="120">
        <v>1410</v>
      </c>
      <c r="CZ100" s="121" t="s">
        <v>384</v>
      </c>
      <c r="DA100" s="181">
        <f t="shared" si="25"/>
        <v>0.93081435472739826</v>
      </c>
      <c r="DC100" s="161"/>
      <c r="DD100" s="161"/>
      <c r="DE100" s="161"/>
      <c r="DF100" s="170"/>
      <c r="DG100" s="161"/>
      <c r="DH100" s="161"/>
      <c r="DI100" s="161"/>
      <c r="DJ100" s="161"/>
      <c r="DK100" s="170"/>
    </row>
    <row r="101" spans="2:115" ht="11.1" customHeight="1">
      <c r="B101"/>
      <c r="C101"/>
      <c r="D101"/>
      <c r="K101" s="2"/>
      <c r="BM101" s="76">
        <v>2</v>
      </c>
      <c r="BN101" s="66" t="s">
        <v>1316</v>
      </c>
      <c r="BO101" s="192">
        <v>0.73560307231032818</v>
      </c>
      <c r="BP101" s="67"/>
      <c r="BQ101" s="66" t="s">
        <v>1316</v>
      </c>
      <c r="BR101" s="192">
        <v>1.2609055500409156</v>
      </c>
      <c r="BS101" s="67"/>
      <c r="BT101" s="66" t="s">
        <v>1316</v>
      </c>
      <c r="BU101" s="192">
        <v>1.0103294638640681</v>
      </c>
      <c r="BV101" s="67"/>
      <c r="BW101" s="66" t="s">
        <v>1338</v>
      </c>
      <c r="BX101" s="192">
        <v>4.016211638868227</v>
      </c>
      <c r="BY101" s="67"/>
      <c r="BZ101" s="66" t="s">
        <v>1357</v>
      </c>
      <c r="CA101" s="192">
        <v>0.80001164754527987</v>
      </c>
      <c r="CB101" s="67"/>
      <c r="CC101" s="66" t="s">
        <v>1316</v>
      </c>
      <c r="CD101" s="192">
        <v>1.0103294638640681</v>
      </c>
      <c r="CE101" s="67"/>
      <c r="CF101" s="66" t="s">
        <v>1316</v>
      </c>
      <c r="CG101" s="192">
        <v>0.29979842234843512</v>
      </c>
      <c r="CH101" s="67"/>
      <c r="CI101" s="66" t="s">
        <v>1316</v>
      </c>
      <c r="CJ101" s="192">
        <v>0.29979842234843512</v>
      </c>
      <c r="CX101" s="120">
        <v>11</v>
      </c>
      <c r="CY101" s="120">
        <v>1471</v>
      </c>
      <c r="CZ101" s="121" t="s">
        <v>410</v>
      </c>
      <c r="DA101" s="181">
        <f t="shared" si="25"/>
        <v>0.7495686680469289</v>
      </c>
      <c r="DC101" s="155" t="s">
        <v>1192</v>
      </c>
      <c r="DD101" s="156" t="s">
        <v>1535</v>
      </c>
      <c r="DE101" s="157" t="s">
        <v>1629</v>
      </c>
      <c r="DF101" s="167" t="s">
        <v>1537</v>
      </c>
      <c r="DG101" s="158"/>
      <c r="DH101" s="155" t="s">
        <v>1192</v>
      </c>
      <c r="DI101" s="156" t="s">
        <v>1535</v>
      </c>
      <c r="DJ101" s="157" t="s">
        <v>1629</v>
      </c>
      <c r="DK101" s="167" t="s">
        <v>1537</v>
      </c>
    </row>
    <row r="102" spans="2:115" ht="11.1" customHeight="1">
      <c r="B102"/>
      <c r="C102"/>
      <c r="D102"/>
      <c r="K102" s="2"/>
      <c r="BM102" s="76">
        <v>3</v>
      </c>
      <c r="BN102" s="66" t="s">
        <v>1317</v>
      </c>
      <c r="BO102" s="192">
        <v>0.80572271332132817</v>
      </c>
      <c r="BP102" s="67"/>
      <c r="BQ102" s="66" t="s">
        <v>1317</v>
      </c>
      <c r="BR102" s="192">
        <v>1.3987739473994054</v>
      </c>
      <c r="BS102" s="67"/>
      <c r="BT102" s="66" t="s">
        <v>1317</v>
      </c>
      <c r="BU102" s="192">
        <v>1.1066367550863343</v>
      </c>
      <c r="BV102" s="67"/>
      <c r="BW102" s="66" t="s">
        <v>1346</v>
      </c>
      <c r="BX102" s="192">
        <v>2.237581050051384</v>
      </c>
      <c r="BY102" s="67"/>
      <c r="BZ102" s="66" t="s">
        <v>1358</v>
      </c>
      <c r="CA102" s="192">
        <v>1</v>
      </c>
      <c r="CB102" s="67"/>
      <c r="CC102" s="66" t="s">
        <v>1317</v>
      </c>
      <c r="CD102" s="192">
        <v>1.1066367550863343</v>
      </c>
      <c r="CE102" s="67"/>
      <c r="CF102" s="66" t="s">
        <v>1317</v>
      </c>
      <c r="CG102" s="192">
        <v>0.33257861593108784</v>
      </c>
      <c r="CH102" s="67"/>
      <c r="CI102" s="66" t="s">
        <v>1317</v>
      </c>
      <c r="CJ102" s="192">
        <v>0.33257861593108784</v>
      </c>
      <c r="CX102" s="120">
        <v>12</v>
      </c>
      <c r="CY102" s="120">
        <v>1473</v>
      </c>
      <c r="CZ102" s="121" t="s">
        <v>432</v>
      </c>
      <c r="DA102" s="181">
        <f t="shared" si="25"/>
        <v>0.86913388543823322</v>
      </c>
      <c r="DC102" s="159" t="s">
        <v>16</v>
      </c>
      <c r="DD102" s="159">
        <v>2100</v>
      </c>
      <c r="DE102" s="160" t="s">
        <v>792</v>
      </c>
      <c r="DF102" s="168">
        <v>1.0586611456176673</v>
      </c>
      <c r="DG102" s="161"/>
      <c r="DH102" s="162">
        <v>4</v>
      </c>
      <c r="DI102" s="162">
        <v>2104</v>
      </c>
      <c r="DJ102" s="163" t="s">
        <v>796</v>
      </c>
      <c r="DK102" s="169">
        <v>0.88940648723257409</v>
      </c>
    </row>
    <row r="103" spans="2:115" ht="11.1" customHeight="1">
      <c r="B103"/>
      <c r="C103"/>
      <c r="D103"/>
      <c r="K103" s="2"/>
      <c r="BM103" s="76">
        <v>4</v>
      </c>
      <c r="BN103" s="66" t="s">
        <v>1339</v>
      </c>
      <c r="BO103" s="192">
        <v>3.0850723859672997</v>
      </c>
      <c r="BP103" s="67"/>
      <c r="BQ103" s="66" t="s">
        <v>1337</v>
      </c>
      <c r="BR103" s="192">
        <v>2.4477632968929424</v>
      </c>
      <c r="BS103" s="67"/>
      <c r="BT103" s="66" t="s">
        <v>1659</v>
      </c>
      <c r="BU103" s="192">
        <v>1.4269892373584911</v>
      </c>
      <c r="BV103" s="67"/>
      <c r="BW103" s="66" t="s">
        <v>1345</v>
      </c>
      <c r="BX103" s="192">
        <v>1</v>
      </c>
      <c r="BY103" s="67"/>
      <c r="BZ103" s="66" t="s">
        <v>1359</v>
      </c>
      <c r="CA103" s="192">
        <v>1.2000077650301866</v>
      </c>
      <c r="CB103" s="67"/>
      <c r="CC103" s="66" t="s">
        <v>1337</v>
      </c>
      <c r="CD103" s="192">
        <v>2.0113279339298189</v>
      </c>
      <c r="CE103" s="67"/>
      <c r="CF103" s="66" t="s">
        <v>1339</v>
      </c>
      <c r="CG103" s="192">
        <v>1.3396323816307929</v>
      </c>
      <c r="CH103" s="67"/>
      <c r="CI103" s="66" t="s">
        <v>1339</v>
      </c>
      <c r="CJ103" s="192">
        <v>1.3396323816307929</v>
      </c>
      <c r="CX103" s="118" t="s">
        <v>11</v>
      </c>
      <c r="CY103" s="118">
        <v>1500</v>
      </c>
      <c r="CZ103" s="119" t="s">
        <v>27</v>
      </c>
      <c r="DA103" s="180">
        <f t="shared" ref="DA103:DA108" si="26">DF59</f>
        <v>0.76250862663906138</v>
      </c>
      <c r="DC103" s="162">
        <v>1</v>
      </c>
      <c r="DD103" s="162">
        <v>2101</v>
      </c>
      <c r="DE103" s="163" t="s">
        <v>793</v>
      </c>
      <c r="DF103" s="169">
        <v>1.0343340234644582</v>
      </c>
      <c r="DG103" s="161"/>
      <c r="DH103" s="162">
        <v>5</v>
      </c>
      <c r="DI103" s="162">
        <v>2105</v>
      </c>
      <c r="DJ103" s="163" t="s">
        <v>797</v>
      </c>
      <c r="DK103" s="169">
        <v>1.3443754313319531</v>
      </c>
    </row>
    <row r="104" spans="2:115" ht="11.1" customHeight="1">
      <c r="B104"/>
      <c r="C104"/>
      <c r="D104"/>
      <c r="K104" s="2"/>
      <c r="BM104" s="76">
        <v>5</v>
      </c>
      <c r="BN104" s="66" t="s">
        <v>1337</v>
      </c>
      <c r="BO104" s="192">
        <v>1.4644124125250888</v>
      </c>
      <c r="BP104" s="67"/>
      <c r="BQ104" s="66" t="s">
        <v>1659</v>
      </c>
      <c r="BR104" s="192">
        <v>2.0428019177528629</v>
      </c>
      <c r="BS104" s="67"/>
      <c r="BT104" s="66" t="s">
        <v>1340</v>
      </c>
      <c r="BU104" s="192">
        <v>1.3734709681009072</v>
      </c>
      <c r="BV104" s="67"/>
      <c r="BW104" s="66" t="s">
        <v>1530</v>
      </c>
      <c r="BX104" s="192"/>
      <c r="BY104" s="67"/>
      <c r="BZ104" s="66" t="s">
        <v>1360</v>
      </c>
      <c r="CA104" s="192">
        <v>1.5000097062877333</v>
      </c>
      <c r="CB104" s="67"/>
      <c r="CC104" s="66" t="s">
        <v>1659</v>
      </c>
      <c r="CD104" s="192">
        <v>1.4269892373584911</v>
      </c>
      <c r="CE104" s="67"/>
      <c r="CF104" s="66" t="s">
        <v>1337</v>
      </c>
      <c r="CG104" s="192">
        <v>0.58199091491594734</v>
      </c>
      <c r="CH104" s="67"/>
      <c r="CI104" s="66" t="s">
        <v>1337</v>
      </c>
      <c r="CJ104" s="192">
        <v>0.58199091491594734</v>
      </c>
      <c r="CX104" s="120">
        <v>1</v>
      </c>
      <c r="CY104" s="120">
        <v>1501</v>
      </c>
      <c r="CZ104" s="121" t="s">
        <v>96</v>
      </c>
      <c r="DA104" s="181">
        <f t="shared" si="26"/>
        <v>0.66261214630779852</v>
      </c>
      <c r="DC104" s="162">
        <v>2</v>
      </c>
      <c r="DD104" s="162">
        <v>2102</v>
      </c>
      <c r="DE104" s="163" t="s">
        <v>794</v>
      </c>
      <c r="DF104" s="169">
        <v>1.0033643892339545</v>
      </c>
      <c r="DG104" s="161"/>
      <c r="DH104" s="162">
        <v>6</v>
      </c>
      <c r="DI104" s="162">
        <v>2171</v>
      </c>
      <c r="DJ104" s="163" t="s">
        <v>798</v>
      </c>
      <c r="DK104" s="169">
        <v>1.0047446514837819</v>
      </c>
    </row>
    <row r="105" spans="2:115" ht="11.1" customHeight="1">
      <c r="B105"/>
      <c r="C105"/>
      <c r="D105"/>
      <c r="K105" s="2"/>
      <c r="BM105" s="76">
        <v>6</v>
      </c>
      <c r="BN105" s="66" t="s">
        <v>1659</v>
      </c>
      <c r="BO105" s="192">
        <v>1.0389657084136139</v>
      </c>
      <c r="BP105" s="67"/>
      <c r="BQ105" s="66" t="s">
        <v>1343</v>
      </c>
      <c r="BR105" s="192">
        <v>2.7355039785312303</v>
      </c>
      <c r="BS105" s="67"/>
      <c r="BT105" s="66" t="s">
        <v>1338</v>
      </c>
      <c r="BU105" s="192">
        <v>1</v>
      </c>
      <c r="BV105" s="67"/>
      <c r="BW105" s="66"/>
      <c r="BX105" s="192"/>
      <c r="BY105" s="67"/>
      <c r="BZ105" s="66" t="s">
        <v>1361</v>
      </c>
      <c r="CA105" s="192">
        <v>1.8000116475452799</v>
      </c>
      <c r="CB105" s="67"/>
      <c r="CC105" s="66" t="s">
        <v>1343</v>
      </c>
      <c r="CD105" s="192">
        <v>2.0120134390911293</v>
      </c>
      <c r="CE105" s="67"/>
      <c r="CF105" s="66" t="s">
        <v>1659</v>
      </c>
      <c r="CG105" s="192">
        <v>0.48570552496401737</v>
      </c>
      <c r="CH105" s="67"/>
      <c r="CI105" s="66" t="s">
        <v>1659</v>
      </c>
      <c r="CJ105" s="192">
        <v>0.48570552496401737</v>
      </c>
      <c r="CX105" s="120">
        <v>2</v>
      </c>
      <c r="CY105" s="120">
        <v>1502</v>
      </c>
      <c r="CZ105" s="121" t="s">
        <v>131</v>
      </c>
      <c r="DA105" s="181">
        <f t="shared" si="26"/>
        <v>0.73628364389233947</v>
      </c>
      <c r="DC105" s="162">
        <v>3</v>
      </c>
      <c r="DD105" s="162">
        <v>2103</v>
      </c>
      <c r="DE105" s="163" t="s">
        <v>795</v>
      </c>
      <c r="DF105" s="169">
        <v>1.1885783298826778</v>
      </c>
      <c r="DG105" s="161"/>
      <c r="DH105" s="162">
        <v>7</v>
      </c>
      <c r="DI105" s="162">
        <v>2172</v>
      </c>
      <c r="DJ105" s="163" t="s">
        <v>799</v>
      </c>
      <c r="DK105" s="169">
        <v>1.0059523809523809</v>
      </c>
    </row>
    <row r="106" spans="2:115" ht="11.1" customHeight="1">
      <c r="B106"/>
      <c r="C106"/>
      <c r="D106"/>
      <c r="K106" s="2"/>
      <c r="BM106" s="76">
        <v>7</v>
      </c>
      <c r="BN106" s="66" t="s">
        <v>1343</v>
      </c>
      <c r="BO106" s="192">
        <v>1.4649115167487905</v>
      </c>
      <c r="BP106" s="67"/>
      <c r="BQ106" s="66" t="s">
        <v>1341</v>
      </c>
      <c r="BR106" s="192">
        <v>0.84162757271197419</v>
      </c>
      <c r="BS106" s="67"/>
      <c r="BT106" s="66" t="s">
        <v>1347</v>
      </c>
      <c r="BU106" s="192">
        <v>1.8834009556145277</v>
      </c>
      <c r="BV106" s="67"/>
      <c r="BW106" s="66"/>
      <c r="BX106" s="192"/>
      <c r="BY106" s="67"/>
      <c r="BZ106" s="66" t="s">
        <v>1345</v>
      </c>
      <c r="CA106" s="192">
        <v>0.32</v>
      </c>
      <c r="CB106" s="67"/>
      <c r="CC106" s="66" t="s">
        <v>1341</v>
      </c>
      <c r="CD106" s="192">
        <v>0.6890553859852615</v>
      </c>
      <c r="CE106" s="67"/>
      <c r="CF106" s="66" t="s">
        <v>1343</v>
      </c>
      <c r="CG106" s="192">
        <v>0.65040539877464942</v>
      </c>
      <c r="CH106" s="67"/>
      <c r="CI106" s="66" t="s">
        <v>1343</v>
      </c>
      <c r="CJ106" s="192">
        <v>0.65040539877464942</v>
      </c>
      <c r="CX106" s="120">
        <v>3</v>
      </c>
      <c r="CY106" s="120">
        <v>1503</v>
      </c>
      <c r="CZ106" s="121" t="s">
        <v>165</v>
      </c>
      <c r="DA106" s="181">
        <f t="shared" si="26"/>
        <v>0.75138026224982746</v>
      </c>
      <c r="DC106" s="161"/>
      <c r="DD106" s="161"/>
      <c r="DE106" s="161"/>
      <c r="DF106" s="170"/>
      <c r="DG106" s="161"/>
      <c r="DH106" s="161"/>
      <c r="DI106" s="161"/>
      <c r="DJ106" s="161"/>
      <c r="DK106" s="170"/>
    </row>
    <row r="107" spans="2:115" ht="11.1" customHeight="1">
      <c r="B107"/>
      <c r="C107"/>
      <c r="D107"/>
      <c r="K107" s="2"/>
      <c r="BM107" s="76">
        <v>8</v>
      </c>
      <c r="BN107" s="66" t="s">
        <v>1341</v>
      </c>
      <c r="BO107" s="192">
        <v>0.50168907970294829</v>
      </c>
      <c r="BP107" s="67"/>
      <c r="BQ107" s="66" t="s">
        <v>1340</v>
      </c>
      <c r="BR107" s="192">
        <v>1.5346411801071542</v>
      </c>
      <c r="BS107" s="67"/>
      <c r="BT107" s="66" t="s">
        <v>1660</v>
      </c>
      <c r="BU107" s="192">
        <v>1.9164543903513127</v>
      </c>
      <c r="BV107" s="67"/>
      <c r="BW107" s="66"/>
      <c r="BX107" s="192"/>
      <c r="BY107" s="67"/>
      <c r="BZ107" s="66" t="s">
        <v>1362</v>
      </c>
      <c r="CA107" s="192">
        <v>0.46840603342845494</v>
      </c>
      <c r="CB107" s="67"/>
      <c r="CC107" s="66" t="s">
        <v>1340</v>
      </c>
      <c r="CD107" s="192">
        <v>1.3734709681009072</v>
      </c>
      <c r="CE107" s="67"/>
      <c r="CF107" s="66" t="s">
        <v>1341</v>
      </c>
      <c r="CG107" s="192">
        <v>0.20010905534978821</v>
      </c>
      <c r="CH107" s="67"/>
      <c r="CI107" s="66" t="s">
        <v>1341</v>
      </c>
      <c r="CJ107" s="192">
        <v>0.20010905534978821</v>
      </c>
      <c r="CX107" s="120">
        <v>4</v>
      </c>
      <c r="CY107" s="120">
        <v>1504</v>
      </c>
      <c r="CZ107" s="121" t="s">
        <v>199</v>
      </c>
      <c r="DA107" s="181">
        <f t="shared" si="26"/>
        <v>0.75155279503105588</v>
      </c>
      <c r="DC107" s="155" t="s">
        <v>1192</v>
      </c>
      <c r="DD107" s="156" t="s">
        <v>1535</v>
      </c>
      <c r="DE107" s="157" t="s">
        <v>1629</v>
      </c>
      <c r="DF107" s="167" t="s">
        <v>1537</v>
      </c>
      <c r="DG107" s="158"/>
      <c r="DH107" s="155" t="s">
        <v>1192</v>
      </c>
      <c r="DI107" s="156" t="s">
        <v>1535</v>
      </c>
      <c r="DJ107" s="157" t="s">
        <v>1629</v>
      </c>
      <c r="DK107" s="167" t="s">
        <v>1537</v>
      </c>
    </row>
    <row r="108" spans="2:115" ht="11.1" customHeight="1">
      <c r="B108"/>
      <c r="C108"/>
      <c r="D108"/>
      <c r="K108" s="2"/>
      <c r="BM108" s="76">
        <v>9</v>
      </c>
      <c r="BN108" s="66" t="s">
        <v>1340</v>
      </c>
      <c r="BO108" s="192">
        <v>1</v>
      </c>
      <c r="BP108" s="67"/>
      <c r="BQ108" s="66" t="s">
        <v>1338</v>
      </c>
      <c r="BR108" s="192">
        <v>1</v>
      </c>
      <c r="BS108" s="67"/>
      <c r="BT108" s="66" t="s">
        <v>1345</v>
      </c>
      <c r="BU108" s="192">
        <v>0.24899086251385927</v>
      </c>
      <c r="BV108" s="67"/>
      <c r="BW108" s="66"/>
      <c r="BX108" s="192"/>
      <c r="BY108" s="67"/>
      <c r="BZ108" s="66" t="s">
        <v>1363</v>
      </c>
      <c r="CA108" s="192">
        <v>0.70259934385494927</v>
      </c>
      <c r="CB108" s="67"/>
      <c r="CC108" s="66" t="s">
        <v>1338</v>
      </c>
      <c r="CD108" s="192">
        <v>1</v>
      </c>
      <c r="CE108" s="67"/>
      <c r="CF108" s="66" t="s">
        <v>1340</v>
      </c>
      <c r="CG108" s="192">
        <v>0.36488300384762051</v>
      </c>
      <c r="CH108" s="67"/>
      <c r="CI108" s="66" t="s">
        <v>1340</v>
      </c>
      <c r="CJ108" s="192">
        <v>0.36488300384762051</v>
      </c>
      <c r="CX108" s="120">
        <v>5</v>
      </c>
      <c r="CY108" s="120">
        <v>1505</v>
      </c>
      <c r="CZ108" s="121" t="s">
        <v>234</v>
      </c>
      <c r="DA108" s="181">
        <f t="shared" si="26"/>
        <v>0.73498964803312627</v>
      </c>
      <c r="DC108" s="246" t="s">
        <v>17</v>
      </c>
      <c r="DD108" s="246">
        <v>3100</v>
      </c>
      <c r="DE108" s="247" t="s">
        <v>636</v>
      </c>
      <c r="DF108" s="248">
        <v>1</v>
      </c>
      <c r="DG108" s="161"/>
      <c r="DH108" s="162">
        <v>4</v>
      </c>
      <c r="DI108" s="162">
        <v>3104</v>
      </c>
      <c r="DJ108" s="163" t="s">
        <v>1726</v>
      </c>
      <c r="DK108" s="169">
        <v>1</v>
      </c>
    </row>
    <row r="109" spans="2:115" ht="11.1" customHeight="1">
      <c r="B109"/>
      <c r="C109"/>
      <c r="D109"/>
      <c r="K109" s="2"/>
      <c r="BM109" s="76">
        <v>10</v>
      </c>
      <c r="BN109" s="66" t="s">
        <v>1338</v>
      </c>
      <c r="BO109" s="192">
        <v>0.72808237176115631</v>
      </c>
      <c r="BP109" s="67"/>
      <c r="BQ109" s="66" t="s">
        <v>1347</v>
      </c>
      <c r="BR109" s="192">
        <v>2.2646298367425675</v>
      </c>
      <c r="BS109" s="67"/>
      <c r="BT109" s="66" t="s">
        <v>1348</v>
      </c>
      <c r="BU109" s="192">
        <v>0.80510864319319242</v>
      </c>
      <c r="BV109" s="67"/>
      <c r="BW109" s="66"/>
      <c r="BX109" s="192"/>
      <c r="BY109" s="67"/>
      <c r="BZ109" s="66" t="s">
        <v>1364</v>
      </c>
      <c r="CA109" s="192">
        <v>0.93681206685690988</v>
      </c>
      <c r="CB109" s="67"/>
      <c r="CC109" s="66" t="s">
        <v>1350</v>
      </c>
      <c r="CD109" s="192">
        <v>3.2394269257566126</v>
      </c>
      <c r="CE109" s="67"/>
      <c r="CF109" s="66" t="s">
        <v>1338</v>
      </c>
      <c r="CG109" s="192">
        <v>0.23776437683116458</v>
      </c>
      <c r="CH109" s="67"/>
      <c r="CI109" s="66" t="s">
        <v>1338</v>
      </c>
      <c r="CJ109" s="192">
        <v>0.23776437683116458</v>
      </c>
      <c r="CX109" s="120">
        <v>6</v>
      </c>
      <c r="CY109" s="120">
        <v>1506</v>
      </c>
      <c r="CZ109" s="121" t="s">
        <v>269</v>
      </c>
      <c r="DA109" s="181">
        <f t="shared" ref="DA109:DA114" si="27">DK59</f>
        <v>0.81487232574189095</v>
      </c>
      <c r="DC109" s="162">
        <v>1</v>
      </c>
      <c r="DD109" s="162">
        <v>3101</v>
      </c>
      <c r="DE109" s="163" t="s">
        <v>1727</v>
      </c>
      <c r="DF109" s="169">
        <v>1.0964458247066942</v>
      </c>
      <c r="DG109" s="161"/>
      <c r="DH109" s="162">
        <v>5</v>
      </c>
      <c r="DI109" s="162">
        <v>3105</v>
      </c>
      <c r="DJ109" s="163" t="s">
        <v>1728</v>
      </c>
      <c r="DK109" s="169">
        <v>1</v>
      </c>
    </row>
    <row r="110" spans="2:115" ht="11.1" customHeight="1">
      <c r="B110"/>
      <c r="C110"/>
      <c r="D110"/>
      <c r="K110" s="2"/>
      <c r="BM110" s="76">
        <v>11</v>
      </c>
      <c r="BN110" s="66" t="s">
        <v>1350</v>
      </c>
      <c r="BO110" s="192">
        <v>2.3585696392518258</v>
      </c>
      <c r="BP110" s="67"/>
      <c r="BQ110" s="66" t="s">
        <v>1660</v>
      </c>
      <c r="BR110" s="192">
        <v>2.3119473764274585</v>
      </c>
      <c r="BS110" s="67"/>
      <c r="BT110" s="66" t="s">
        <v>1353</v>
      </c>
      <c r="BU110" s="192">
        <v>1.6528765406903734</v>
      </c>
      <c r="BV110" s="67"/>
      <c r="BW110" s="66"/>
      <c r="BX110" s="192"/>
      <c r="BY110" s="67"/>
      <c r="BZ110" s="66" t="s">
        <v>1365</v>
      </c>
      <c r="CA110" s="192">
        <v>1.1710053772834041</v>
      </c>
      <c r="CB110" s="67"/>
      <c r="CC110" s="66" t="s">
        <v>1347</v>
      </c>
      <c r="CD110" s="192">
        <v>1.8834009556145277</v>
      </c>
      <c r="CE110" s="67"/>
      <c r="CF110" s="66" t="s">
        <v>1350</v>
      </c>
      <c r="CG110" s="192">
        <v>1</v>
      </c>
      <c r="CH110" s="67"/>
      <c r="CI110" s="66" t="s">
        <v>1350</v>
      </c>
      <c r="CJ110" s="192">
        <v>1</v>
      </c>
      <c r="CX110" s="120">
        <v>7</v>
      </c>
      <c r="CY110" s="120">
        <v>1507</v>
      </c>
      <c r="CZ110" s="121" t="s">
        <v>301</v>
      </c>
      <c r="DA110" s="181">
        <f t="shared" si="27"/>
        <v>0.80753968253968256</v>
      </c>
      <c r="DC110" s="162">
        <v>2</v>
      </c>
      <c r="DD110" s="162">
        <v>3102</v>
      </c>
      <c r="DE110" s="163" t="s">
        <v>1729</v>
      </c>
      <c r="DF110" s="169">
        <v>1</v>
      </c>
      <c r="DG110" s="161"/>
      <c r="DH110" s="162">
        <v>6</v>
      </c>
      <c r="DI110" s="162">
        <v>3106</v>
      </c>
      <c r="DJ110" s="163" t="s">
        <v>1730</v>
      </c>
      <c r="DK110" s="169">
        <v>1</v>
      </c>
    </row>
    <row r="111" spans="2:115" ht="11.1" customHeight="1">
      <c r="B111"/>
      <c r="C111"/>
      <c r="D111"/>
      <c r="K111" s="2"/>
      <c r="BM111" s="76">
        <v>12</v>
      </c>
      <c r="BN111" s="66" t="s">
        <v>1347</v>
      </c>
      <c r="BO111" s="192">
        <v>1.3712710347410537</v>
      </c>
      <c r="BP111" s="67"/>
      <c r="BQ111" s="66" t="s">
        <v>1345</v>
      </c>
      <c r="BR111" s="192">
        <v>0.29048115984294415</v>
      </c>
      <c r="BS111" s="67"/>
      <c r="BT111" s="66" t="s">
        <v>1530</v>
      </c>
      <c r="BU111" s="192"/>
      <c r="BV111" s="67"/>
      <c r="BW111" s="66"/>
      <c r="BX111" s="192"/>
      <c r="BY111" s="67"/>
      <c r="BZ111" s="66" t="s">
        <v>1366</v>
      </c>
      <c r="CA111" s="192">
        <v>1.405218100285365</v>
      </c>
      <c r="CB111" s="67"/>
      <c r="CC111" s="66" t="s">
        <v>1342</v>
      </c>
      <c r="CD111" s="192">
        <v>2.1537070040141311</v>
      </c>
      <c r="CE111" s="67"/>
      <c r="CF111" s="66" t="s">
        <v>1347</v>
      </c>
      <c r="CG111" s="192">
        <v>0.5384483018863585</v>
      </c>
      <c r="CH111" s="67"/>
      <c r="CI111" s="66" t="s">
        <v>1347</v>
      </c>
      <c r="CJ111" s="192">
        <v>0.5384483018863585</v>
      </c>
      <c r="CX111" s="120">
        <v>8</v>
      </c>
      <c r="CY111" s="120">
        <v>1508</v>
      </c>
      <c r="CZ111" s="121" t="s">
        <v>331</v>
      </c>
      <c r="DA111" s="181">
        <f t="shared" si="27"/>
        <v>0.77406832298136652</v>
      </c>
      <c r="DC111" s="162">
        <v>3</v>
      </c>
      <c r="DD111" s="162">
        <v>3103</v>
      </c>
      <c r="DE111" s="163" t="s">
        <v>1731</v>
      </c>
      <c r="DF111" s="169">
        <v>1</v>
      </c>
      <c r="DG111" s="161"/>
      <c r="DH111" s="161"/>
      <c r="DI111" s="161"/>
      <c r="DJ111" s="161"/>
      <c r="DK111" s="170"/>
    </row>
    <row r="112" spans="2:115" ht="11.1" customHeight="1">
      <c r="B112"/>
      <c r="C112"/>
      <c r="D112"/>
      <c r="K112" s="2"/>
      <c r="BM112" s="76">
        <v>13</v>
      </c>
      <c r="BN112" s="66" t="s">
        <v>1342</v>
      </c>
      <c r="BO112" s="192">
        <v>1.568076103561223</v>
      </c>
      <c r="BP112" s="67"/>
      <c r="BQ112" s="66" t="s">
        <v>1348</v>
      </c>
      <c r="BR112" s="192">
        <v>0.98609694826229255</v>
      </c>
      <c r="BS112" s="67"/>
      <c r="BT112" s="66"/>
      <c r="BU112" s="192"/>
      <c r="BV112" s="67"/>
      <c r="BW112" s="66"/>
      <c r="BX112" s="192"/>
      <c r="BY112" s="67"/>
      <c r="BZ112" s="66" t="s">
        <v>1530</v>
      </c>
      <c r="CA112" s="192"/>
      <c r="CB112" s="67"/>
      <c r="CC112" s="66" t="s">
        <v>1660</v>
      </c>
      <c r="CD112" s="192">
        <v>1.9164543903513127</v>
      </c>
      <c r="CE112" s="67"/>
      <c r="CF112" s="66" t="s">
        <v>1342</v>
      </c>
      <c r="CG112" s="192">
        <v>0.68897079578459053</v>
      </c>
      <c r="CH112" s="67"/>
      <c r="CI112" s="66" t="s">
        <v>1342</v>
      </c>
      <c r="CJ112" s="192">
        <v>0.68897079578459053</v>
      </c>
      <c r="CX112" s="120">
        <v>9</v>
      </c>
      <c r="CY112" s="120">
        <v>1509</v>
      </c>
      <c r="CZ112" s="121" t="s">
        <v>358</v>
      </c>
      <c r="DA112" s="181">
        <f t="shared" si="27"/>
        <v>0.7142857142857143</v>
      </c>
      <c r="DC112" s="164"/>
      <c r="DD112" s="164"/>
      <c r="DE112" s="165"/>
      <c r="DF112" s="171"/>
      <c r="DG112" s="161"/>
      <c r="DH112" s="161"/>
      <c r="DI112" s="161"/>
      <c r="DJ112" s="161"/>
      <c r="DK112" s="170"/>
    </row>
    <row r="113" spans="2:115" ht="11.1" customHeight="1">
      <c r="B113"/>
      <c r="C113"/>
      <c r="D113"/>
      <c r="K113" s="2"/>
      <c r="BM113" s="76">
        <v>14</v>
      </c>
      <c r="BN113" s="66" t="s">
        <v>1660</v>
      </c>
      <c r="BO113" s="192">
        <v>1.3953366578990647</v>
      </c>
      <c r="BP113" s="67"/>
      <c r="BQ113" s="66" t="s">
        <v>1353</v>
      </c>
      <c r="BR113" s="192">
        <v>1.9346233415515917</v>
      </c>
      <c r="BS113" s="67"/>
      <c r="BT113" s="66"/>
      <c r="BU113" s="192"/>
      <c r="BV113" s="67"/>
      <c r="BW113" s="66"/>
      <c r="BX113" s="192"/>
      <c r="BY113" s="67"/>
      <c r="BZ113" s="66"/>
      <c r="CA113" s="192"/>
      <c r="CB113" s="67"/>
      <c r="CC113" s="66" t="s">
        <v>1344</v>
      </c>
      <c r="CD113" s="192">
        <v>1.8720262800632923</v>
      </c>
      <c r="CE113" s="67"/>
      <c r="CF113" s="66" t="s">
        <v>1660</v>
      </c>
      <c r="CG113" s="192">
        <v>0.54969872722272062</v>
      </c>
      <c r="CH113" s="67"/>
      <c r="CI113" s="66" t="s">
        <v>1660</v>
      </c>
      <c r="CJ113" s="192">
        <v>0.54969872722272062</v>
      </c>
      <c r="CX113" s="120">
        <v>10</v>
      </c>
      <c r="CY113" s="120">
        <v>1571</v>
      </c>
      <c r="CZ113" s="121" t="s">
        <v>385</v>
      </c>
      <c r="DA113" s="181">
        <f t="shared" si="27"/>
        <v>0.74905106970324364</v>
      </c>
      <c r="DC113" s="155" t="s">
        <v>1192</v>
      </c>
      <c r="DD113" s="156" t="s">
        <v>1535</v>
      </c>
      <c r="DE113" s="157" t="s">
        <v>1629</v>
      </c>
      <c r="DF113" s="167" t="s">
        <v>1537</v>
      </c>
      <c r="DG113" s="158"/>
      <c r="DH113" s="155" t="s">
        <v>1192</v>
      </c>
      <c r="DI113" s="156" t="s">
        <v>1535</v>
      </c>
      <c r="DJ113" s="157" t="s">
        <v>1629</v>
      </c>
      <c r="DK113" s="167" t="s">
        <v>1537</v>
      </c>
    </row>
    <row r="114" spans="2:115" ht="11.1" customHeight="1">
      <c r="B114"/>
      <c r="C114"/>
      <c r="D114"/>
      <c r="K114" s="2"/>
      <c r="BM114" s="76">
        <v>15</v>
      </c>
      <c r="BN114" s="66" t="s">
        <v>1344</v>
      </c>
      <c r="BO114" s="192">
        <v>1.3629893339876966</v>
      </c>
      <c r="BP114" s="67"/>
      <c r="BQ114" s="66" t="s">
        <v>1530</v>
      </c>
      <c r="BR114" s="192"/>
      <c r="BS114" s="67"/>
      <c r="BT114" s="66"/>
      <c r="BU114" s="192"/>
      <c r="BV114" s="67"/>
      <c r="BW114" s="66"/>
      <c r="BX114" s="192"/>
      <c r="BY114" s="67"/>
      <c r="BZ114" s="66"/>
      <c r="CA114" s="192"/>
      <c r="CB114" s="67"/>
      <c r="CC114" s="66" t="s">
        <v>1345</v>
      </c>
      <c r="CD114" s="192">
        <v>0.24899086251385927</v>
      </c>
      <c r="CE114" s="67"/>
      <c r="CF114" s="66" t="s">
        <v>1344</v>
      </c>
      <c r="CG114" s="192">
        <v>0.59309489124585435</v>
      </c>
      <c r="CH114" s="67"/>
      <c r="CI114" s="66" t="s">
        <v>1344</v>
      </c>
      <c r="CJ114" s="192">
        <v>0.59309489124585435</v>
      </c>
      <c r="CX114" s="120">
        <v>11</v>
      </c>
      <c r="CY114" s="120">
        <v>1572</v>
      </c>
      <c r="CZ114" s="121" t="s">
        <v>411</v>
      </c>
      <c r="DA114" s="181">
        <f t="shared" si="27"/>
        <v>0.76035196687370599</v>
      </c>
      <c r="DC114" s="159" t="s">
        <v>18</v>
      </c>
      <c r="DD114" s="159">
        <v>3200</v>
      </c>
      <c r="DE114" s="160" t="s">
        <v>800</v>
      </c>
      <c r="DF114" s="168">
        <v>0.83488612836438925</v>
      </c>
      <c r="DG114" s="161"/>
      <c r="DH114" s="162">
        <v>14</v>
      </c>
      <c r="DI114" s="162">
        <v>3214</v>
      </c>
      <c r="DJ114" s="163" t="s">
        <v>814</v>
      </c>
      <c r="DK114" s="169">
        <v>0.89389233954451353</v>
      </c>
    </row>
    <row r="115" spans="2:115" ht="11.1" customHeight="1">
      <c r="K115" s="2"/>
      <c r="BM115" s="76">
        <v>16</v>
      </c>
      <c r="BN115" s="66" t="s">
        <v>1345</v>
      </c>
      <c r="BO115" s="192">
        <v>0.18128585772594666</v>
      </c>
      <c r="BP115" s="67"/>
      <c r="BQ115" s="66"/>
      <c r="BR115" s="192"/>
      <c r="BS115" s="67"/>
      <c r="BT115" s="66"/>
      <c r="BU115" s="192"/>
      <c r="BV115" s="67"/>
      <c r="BW115" s="66"/>
      <c r="BX115" s="192"/>
      <c r="BY115" s="67"/>
      <c r="BZ115" s="66"/>
      <c r="CA115" s="192"/>
      <c r="CB115" s="67"/>
      <c r="CC115" s="66" t="s">
        <v>1661</v>
      </c>
      <c r="CD115" s="192">
        <v>0.27614517394870874</v>
      </c>
      <c r="CE115" s="67"/>
      <c r="CF115" s="66" t="s">
        <v>1345</v>
      </c>
      <c r="CG115" s="192">
        <v>6.9066071951251515E-2</v>
      </c>
      <c r="CH115" s="67"/>
      <c r="CI115" s="66" t="s">
        <v>1345</v>
      </c>
      <c r="CJ115" s="192">
        <v>6.9066071951251515E-2</v>
      </c>
      <c r="CX115" s="118" t="s">
        <v>12</v>
      </c>
      <c r="CY115" s="118">
        <v>1600</v>
      </c>
      <c r="CZ115" s="119" t="s">
        <v>53</v>
      </c>
      <c r="DA115" s="180">
        <f t="shared" ref="DA115:DA123" si="28">DF67</f>
        <v>0.85093167701863348</v>
      </c>
      <c r="DC115" s="162">
        <v>1</v>
      </c>
      <c r="DD115" s="162">
        <v>3201</v>
      </c>
      <c r="DE115" s="163" t="s">
        <v>801</v>
      </c>
      <c r="DF115" s="169">
        <v>0.93840579710144922</v>
      </c>
      <c r="DG115" s="161"/>
      <c r="DH115" s="162">
        <v>15</v>
      </c>
      <c r="DI115" s="162">
        <v>3215</v>
      </c>
      <c r="DJ115" s="163" t="s">
        <v>815</v>
      </c>
      <c r="DK115" s="169">
        <v>0.8354037267080745</v>
      </c>
    </row>
    <row r="116" spans="2:115" ht="11.1" customHeight="1">
      <c r="K116" s="2"/>
      <c r="BM116" s="76">
        <v>17</v>
      </c>
      <c r="BN116" s="66" t="s">
        <v>1352</v>
      </c>
      <c r="BO116" s="192">
        <v>1.863714771238707</v>
      </c>
      <c r="BP116" s="67"/>
      <c r="BQ116" s="66"/>
      <c r="BR116" s="192"/>
      <c r="BS116" s="67"/>
      <c r="BT116" s="66"/>
      <c r="BU116" s="192"/>
      <c r="BV116" s="67"/>
      <c r="BW116" s="66"/>
      <c r="BX116" s="192"/>
      <c r="BY116" s="67"/>
      <c r="BZ116" s="66"/>
      <c r="CA116" s="192"/>
      <c r="CB116" s="67"/>
      <c r="CC116" s="66" t="s">
        <v>1352</v>
      </c>
      <c r="CD116" s="192">
        <v>2.5597581311171873</v>
      </c>
      <c r="CE116" s="67"/>
      <c r="CF116" s="66" t="s">
        <v>1661</v>
      </c>
      <c r="CG116" s="192">
        <v>9.3991764736304217E-2</v>
      </c>
      <c r="CH116" s="67"/>
      <c r="CI116" s="66" t="s">
        <v>1352</v>
      </c>
      <c r="CJ116" s="192">
        <v>0.76866056165000396</v>
      </c>
      <c r="CX116" s="120">
        <v>1</v>
      </c>
      <c r="CY116" s="120">
        <v>1601</v>
      </c>
      <c r="CZ116" s="121" t="s">
        <v>97</v>
      </c>
      <c r="DA116" s="181">
        <f t="shared" si="28"/>
        <v>0.81211180124223603</v>
      </c>
      <c r="DC116" s="162">
        <v>2</v>
      </c>
      <c r="DD116" s="162">
        <v>3202</v>
      </c>
      <c r="DE116" s="163" t="s">
        <v>802</v>
      </c>
      <c r="DF116" s="169">
        <v>0.81590752242926157</v>
      </c>
      <c r="DG116" s="161"/>
      <c r="DH116" s="162">
        <v>16</v>
      </c>
      <c r="DI116" s="162">
        <v>3216</v>
      </c>
      <c r="DJ116" s="163" t="s">
        <v>816</v>
      </c>
      <c r="DK116" s="169">
        <v>0.8511042097998619</v>
      </c>
    </row>
    <row r="117" spans="2:115" ht="11.1" customHeight="1">
      <c r="K117" s="2"/>
      <c r="BM117" s="76">
        <v>18</v>
      </c>
      <c r="BN117" s="66" t="s">
        <v>1349</v>
      </c>
      <c r="BO117" s="192">
        <v>0.7129337614222141</v>
      </c>
      <c r="BP117" s="67"/>
      <c r="BQ117" s="66"/>
      <c r="BR117" s="192"/>
      <c r="BS117" s="67"/>
      <c r="BT117" s="66"/>
      <c r="BU117" s="192"/>
      <c r="BV117" s="67"/>
      <c r="BW117" s="66"/>
      <c r="BX117" s="192"/>
      <c r="BY117" s="67"/>
      <c r="BZ117" s="66"/>
      <c r="CA117" s="192"/>
      <c r="CB117" s="67"/>
      <c r="CC117" s="66" t="s">
        <v>1348</v>
      </c>
      <c r="CD117" s="192">
        <v>0.80510864319319242</v>
      </c>
      <c r="CE117" s="67"/>
      <c r="CF117" s="66" t="s">
        <v>1352</v>
      </c>
      <c r="CG117" s="192">
        <v>0.76866056165000396</v>
      </c>
      <c r="CH117" s="67"/>
      <c r="CI117" s="66" t="s">
        <v>1348</v>
      </c>
      <c r="CJ117" s="192">
        <v>0.23445872639869714</v>
      </c>
      <c r="CX117" s="120">
        <v>2</v>
      </c>
      <c r="CY117" s="120">
        <v>1602</v>
      </c>
      <c r="CZ117" s="121" t="s">
        <v>132</v>
      </c>
      <c r="DA117" s="181">
        <f t="shared" si="28"/>
        <v>0.80003450655624564</v>
      </c>
      <c r="DC117" s="162">
        <v>3</v>
      </c>
      <c r="DD117" s="162">
        <v>3203</v>
      </c>
      <c r="DE117" s="163" t="s">
        <v>803</v>
      </c>
      <c r="DF117" s="169">
        <v>0.78329882677708762</v>
      </c>
      <c r="DG117" s="161"/>
      <c r="DH117" s="162">
        <v>17</v>
      </c>
      <c r="DI117" s="162">
        <v>3217</v>
      </c>
      <c r="DJ117" s="163" t="s">
        <v>817</v>
      </c>
      <c r="DK117" s="169">
        <v>0.78053830227743271</v>
      </c>
    </row>
    <row r="118" spans="2:115" ht="11.1" customHeight="1">
      <c r="K118" s="2"/>
      <c r="BM118" s="76">
        <v>19</v>
      </c>
      <c r="BN118" s="66" t="s">
        <v>1353</v>
      </c>
      <c r="BO118" s="192">
        <v>1.2034302719742225</v>
      </c>
      <c r="BP118" s="67"/>
      <c r="BQ118" s="66"/>
      <c r="BR118" s="192"/>
      <c r="BS118" s="67"/>
      <c r="BT118" s="66"/>
      <c r="BU118" s="192"/>
      <c r="BV118" s="67"/>
      <c r="BW118" s="66"/>
      <c r="BX118" s="192"/>
      <c r="BY118" s="67"/>
      <c r="BZ118" s="66"/>
      <c r="CA118" s="192"/>
      <c r="CB118" s="67"/>
      <c r="CC118" s="66" t="s">
        <v>1349</v>
      </c>
      <c r="CD118" s="192">
        <v>0.97919382349238948</v>
      </c>
      <c r="CE118" s="67"/>
      <c r="CF118" s="66" t="s">
        <v>1348</v>
      </c>
      <c r="CG118" s="192">
        <v>0.23445872639869714</v>
      </c>
      <c r="CH118" s="67"/>
      <c r="CI118" s="66" t="s">
        <v>1349</v>
      </c>
      <c r="CJ118" s="192">
        <v>0.29664385862148979</v>
      </c>
      <c r="CX118" s="120">
        <v>3</v>
      </c>
      <c r="CY118" s="120">
        <v>1603</v>
      </c>
      <c r="CZ118" s="121" t="s">
        <v>166</v>
      </c>
      <c r="DA118" s="181">
        <f t="shared" si="28"/>
        <v>0.81849551414768806</v>
      </c>
      <c r="DC118" s="162">
        <v>4</v>
      </c>
      <c r="DD118" s="162">
        <v>3204</v>
      </c>
      <c r="DE118" s="163" t="s">
        <v>804</v>
      </c>
      <c r="DF118" s="169">
        <v>0.85403726708074534</v>
      </c>
      <c r="DG118" s="161"/>
      <c r="DH118" s="162">
        <v>18</v>
      </c>
      <c r="DI118" s="162">
        <v>3218</v>
      </c>
      <c r="DJ118" s="163" t="s">
        <v>818</v>
      </c>
      <c r="DK118" s="169">
        <v>0.77234299516908211</v>
      </c>
    </row>
    <row r="119" spans="2:115" ht="11.1" customHeight="1">
      <c r="K119" s="2"/>
      <c r="BM119" s="76">
        <v>20</v>
      </c>
      <c r="BN119" s="66" t="s">
        <v>1351</v>
      </c>
      <c r="BO119" s="192">
        <v>0.86021308176248579</v>
      </c>
      <c r="BP119" s="67"/>
      <c r="BQ119" s="66"/>
      <c r="BR119" s="192"/>
      <c r="BS119" s="67"/>
      <c r="BT119" s="66"/>
      <c r="BU119" s="192"/>
      <c r="BV119" s="67"/>
      <c r="BW119" s="66"/>
      <c r="BX119" s="192"/>
      <c r="BY119" s="67"/>
      <c r="BZ119" s="66"/>
      <c r="CA119" s="192"/>
      <c r="CB119" s="67"/>
      <c r="CC119" s="66" t="s">
        <v>1353</v>
      </c>
      <c r="CD119" s="192">
        <v>1.6528765406903734</v>
      </c>
      <c r="CE119" s="67"/>
      <c r="CF119" s="66" t="s">
        <v>1349</v>
      </c>
      <c r="CG119" s="192">
        <v>0.29664385862148979</v>
      </c>
      <c r="CH119" s="67"/>
      <c r="CI119" s="66" t="s">
        <v>1353</v>
      </c>
      <c r="CJ119" s="192">
        <v>0.45998451320703948</v>
      </c>
      <c r="CX119" s="120">
        <v>4</v>
      </c>
      <c r="CY119" s="120">
        <v>1604</v>
      </c>
      <c r="CZ119" s="121" t="s">
        <v>200</v>
      </c>
      <c r="DA119" s="181">
        <f t="shared" si="28"/>
        <v>0.81487232574189095</v>
      </c>
      <c r="DC119" s="162">
        <v>5</v>
      </c>
      <c r="DD119" s="162">
        <v>3205</v>
      </c>
      <c r="DE119" s="163" t="s">
        <v>805</v>
      </c>
      <c r="DF119" s="169">
        <v>0.80331262939958592</v>
      </c>
      <c r="DG119" s="161"/>
      <c r="DH119" s="162">
        <v>19</v>
      </c>
      <c r="DI119" s="162">
        <v>3271</v>
      </c>
      <c r="DJ119" s="163" t="s">
        <v>819</v>
      </c>
      <c r="DK119" s="169">
        <v>0.82289510006901312</v>
      </c>
    </row>
    <row r="120" spans="2:115" ht="11.1" customHeight="1">
      <c r="K120" s="2"/>
      <c r="BM120" s="76">
        <v>21</v>
      </c>
      <c r="BN120" s="66" t="s">
        <v>1530</v>
      </c>
      <c r="BO120" s="192"/>
      <c r="BP120" s="67"/>
      <c r="BQ120" s="66"/>
      <c r="BR120" s="192"/>
      <c r="BS120" s="67"/>
      <c r="BT120" s="66"/>
      <c r="BU120" s="192"/>
      <c r="BV120" s="67"/>
      <c r="BW120" s="66"/>
      <c r="BX120" s="192"/>
      <c r="BY120" s="67"/>
      <c r="BZ120" s="66"/>
      <c r="CA120" s="192"/>
      <c r="CB120" s="67"/>
      <c r="CC120" s="66" t="s">
        <v>1351</v>
      </c>
      <c r="CD120" s="192">
        <v>1.1814776941813863</v>
      </c>
      <c r="CE120" s="67"/>
      <c r="CF120" s="66" t="s">
        <v>1353</v>
      </c>
      <c r="CG120" s="192">
        <v>0.45998451320703948</v>
      </c>
      <c r="CH120" s="67"/>
      <c r="CI120" s="66" t="s">
        <v>1351</v>
      </c>
      <c r="CJ120" s="192">
        <v>0.29953409198668657</v>
      </c>
      <c r="CX120" s="120">
        <v>5</v>
      </c>
      <c r="CY120" s="120">
        <v>1605</v>
      </c>
      <c r="CZ120" s="121" t="s">
        <v>235</v>
      </c>
      <c r="DA120" s="181">
        <f t="shared" si="28"/>
        <v>0.88302277432712217</v>
      </c>
      <c r="DC120" s="162">
        <v>6</v>
      </c>
      <c r="DD120" s="162">
        <v>3206</v>
      </c>
      <c r="DE120" s="163" t="s">
        <v>806</v>
      </c>
      <c r="DF120" s="169">
        <v>0.8575741890959282</v>
      </c>
      <c r="DG120" s="161"/>
      <c r="DH120" s="162">
        <v>20</v>
      </c>
      <c r="DI120" s="162">
        <v>3272</v>
      </c>
      <c r="DJ120" s="163" t="s">
        <v>820</v>
      </c>
      <c r="DK120" s="169">
        <v>0.78674948240165632</v>
      </c>
    </row>
    <row r="121" spans="2:115" ht="11.1" customHeight="1">
      <c r="K121" s="2"/>
      <c r="BM121" s="76">
        <v>22</v>
      </c>
      <c r="BN121" s="66"/>
      <c r="BO121" s="192"/>
      <c r="BP121" s="67"/>
      <c r="BQ121" s="66"/>
      <c r="BR121" s="192"/>
      <c r="BS121" s="67"/>
      <c r="BT121" s="66"/>
      <c r="BU121" s="192"/>
      <c r="BV121" s="67"/>
      <c r="BW121" s="66"/>
      <c r="BX121" s="192"/>
      <c r="BY121" s="67"/>
      <c r="BZ121" s="66"/>
      <c r="CA121" s="192"/>
      <c r="CB121" s="67"/>
      <c r="CC121" s="66" t="s">
        <v>1530</v>
      </c>
      <c r="CD121" s="192"/>
      <c r="CE121" s="67"/>
      <c r="CF121" s="66" t="s">
        <v>1351</v>
      </c>
      <c r="CG121" s="192">
        <v>0.29953409198668657</v>
      </c>
      <c r="CH121" s="67"/>
      <c r="CI121" s="66" t="s">
        <v>1530</v>
      </c>
      <c r="CJ121" s="192"/>
      <c r="CX121" s="120">
        <v>6</v>
      </c>
      <c r="CY121" s="120">
        <v>1606</v>
      </c>
      <c r="CZ121" s="121" t="s">
        <v>270</v>
      </c>
      <c r="DA121" s="181">
        <f t="shared" si="28"/>
        <v>0.84842995169082125</v>
      </c>
      <c r="DC121" s="162">
        <v>7</v>
      </c>
      <c r="DD121" s="162">
        <v>3207</v>
      </c>
      <c r="DE121" s="163" t="s">
        <v>807</v>
      </c>
      <c r="DF121" s="169">
        <v>0.77751897860593511</v>
      </c>
      <c r="DG121" s="161"/>
      <c r="DH121" s="162">
        <v>21</v>
      </c>
      <c r="DI121" s="162">
        <v>3273</v>
      </c>
      <c r="DJ121" s="163" t="s">
        <v>821</v>
      </c>
      <c r="DK121" s="169">
        <v>0.8889751552795031</v>
      </c>
    </row>
    <row r="122" spans="2:115" ht="11.1" customHeight="1">
      <c r="K122" s="2"/>
      <c r="BM122" s="76">
        <v>23</v>
      </c>
      <c r="BN122" s="66"/>
      <c r="BO122" s="192"/>
      <c r="BP122" s="67"/>
      <c r="BQ122" s="66"/>
      <c r="BR122" s="192"/>
      <c r="BS122" s="67"/>
      <c r="BT122" s="66"/>
      <c r="BU122" s="192"/>
      <c r="BV122" s="67"/>
      <c r="BW122" s="66"/>
      <c r="BX122" s="192"/>
      <c r="BY122" s="67"/>
      <c r="BZ122" s="66"/>
      <c r="CA122" s="192"/>
      <c r="CB122" s="67"/>
      <c r="CC122" s="66"/>
      <c r="CD122" s="192"/>
      <c r="CE122" s="67"/>
      <c r="CF122" s="66" t="s">
        <v>1530</v>
      </c>
      <c r="CG122" s="192"/>
      <c r="CH122" s="67"/>
      <c r="CI122" s="66"/>
      <c r="CJ122" s="192"/>
      <c r="CX122" s="120">
        <v>7</v>
      </c>
      <c r="CY122" s="120">
        <v>1607</v>
      </c>
      <c r="CZ122" s="121" t="s">
        <v>302</v>
      </c>
      <c r="DA122" s="181">
        <f t="shared" si="28"/>
        <v>0.90338164251207731</v>
      </c>
      <c r="DC122" s="162">
        <v>8</v>
      </c>
      <c r="DD122" s="162">
        <v>3208</v>
      </c>
      <c r="DE122" s="163" t="s">
        <v>808</v>
      </c>
      <c r="DF122" s="169">
        <v>0.84385783298826766</v>
      </c>
      <c r="DG122" s="161"/>
      <c r="DH122" s="162">
        <v>22</v>
      </c>
      <c r="DI122" s="162">
        <v>3274</v>
      </c>
      <c r="DJ122" s="163" t="s">
        <v>822</v>
      </c>
      <c r="DK122" s="169">
        <v>0.78329882677708762</v>
      </c>
    </row>
    <row r="123" spans="2:115" ht="11.1" customHeight="1">
      <c r="K123" s="2"/>
      <c r="BM123" s="76">
        <v>24</v>
      </c>
      <c r="BN123" s="66"/>
      <c r="BO123" s="192"/>
      <c r="BP123" s="67"/>
      <c r="BQ123" s="66"/>
      <c r="BR123" s="192"/>
      <c r="BS123" s="67"/>
      <c r="BT123" s="66"/>
      <c r="BU123" s="192"/>
      <c r="BV123" s="67"/>
      <c r="BW123" s="66"/>
      <c r="BX123" s="192"/>
      <c r="BY123" s="67"/>
      <c r="BZ123" s="66"/>
      <c r="CA123" s="192"/>
      <c r="CB123" s="67"/>
      <c r="CC123" s="66"/>
      <c r="CD123" s="192"/>
      <c r="CE123" s="67"/>
      <c r="CF123" s="66"/>
      <c r="CG123" s="192"/>
      <c r="CH123" s="67"/>
      <c r="CI123" s="66"/>
      <c r="CJ123" s="192"/>
      <c r="CX123" s="120">
        <v>8</v>
      </c>
      <c r="CY123" s="120">
        <v>1608</v>
      </c>
      <c r="CZ123" s="121" t="s">
        <v>332</v>
      </c>
      <c r="DA123" s="181">
        <f t="shared" si="28"/>
        <v>0.8218599033816425</v>
      </c>
      <c r="DC123" s="162">
        <v>9</v>
      </c>
      <c r="DD123" s="162">
        <v>3209</v>
      </c>
      <c r="DE123" s="163" t="s">
        <v>809</v>
      </c>
      <c r="DF123" s="169">
        <v>0.86982401656314701</v>
      </c>
      <c r="DG123" s="161"/>
      <c r="DH123" s="162">
        <v>23</v>
      </c>
      <c r="DI123" s="162">
        <v>3275</v>
      </c>
      <c r="DJ123" s="163" t="s">
        <v>823</v>
      </c>
      <c r="DK123" s="169">
        <v>0.88500690131124915</v>
      </c>
    </row>
    <row r="124" spans="2:115" ht="11.1" customHeight="1">
      <c r="K124" s="2"/>
      <c r="BM124" s="76">
        <v>25</v>
      </c>
      <c r="BN124" s="66"/>
      <c r="BO124" s="192"/>
      <c r="BP124" s="67"/>
      <c r="BQ124" s="66"/>
      <c r="BR124" s="192"/>
      <c r="BS124" s="67"/>
      <c r="BT124" s="66"/>
      <c r="BU124" s="192"/>
      <c r="BV124" s="67"/>
      <c r="BW124" s="66"/>
      <c r="BX124" s="192"/>
      <c r="BY124" s="67"/>
      <c r="BZ124" s="66"/>
      <c r="CA124" s="192"/>
      <c r="CB124" s="67"/>
      <c r="CC124" s="66"/>
      <c r="CD124" s="192"/>
      <c r="CE124" s="67"/>
      <c r="CF124" s="66"/>
      <c r="CG124" s="192"/>
      <c r="CH124" s="67"/>
      <c r="CI124" s="66"/>
      <c r="CJ124" s="192"/>
      <c r="CX124" s="120">
        <v>9</v>
      </c>
      <c r="CY124" s="120">
        <v>1609</v>
      </c>
      <c r="CZ124" s="121" t="s">
        <v>359</v>
      </c>
      <c r="DA124" s="181">
        <f t="shared" ref="DA124:DA132" si="29">DK67</f>
        <v>0.83324706694271911</v>
      </c>
      <c r="DC124" s="162">
        <v>10</v>
      </c>
      <c r="DD124" s="162">
        <v>3210</v>
      </c>
      <c r="DE124" s="163" t="s">
        <v>810</v>
      </c>
      <c r="DF124" s="169">
        <v>0.83738785369220148</v>
      </c>
      <c r="DG124" s="161"/>
      <c r="DH124" s="162">
        <v>24</v>
      </c>
      <c r="DI124" s="162">
        <v>3276</v>
      </c>
      <c r="DJ124" s="163" t="s">
        <v>824</v>
      </c>
      <c r="DK124" s="169">
        <v>0.93944099378881996</v>
      </c>
    </row>
    <row r="125" spans="2:115" ht="11.1" customHeight="1">
      <c r="K125" s="2"/>
      <c r="BM125" s="54"/>
      <c r="BN125" s="73"/>
      <c r="BO125" s="193"/>
      <c r="BQ125" s="73"/>
      <c r="BR125" s="193"/>
      <c r="BT125" s="73"/>
      <c r="BU125" s="193"/>
      <c r="BW125" s="73"/>
      <c r="BX125" s="193"/>
      <c r="CX125" s="120">
        <v>10</v>
      </c>
      <c r="CY125" s="120">
        <v>1610</v>
      </c>
      <c r="CZ125" s="121" t="s">
        <v>386</v>
      </c>
      <c r="DA125" s="181">
        <f t="shared" si="29"/>
        <v>0.90545203588681844</v>
      </c>
      <c r="DC125" s="162">
        <v>11</v>
      </c>
      <c r="DD125" s="162">
        <v>3211</v>
      </c>
      <c r="DE125" s="163" t="s">
        <v>811</v>
      </c>
      <c r="DF125" s="169">
        <v>0.80314009661835739</v>
      </c>
      <c r="DG125" s="161"/>
      <c r="DH125" s="162">
        <v>25</v>
      </c>
      <c r="DI125" s="162">
        <v>3277</v>
      </c>
      <c r="DJ125" s="163" t="s">
        <v>825</v>
      </c>
      <c r="DK125" s="169">
        <v>0.86206004140786752</v>
      </c>
    </row>
    <row r="126" spans="2:115" ht="11.1" customHeight="1">
      <c r="K126" s="2"/>
      <c r="BM126" s="73"/>
      <c r="BN126" s="73"/>
      <c r="BO126" s="193"/>
      <c r="BQ126" s="73"/>
      <c r="BR126" s="193"/>
      <c r="BT126" s="73"/>
      <c r="BU126" s="193"/>
      <c r="BW126" s="73"/>
      <c r="BX126" s="193"/>
      <c r="CX126" s="120">
        <v>11</v>
      </c>
      <c r="CY126" s="120">
        <v>1611</v>
      </c>
      <c r="CZ126" s="121" t="s">
        <v>412</v>
      </c>
      <c r="DA126" s="181">
        <f t="shared" si="29"/>
        <v>0.86965148378191859</v>
      </c>
      <c r="DC126" s="162">
        <v>12</v>
      </c>
      <c r="DD126" s="162">
        <v>3212</v>
      </c>
      <c r="DE126" s="163" t="s">
        <v>812</v>
      </c>
      <c r="DF126" s="169">
        <v>0.88914768806073152</v>
      </c>
      <c r="DG126" s="161"/>
      <c r="DH126" s="162">
        <v>26</v>
      </c>
      <c r="DI126" s="162">
        <v>3278</v>
      </c>
      <c r="DJ126" s="163" t="s">
        <v>826</v>
      </c>
      <c r="DK126" s="169">
        <v>0.82332643202208411</v>
      </c>
    </row>
    <row r="127" spans="2:115" ht="11.1" customHeight="1">
      <c r="K127" s="2"/>
      <c r="BM127" s="70"/>
      <c r="BN127" s="70"/>
      <c r="BO127" s="188"/>
      <c r="BQ127" s="70"/>
      <c r="BR127" s="188"/>
      <c r="BT127" s="70"/>
      <c r="BU127" s="188"/>
      <c r="BW127" s="73"/>
      <c r="BX127" s="193"/>
      <c r="CX127" s="120">
        <v>12</v>
      </c>
      <c r="CY127" s="120">
        <v>1612</v>
      </c>
      <c r="CZ127" s="121" t="s">
        <v>433</v>
      </c>
      <c r="DA127" s="181">
        <f t="shared" si="29"/>
        <v>0.81513112491373352</v>
      </c>
      <c r="DC127" s="162">
        <v>13</v>
      </c>
      <c r="DD127" s="162">
        <v>3213</v>
      </c>
      <c r="DE127" s="163" t="s">
        <v>813</v>
      </c>
      <c r="DF127" s="169">
        <v>0.8209972394755003</v>
      </c>
      <c r="DG127" s="161"/>
      <c r="DH127" s="162">
        <v>27</v>
      </c>
      <c r="DI127" s="162">
        <v>3279</v>
      </c>
      <c r="DJ127" s="163" t="s">
        <v>827</v>
      </c>
      <c r="DK127" s="169">
        <v>0.7594893029675639</v>
      </c>
    </row>
    <row r="128" spans="2:115" ht="11.1" customHeight="1">
      <c r="K128" s="2"/>
      <c r="CX128" s="120">
        <v>13</v>
      </c>
      <c r="CY128" s="120">
        <v>1613</v>
      </c>
      <c r="CZ128" s="121" t="s">
        <v>452</v>
      </c>
      <c r="DA128" s="181">
        <f t="shared" si="29"/>
        <v>0.89380607315389926</v>
      </c>
      <c r="DC128" s="161"/>
      <c r="DD128" s="161"/>
      <c r="DE128" s="161"/>
      <c r="DF128" s="170"/>
      <c r="DG128" s="161"/>
      <c r="DH128" s="161"/>
      <c r="DI128" s="161"/>
      <c r="DJ128" s="161"/>
      <c r="DK128" s="170"/>
    </row>
    <row r="129" spans="11:115" ht="11.1" customHeight="1">
      <c r="K129" s="2"/>
      <c r="CX129" s="120">
        <v>14</v>
      </c>
      <c r="CY129" s="120">
        <v>1671</v>
      </c>
      <c r="CZ129" s="121" t="s">
        <v>471</v>
      </c>
      <c r="DA129" s="181">
        <f t="shared" si="29"/>
        <v>0.84799861973775015</v>
      </c>
      <c r="DC129" s="155" t="s">
        <v>1192</v>
      </c>
      <c r="DD129" s="156" t="s">
        <v>1535</v>
      </c>
      <c r="DE129" s="157" t="s">
        <v>1629</v>
      </c>
      <c r="DF129" s="167" t="s">
        <v>1537</v>
      </c>
      <c r="DG129" s="158"/>
      <c r="DH129" s="155" t="s">
        <v>1192</v>
      </c>
      <c r="DI129" s="156" t="s">
        <v>1535</v>
      </c>
      <c r="DJ129" s="157" t="s">
        <v>1629</v>
      </c>
      <c r="DK129" s="167" t="s">
        <v>1537</v>
      </c>
    </row>
    <row r="130" spans="11:115" ht="11.1" customHeight="1">
      <c r="K130" s="2"/>
      <c r="CX130" s="120">
        <v>15</v>
      </c>
      <c r="CY130" s="120">
        <v>1672</v>
      </c>
      <c r="CZ130" s="121" t="s">
        <v>487</v>
      </c>
      <c r="DA130" s="181">
        <f t="shared" si="29"/>
        <v>0.84428916494133888</v>
      </c>
      <c r="DC130" s="159" t="s">
        <v>1538</v>
      </c>
      <c r="DD130" s="159">
        <v>3300</v>
      </c>
      <c r="DE130" s="160" t="s">
        <v>828</v>
      </c>
      <c r="DF130" s="168">
        <v>0.8027087646652864</v>
      </c>
      <c r="DG130" s="161"/>
      <c r="DH130" s="162">
        <v>18</v>
      </c>
      <c r="DI130" s="162">
        <v>3318</v>
      </c>
      <c r="DJ130" s="163" t="s">
        <v>846</v>
      </c>
      <c r="DK130" s="169">
        <v>0.83091787439613518</v>
      </c>
    </row>
    <row r="131" spans="11:115" ht="11.1" customHeight="1">
      <c r="K131" s="2"/>
      <c r="CX131" s="120">
        <v>16</v>
      </c>
      <c r="CY131" s="120">
        <v>1673</v>
      </c>
      <c r="CZ131" s="121" t="s">
        <v>501</v>
      </c>
      <c r="DA131" s="181">
        <f t="shared" si="29"/>
        <v>0.86516563146997938</v>
      </c>
      <c r="DC131" s="162">
        <v>1</v>
      </c>
      <c r="DD131" s="162">
        <v>3301</v>
      </c>
      <c r="DE131" s="163" t="s">
        <v>829</v>
      </c>
      <c r="DF131" s="169">
        <v>0.76949620427881293</v>
      </c>
      <c r="DG131" s="161"/>
      <c r="DH131" s="162">
        <v>19</v>
      </c>
      <c r="DI131" s="162">
        <v>3319</v>
      </c>
      <c r="DJ131" s="163" t="s">
        <v>847</v>
      </c>
      <c r="DK131" s="169">
        <v>0.80909247757073843</v>
      </c>
    </row>
    <row r="132" spans="11:115" ht="11.1" customHeight="1">
      <c r="K132" s="2"/>
      <c r="CX132" s="120">
        <v>17</v>
      </c>
      <c r="CY132" s="120">
        <v>1674</v>
      </c>
      <c r="CZ132" s="121" t="s">
        <v>513</v>
      </c>
      <c r="DA132" s="181">
        <f t="shared" si="29"/>
        <v>0.90148378191856449</v>
      </c>
      <c r="DC132" s="162">
        <v>2</v>
      </c>
      <c r="DD132" s="162">
        <v>3302</v>
      </c>
      <c r="DE132" s="163" t="s">
        <v>830</v>
      </c>
      <c r="DF132" s="169">
        <v>0.74560041407867494</v>
      </c>
      <c r="DG132" s="161"/>
      <c r="DH132" s="162">
        <v>20</v>
      </c>
      <c r="DI132" s="162">
        <v>3320</v>
      </c>
      <c r="DJ132" s="163" t="s">
        <v>848</v>
      </c>
      <c r="DK132" s="169">
        <v>0.86421670117322291</v>
      </c>
    </row>
    <row r="133" spans="11:115" ht="11.1" customHeight="1">
      <c r="K133" s="2"/>
      <c r="CX133" s="118" t="s">
        <v>13</v>
      </c>
      <c r="CY133" s="118">
        <v>1700</v>
      </c>
      <c r="CZ133" s="119" t="s">
        <v>24</v>
      </c>
      <c r="DA133" s="180">
        <f t="shared" ref="DA133:DA138" si="30">DF78</f>
        <v>0.80460662525879911</v>
      </c>
      <c r="DC133" s="162">
        <v>3</v>
      </c>
      <c r="DD133" s="162">
        <v>3303</v>
      </c>
      <c r="DE133" s="163" t="s">
        <v>831</v>
      </c>
      <c r="DF133" s="169">
        <v>0.74792960662525876</v>
      </c>
      <c r="DG133" s="161"/>
      <c r="DH133" s="162">
        <v>21</v>
      </c>
      <c r="DI133" s="162">
        <v>3321</v>
      </c>
      <c r="DJ133" s="163" t="s">
        <v>849</v>
      </c>
      <c r="DK133" s="169">
        <v>0.83221187025534848</v>
      </c>
    </row>
    <row r="134" spans="11:115" ht="11.1" customHeight="1">
      <c r="K134" s="2"/>
      <c r="CX134" s="120">
        <v>1</v>
      </c>
      <c r="CY134" s="120">
        <v>1701</v>
      </c>
      <c r="CZ134" s="121" t="s">
        <v>98</v>
      </c>
      <c r="DA134" s="181">
        <f t="shared" si="30"/>
        <v>0.77329192546583847</v>
      </c>
      <c r="DC134" s="162">
        <v>4</v>
      </c>
      <c r="DD134" s="162">
        <v>3304</v>
      </c>
      <c r="DE134" s="163" t="s">
        <v>832</v>
      </c>
      <c r="DF134" s="169">
        <v>0.77915804002760514</v>
      </c>
      <c r="DG134" s="161"/>
      <c r="DH134" s="162">
        <v>22</v>
      </c>
      <c r="DI134" s="162">
        <v>3322</v>
      </c>
      <c r="DJ134" s="163" t="s">
        <v>850</v>
      </c>
      <c r="DK134" s="169">
        <v>0.87750172532781223</v>
      </c>
    </row>
    <row r="135" spans="11:115" ht="11.1" customHeight="1">
      <c r="K135" s="2"/>
      <c r="CX135" s="120">
        <v>2</v>
      </c>
      <c r="CY135" s="120">
        <v>1702</v>
      </c>
      <c r="CZ135" s="121" t="s">
        <v>133</v>
      </c>
      <c r="DA135" s="181">
        <f t="shared" si="30"/>
        <v>0.81124913733609394</v>
      </c>
      <c r="DC135" s="162">
        <v>5</v>
      </c>
      <c r="DD135" s="162">
        <v>3305</v>
      </c>
      <c r="DE135" s="163" t="s">
        <v>833</v>
      </c>
      <c r="DF135" s="169">
        <v>0.73136645962732916</v>
      </c>
      <c r="DG135" s="161"/>
      <c r="DH135" s="162">
        <v>23</v>
      </c>
      <c r="DI135" s="162">
        <v>3323</v>
      </c>
      <c r="DJ135" s="163" t="s">
        <v>851</v>
      </c>
      <c r="DK135" s="169">
        <v>0.79684265010351973</v>
      </c>
    </row>
    <row r="136" spans="11:115" ht="11.1" customHeight="1">
      <c r="K136" s="2"/>
      <c r="CX136" s="120">
        <v>3</v>
      </c>
      <c r="CY136" s="120">
        <v>1703</v>
      </c>
      <c r="CZ136" s="121" t="s">
        <v>167</v>
      </c>
      <c r="DA136" s="181">
        <f t="shared" si="30"/>
        <v>0.79382332643202203</v>
      </c>
      <c r="DC136" s="162">
        <v>6</v>
      </c>
      <c r="DD136" s="162">
        <v>3306</v>
      </c>
      <c r="DE136" s="163" t="s">
        <v>834</v>
      </c>
      <c r="DF136" s="169">
        <v>0.77070393374741197</v>
      </c>
      <c r="DG136" s="161"/>
      <c r="DH136" s="162">
        <v>24</v>
      </c>
      <c r="DI136" s="162">
        <v>3324</v>
      </c>
      <c r="DJ136" s="163" t="s">
        <v>852</v>
      </c>
      <c r="DK136" s="169">
        <v>0.80848861283643891</v>
      </c>
    </row>
    <row r="137" spans="11:115" ht="11.1" customHeight="1">
      <c r="K137" s="2"/>
      <c r="CX137" s="120">
        <v>4</v>
      </c>
      <c r="CY137" s="120">
        <v>1704</v>
      </c>
      <c r="CZ137" s="121" t="s">
        <v>201</v>
      </c>
      <c r="DA137" s="181">
        <f t="shared" si="30"/>
        <v>0.78105590062111807</v>
      </c>
      <c r="DC137" s="162">
        <v>7</v>
      </c>
      <c r="DD137" s="162">
        <v>3307</v>
      </c>
      <c r="DE137" s="163" t="s">
        <v>835</v>
      </c>
      <c r="DF137" s="169">
        <v>0.78278122843340225</v>
      </c>
      <c r="DG137" s="161"/>
      <c r="DH137" s="162">
        <v>25</v>
      </c>
      <c r="DI137" s="162">
        <v>3325</v>
      </c>
      <c r="DJ137" s="163" t="s">
        <v>853</v>
      </c>
      <c r="DK137" s="169">
        <v>0.79373706004140787</v>
      </c>
    </row>
    <row r="138" spans="11:115" ht="11.1" customHeight="1">
      <c r="K138" s="2"/>
      <c r="CX138" s="120">
        <v>5</v>
      </c>
      <c r="CY138" s="120">
        <v>1705</v>
      </c>
      <c r="CZ138" s="121" t="s">
        <v>236</v>
      </c>
      <c r="DA138" s="181">
        <f t="shared" si="30"/>
        <v>0.79891304347826086</v>
      </c>
      <c r="DC138" s="162">
        <v>8</v>
      </c>
      <c r="DD138" s="162">
        <v>3308</v>
      </c>
      <c r="DE138" s="163" t="s">
        <v>836</v>
      </c>
      <c r="DF138" s="169">
        <v>0.77803657694962036</v>
      </c>
      <c r="DG138" s="161"/>
      <c r="DH138" s="162">
        <v>26</v>
      </c>
      <c r="DI138" s="162">
        <v>3326</v>
      </c>
      <c r="DJ138" s="163" t="s">
        <v>854</v>
      </c>
      <c r="DK138" s="169">
        <v>0.79675638371290547</v>
      </c>
    </row>
    <row r="139" spans="11:115" ht="11.1" customHeight="1">
      <c r="K139" s="2"/>
      <c r="CX139" s="120">
        <v>6</v>
      </c>
      <c r="CY139" s="120">
        <v>1706</v>
      </c>
      <c r="CZ139" s="121" t="s">
        <v>271</v>
      </c>
      <c r="DA139" s="181">
        <f>DK78</f>
        <v>0.88707729468599028</v>
      </c>
      <c r="DC139" s="162">
        <v>9</v>
      </c>
      <c r="DD139" s="162">
        <v>3309</v>
      </c>
      <c r="DE139" s="163" t="s">
        <v>837</v>
      </c>
      <c r="DF139" s="169">
        <v>0.80598688750862668</v>
      </c>
      <c r="DG139" s="161"/>
      <c r="DH139" s="162">
        <v>27</v>
      </c>
      <c r="DI139" s="162">
        <v>3327</v>
      </c>
      <c r="DJ139" s="163" t="s">
        <v>855</v>
      </c>
      <c r="DK139" s="169">
        <v>0.87189440993788814</v>
      </c>
    </row>
    <row r="140" spans="11:115" ht="11.1" customHeight="1">
      <c r="K140" s="2"/>
      <c r="CX140" s="120">
        <v>7</v>
      </c>
      <c r="CY140" s="120">
        <v>1707</v>
      </c>
      <c r="CZ140" s="121" t="s">
        <v>303</v>
      </c>
      <c r="DA140" s="181">
        <f>DK79</f>
        <v>0.81875431331953064</v>
      </c>
      <c r="DC140" s="162">
        <v>10</v>
      </c>
      <c r="DD140" s="162">
        <v>3310</v>
      </c>
      <c r="DE140" s="163" t="s">
        <v>838</v>
      </c>
      <c r="DF140" s="169">
        <v>0.80193236714975835</v>
      </c>
      <c r="DG140" s="161"/>
      <c r="DH140" s="162">
        <v>28</v>
      </c>
      <c r="DI140" s="162">
        <v>3328</v>
      </c>
      <c r="DJ140" s="163" t="s">
        <v>856</v>
      </c>
      <c r="DK140" s="169">
        <v>0.76647688060731534</v>
      </c>
    </row>
    <row r="141" spans="11:115" ht="11.1" customHeight="1">
      <c r="K141" s="2"/>
      <c r="CX141" s="120">
        <v>8</v>
      </c>
      <c r="CY141" s="120">
        <v>1708</v>
      </c>
      <c r="CZ141" s="121" t="s">
        <v>333</v>
      </c>
      <c r="DA141" s="181">
        <f>DK80</f>
        <v>0.77760524499654937</v>
      </c>
      <c r="DC141" s="162">
        <v>11</v>
      </c>
      <c r="DD141" s="162">
        <v>3311</v>
      </c>
      <c r="DE141" s="163" t="s">
        <v>839</v>
      </c>
      <c r="DF141" s="169">
        <v>0.79805037957211877</v>
      </c>
      <c r="DG141" s="161"/>
      <c r="DH141" s="162">
        <v>29</v>
      </c>
      <c r="DI141" s="162">
        <v>3329</v>
      </c>
      <c r="DJ141" s="163" t="s">
        <v>857</v>
      </c>
      <c r="DK141" s="169">
        <v>0.81375086266390606</v>
      </c>
    </row>
    <row r="142" spans="11:115" ht="11.1" customHeight="1">
      <c r="K142" s="2"/>
      <c r="CX142" s="120">
        <v>9</v>
      </c>
      <c r="CY142" s="120">
        <v>1709</v>
      </c>
      <c r="CZ142" s="121" t="s">
        <v>360</v>
      </c>
      <c r="DA142" s="181">
        <f>DK81</f>
        <v>0.7887336093857833</v>
      </c>
      <c r="DC142" s="162">
        <v>12</v>
      </c>
      <c r="DD142" s="162">
        <v>3312</v>
      </c>
      <c r="DE142" s="163" t="s">
        <v>840</v>
      </c>
      <c r="DF142" s="169">
        <v>0.80055210489993101</v>
      </c>
      <c r="DG142" s="161"/>
      <c r="DH142" s="162">
        <v>30</v>
      </c>
      <c r="DI142" s="162">
        <v>3371</v>
      </c>
      <c r="DJ142" s="163" t="s">
        <v>858</v>
      </c>
      <c r="DK142" s="169">
        <v>0.80443409247757069</v>
      </c>
    </row>
    <row r="143" spans="11:115" ht="11.1" customHeight="1">
      <c r="K143" s="2"/>
      <c r="CX143" s="120">
        <v>10</v>
      </c>
      <c r="CY143" s="120">
        <v>1771</v>
      </c>
      <c r="CZ143" s="121" t="s">
        <v>387</v>
      </c>
      <c r="DA143" s="181">
        <f>DK82</f>
        <v>0.82177363699102834</v>
      </c>
      <c r="DC143" s="162">
        <v>13</v>
      </c>
      <c r="DD143" s="162">
        <v>3313</v>
      </c>
      <c r="DE143" s="163" t="s">
        <v>841</v>
      </c>
      <c r="DF143" s="169">
        <v>0.81349206349206349</v>
      </c>
      <c r="DG143" s="161"/>
      <c r="DH143" s="162">
        <v>31</v>
      </c>
      <c r="DI143" s="162">
        <v>3372</v>
      </c>
      <c r="DJ143" s="163" t="s">
        <v>859</v>
      </c>
      <c r="DK143" s="169">
        <v>0.85326086956521729</v>
      </c>
    </row>
    <row r="144" spans="11:115" ht="11.1" customHeight="1">
      <c r="K144" s="2"/>
      <c r="CX144" s="118" t="s">
        <v>14</v>
      </c>
      <c r="CY144" s="118">
        <v>1800</v>
      </c>
      <c r="CZ144" s="119" t="s">
        <v>38</v>
      </c>
      <c r="DA144" s="180">
        <f t="shared" ref="DA144:DA151" si="31">DF86</f>
        <v>0.77717391304347827</v>
      </c>
      <c r="DC144" s="162">
        <v>14</v>
      </c>
      <c r="DD144" s="162">
        <v>3314</v>
      </c>
      <c r="DE144" s="163" t="s">
        <v>842</v>
      </c>
      <c r="DF144" s="169">
        <v>0.77889924085576268</v>
      </c>
      <c r="DG144" s="161"/>
      <c r="DH144" s="162">
        <v>32</v>
      </c>
      <c r="DI144" s="162">
        <v>3373</v>
      </c>
      <c r="DJ144" s="163" t="s">
        <v>860</v>
      </c>
      <c r="DK144" s="169">
        <v>0.7792443064182194</v>
      </c>
    </row>
    <row r="145" spans="11:115" ht="11.1" customHeight="1">
      <c r="K145" s="2"/>
      <c r="CX145" s="120">
        <v>1</v>
      </c>
      <c r="CY145" s="120">
        <v>1801</v>
      </c>
      <c r="CZ145" s="121" t="s">
        <v>99</v>
      </c>
      <c r="DA145" s="181">
        <f t="shared" si="31"/>
        <v>0.88759489302967565</v>
      </c>
      <c r="DC145" s="162">
        <v>15</v>
      </c>
      <c r="DD145" s="162">
        <v>3315</v>
      </c>
      <c r="DE145" s="163" t="s">
        <v>843</v>
      </c>
      <c r="DF145" s="169">
        <v>0.84204623878536922</v>
      </c>
      <c r="DG145" s="161"/>
      <c r="DH145" s="162">
        <v>33</v>
      </c>
      <c r="DI145" s="162">
        <v>3374</v>
      </c>
      <c r="DJ145" s="163" t="s">
        <v>861</v>
      </c>
      <c r="DK145" s="169">
        <v>0.79727398205659072</v>
      </c>
    </row>
    <row r="146" spans="11:115" ht="11.1" customHeight="1">
      <c r="K146" s="2"/>
      <c r="CX146" s="120">
        <v>2</v>
      </c>
      <c r="CY146" s="120">
        <v>1802</v>
      </c>
      <c r="CZ146" s="121" t="s">
        <v>134</v>
      </c>
      <c r="DA146" s="181">
        <f t="shared" si="31"/>
        <v>0.84083850931677018</v>
      </c>
      <c r="DC146" s="162">
        <v>16</v>
      </c>
      <c r="DD146" s="162">
        <v>3316</v>
      </c>
      <c r="DE146" s="163" t="s">
        <v>844</v>
      </c>
      <c r="DF146" s="169">
        <v>0.83712905452035891</v>
      </c>
      <c r="DG146" s="161"/>
      <c r="DH146" s="162">
        <v>34</v>
      </c>
      <c r="DI146" s="162">
        <v>3375</v>
      </c>
      <c r="DJ146" s="163" t="s">
        <v>862</v>
      </c>
      <c r="DK146" s="169">
        <v>0.80935127674258101</v>
      </c>
    </row>
    <row r="147" spans="11:115" ht="11.1" customHeight="1">
      <c r="K147" s="2"/>
      <c r="CX147" s="120">
        <v>3</v>
      </c>
      <c r="CY147" s="120">
        <v>1803</v>
      </c>
      <c r="CZ147" s="121" t="s">
        <v>168</v>
      </c>
      <c r="DA147" s="181">
        <f t="shared" si="31"/>
        <v>0.72058316080055207</v>
      </c>
      <c r="DC147" s="162">
        <v>17</v>
      </c>
      <c r="DD147" s="162">
        <v>3317</v>
      </c>
      <c r="DE147" s="163" t="s">
        <v>845</v>
      </c>
      <c r="DF147" s="169">
        <v>0.84213250517598348</v>
      </c>
      <c r="DG147" s="161"/>
      <c r="DH147" s="162">
        <v>35</v>
      </c>
      <c r="DI147" s="162">
        <v>3376</v>
      </c>
      <c r="DJ147" s="163" t="s">
        <v>863</v>
      </c>
      <c r="DK147" s="169">
        <v>0.78907867494824013</v>
      </c>
    </row>
    <row r="148" spans="11:115" ht="11.1" customHeight="1">
      <c r="K148" s="2"/>
      <c r="CX148" s="120">
        <v>4</v>
      </c>
      <c r="CY148" s="120">
        <v>1804</v>
      </c>
      <c r="CZ148" s="121" t="s">
        <v>202</v>
      </c>
      <c r="DA148" s="181">
        <f t="shared" si="31"/>
        <v>0.69435817805383016</v>
      </c>
      <c r="DC148" s="161"/>
      <c r="DD148" s="161"/>
      <c r="DE148" s="161"/>
      <c r="DF148" s="170"/>
      <c r="DG148" s="161"/>
      <c r="DH148" s="161"/>
      <c r="DI148" s="161"/>
      <c r="DJ148" s="161"/>
      <c r="DK148" s="170"/>
    </row>
    <row r="149" spans="11:115" ht="11.1" customHeight="1">
      <c r="K149" s="2"/>
      <c r="CX149" s="120">
        <v>5</v>
      </c>
      <c r="CY149" s="120">
        <v>1805</v>
      </c>
      <c r="CZ149" s="121" t="s">
        <v>237</v>
      </c>
      <c r="DA149" s="181">
        <f t="shared" si="31"/>
        <v>0.7330055210489993</v>
      </c>
      <c r="DC149" s="155" t="s">
        <v>1192</v>
      </c>
      <c r="DD149" s="156" t="s">
        <v>1535</v>
      </c>
      <c r="DE149" s="157" t="s">
        <v>1629</v>
      </c>
      <c r="DF149" s="167" t="s">
        <v>1537</v>
      </c>
      <c r="DG149" s="158"/>
      <c r="DH149" s="155" t="s">
        <v>1192</v>
      </c>
      <c r="DI149" s="156" t="s">
        <v>1535</v>
      </c>
      <c r="DJ149" s="157" t="s">
        <v>1629</v>
      </c>
      <c r="DK149" s="167" t="s">
        <v>1537</v>
      </c>
    </row>
    <row r="150" spans="11:115" ht="11.1" customHeight="1">
      <c r="K150" s="2"/>
      <c r="CX150" s="120">
        <v>6</v>
      </c>
      <c r="CY150" s="120">
        <v>1806</v>
      </c>
      <c r="CZ150" s="121" t="s">
        <v>272</v>
      </c>
      <c r="DA150" s="181">
        <f t="shared" si="31"/>
        <v>0.74585921325051752</v>
      </c>
      <c r="DC150" s="159" t="s">
        <v>1539</v>
      </c>
      <c r="DD150" s="159">
        <v>3400</v>
      </c>
      <c r="DE150" s="160" t="s">
        <v>864</v>
      </c>
      <c r="DF150" s="168">
        <v>0.79813664596273293</v>
      </c>
      <c r="DG150" s="161"/>
      <c r="DH150" s="162">
        <v>3</v>
      </c>
      <c r="DI150" s="162">
        <v>3403</v>
      </c>
      <c r="DJ150" s="163" t="s">
        <v>867</v>
      </c>
      <c r="DK150" s="169">
        <v>0.81763285024154586</v>
      </c>
    </row>
    <row r="151" spans="11:115" ht="11.1" customHeight="1">
      <c r="K151" s="2"/>
      <c r="CX151" s="120">
        <v>7</v>
      </c>
      <c r="CY151" s="120">
        <v>1807</v>
      </c>
      <c r="CZ151" s="121" t="s">
        <v>304</v>
      </c>
      <c r="DA151" s="181">
        <f t="shared" si="31"/>
        <v>0.81383712905452033</v>
      </c>
      <c r="DC151" s="162">
        <v>1</v>
      </c>
      <c r="DD151" s="162">
        <v>3401</v>
      </c>
      <c r="DE151" s="163" t="s">
        <v>865</v>
      </c>
      <c r="DF151" s="169">
        <v>0.78709454796411316</v>
      </c>
      <c r="DG151" s="161"/>
      <c r="DH151" s="162">
        <v>4</v>
      </c>
      <c r="DI151" s="162">
        <v>3404</v>
      </c>
      <c r="DJ151" s="163" t="s">
        <v>868</v>
      </c>
      <c r="DK151" s="169">
        <v>0.77251552795031053</v>
      </c>
    </row>
    <row r="152" spans="11:115" ht="11.1" customHeight="1">
      <c r="K152" s="2"/>
      <c r="CX152" s="120">
        <v>8</v>
      </c>
      <c r="CY152" s="120">
        <v>1808</v>
      </c>
      <c r="CZ152" s="121" t="s">
        <v>334</v>
      </c>
      <c r="DA152" s="181">
        <f t="shared" ref="DA152:DA159" si="32">DK86</f>
        <v>0.800983436853002</v>
      </c>
      <c r="DC152" s="162">
        <v>2</v>
      </c>
      <c r="DD152" s="162">
        <v>3402</v>
      </c>
      <c r="DE152" s="163" t="s">
        <v>866</v>
      </c>
      <c r="DF152" s="169">
        <v>0.81478605935127679</v>
      </c>
      <c r="DG152" s="161"/>
      <c r="DH152" s="162">
        <v>5</v>
      </c>
      <c r="DI152" s="162">
        <v>3471</v>
      </c>
      <c r="DJ152" s="163" t="s">
        <v>869</v>
      </c>
      <c r="DK152" s="169">
        <v>0.79951690821256038</v>
      </c>
    </row>
    <row r="153" spans="11:115" ht="11.1" customHeight="1">
      <c r="K153" s="2"/>
      <c r="CX153" s="120">
        <v>9</v>
      </c>
      <c r="CY153" s="120">
        <v>1809</v>
      </c>
      <c r="CZ153" s="121" t="s">
        <v>361</v>
      </c>
      <c r="DA153" s="181">
        <f t="shared" si="32"/>
        <v>0.75517598343685299</v>
      </c>
      <c r="DC153" s="161"/>
      <c r="DD153" s="161"/>
      <c r="DE153" s="161"/>
      <c r="DF153" s="170"/>
      <c r="DG153" s="161"/>
      <c r="DH153" s="161"/>
      <c r="DI153" s="161"/>
      <c r="DJ153" s="161"/>
      <c r="DK153" s="170"/>
    </row>
    <row r="154" spans="11:115" ht="11.1" customHeight="1">
      <c r="K154" s="2"/>
      <c r="CX154" s="120">
        <v>10</v>
      </c>
      <c r="CY154" s="120">
        <v>1810</v>
      </c>
      <c r="CZ154" s="121" t="s">
        <v>388</v>
      </c>
      <c r="DA154" s="181">
        <f t="shared" si="32"/>
        <v>0.73153899240855758</v>
      </c>
      <c r="DC154" s="155" t="s">
        <v>1192</v>
      </c>
      <c r="DD154" s="156" t="s">
        <v>1535</v>
      </c>
      <c r="DE154" s="157" t="s">
        <v>1629</v>
      </c>
      <c r="DF154" s="167" t="s">
        <v>1537</v>
      </c>
      <c r="DG154" s="158"/>
      <c r="DH154" s="155" t="s">
        <v>1192</v>
      </c>
      <c r="DI154" s="156" t="s">
        <v>1535</v>
      </c>
      <c r="DJ154" s="157" t="s">
        <v>1629</v>
      </c>
      <c r="DK154" s="167" t="s">
        <v>1537</v>
      </c>
    </row>
    <row r="155" spans="11:115" ht="11.1" customHeight="1">
      <c r="K155" s="2"/>
      <c r="CX155" s="120">
        <v>11</v>
      </c>
      <c r="CY155" s="120">
        <v>1811</v>
      </c>
      <c r="CZ155" s="121" t="s">
        <v>413</v>
      </c>
      <c r="DA155" s="181">
        <f t="shared" si="32"/>
        <v>0.85766045548654246</v>
      </c>
      <c r="DC155" s="159" t="s">
        <v>1540</v>
      </c>
      <c r="DD155" s="159">
        <v>3500</v>
      </c>
      <c r="DE155" s="160" t="s">
        <v>870</v>
      </c>
      <c r="DF155" s="168">
        <v>0.84109730848861286</v>
      </c>
      <c r="DG155" s="161"/>
      <c r="DH155" s="162">
        <v>20</v>
      </c>
      <c r="DI155" s="162">
        <v>3520</v>
      </c>
      <c r="DJ155" s="163" t="s">
        <v>890</v>
      </c>
      <c r="DK155" s="169">
        <v>0.87275707384403034</v>
      </c>
    </row>
    <row r="156" spans="11:115" ht="11.1" customHeight="1">
      <c r="K156" s="2"/>
      <c r="CX156" s="120">
        <v>12</v>
      </c>
      <c r="CY156" s="120">
        <v>1812</v>
      </c>
      <c r="CZ156" s="121" t="s">
        <v>434</v>
      </c>
      <c r="DA156" s="181">
        <f t="shared" si="32"/>
        <v>0.80115596963423052</v>
      </c>
      <c r="DC156" s="162">
        <v>1</v>
      </c>
      <c r="DD156" s="162">
        <v>3501</v>
      </c>
      <c r="DE156" s="163" t="s">
        <v>871</v>
      </c>
      <c r="DF156" s="169">
        <v>0.84998274672187712</v>
      </c>
      <c r="DG156" s="161"/>
      <c r="DH156" s="162">
        <v>21</v>
      </c>
      <c r="DI156" s="162">
        <v>3521</v>
      </c>
      <c r="DJ156" s="163" t="s">
        <v>891</v>
      </c>
      <c r="DK156" s="169">
        <v>0.89380607315389926</v>
      </c>
    </row>
    <row r="157" spans="11:115" ht="11.1" customHeight="1">
      <c r="K157" s="2"/>
      <c r="CX157" s="120">
        <v>13</v>
      </c>
      <c r="CY157" s="120">
        <v>1813</v>
      </c>
      <c r="CZ157" s="121" t="s">
        <v>453</v>
      </c>
      <c r="DA157" s="181">
        <f t="shared" si="32"/>
        <v>0.89708419599723943</v>
      </c>
      <c r="DC157" s="162">
        <v>2</v>
      </c>
      <c r="DD157" s="162">
        <v>3502</v>
      </c>
      <c r="DE157" s="163" t="s">
        <v>872</v>
      </c>
      <c r="DF157" s="169">
        <v>0.86128364389233958</v>
      </c>
      <c r="DG157" s="161"/>
      <c r="DH157" s="162">
        <v>22</v>
      </c>
      <c r="DI157" s="162">
        <v>3522</v>
      </c>
      <c r="DJ157" s="163" t="s">
        <v>892</v>
      </c>
      <c r="DK157" s="169">
        <v>0.83980331262939956</v>
      </c>
    </row>
    <row r="158" spans="11:115" ht="11.1" customHeight="1">
      <c r="K158" s="2"/>
      <c r="CX158" s="120">
        <v>14</v>
      </c>
      <c r="CY158" s="120">
        <v>1871</v>
      </c>
      <c r="CZ158" s="121" t="s">
        <v>472</v>
      </c>
      <c r="DA158" s="181">
        <f t="shared" si="32"/>
        <v>0.6947032436162871</v>
      </c>
      <c r="DC158" s="162">
        <v>3</v>
      </c>
      <c r="DD158" s="162">
        <v>3503</v>
      </c>
      <c r="DE158" s="163" t="s">
        <v>873</v>
      </c>
      <c r="DF158" s="169">
        <v>0.82807108350586611</v>
      </c>
      <c r="DG158" s="161"/>
      <c r="DH158" s="162">
        <v>23</v>
      </c>
      <c r="DI158" s="162">
        <v>3523</v>
      </c>
      <c r="DJ158" s="163" t="s">
        <v>893</v>
      </c>
      <c r="DK158" s="169">
        <v>0.8218599033816425</v>
      </c>
    </row>
    <row r="159" spans="11:115" ht="11.1" customHeight="1">
      <c r="K159" s="2"/>
      <c r="CX159" s="120">
        <v>15</v>
      </c>
      <c r="CY159" s="120">
        <v>1872</v>
      </c>
      <c r="CZ159" s="121" t="s">
        <v>488</v>
      </c>
      <c r="DA159" s="181">
        <f t="shared" si="32"/>
        <v>0.72403381642512077</v>
      </c>
      <c r="DC159" s="162">
        <v>4</v>
      </c>
      <c r="DD159" s="162">
        <v>3504</v>
      </c>
      <c r="DE159" s="163" t="s">
        <v>874</v>
      </c>
      <c r="DF159" s="169">
        <v>0.84265010351966874</v>
      </c>
      <c r="DG159" s="161"/>
      <c r="DH159" s="162">
        <v>24</v>
      </c>
      <c r="DI159" s="162">
        <v>3524</v>
      </c>
      <c r="DJ159" s="163" t="s">
        <v>894</v>
      </c>
      <c r="DK159" s="169">
        <v>0.89302967563837121</v>
      </c>
    </row>
    <row r="160" spans="11:115" ht="11.1" customHeight="1">
      <c r="K160" s="2"/>
      <c r="CX160" s="118" t="s">
        <v>15</v>
      </c>
      <c r="CY160" s="118">
        <v>1900</v>
      </c>
      <c r="CZ160" s="119" t="s">
        <v>36</v>
      </c>
      <c r="DA160" s="180">
        <f>DF96</f>
        <v>0.87741545893719797</v>
      </c>
      <c r="DC160" s="162">
        <v>5</v>
      </c>
      <c r="DD160" s="162">
        <v>3505</v>
      </c>
      <c r="DE160" s="163" t="s">
        <v>875</v>
      </c>
      <c r="DF160" s="169">
        <v>0.83548999309868865</v>
      </c>
      <c r="DG160" s="161"/>
      <c r="DH160" s="162">
        <v>25</v>
      </c>
      <c r="DI160" s="162">
        <v>3525</v>
      </c>
      <c r="DJ160" s="163" t="s">
        <v>895</v>
      </c>
      <c r="DK160" s="169">
        <v>0.86309523809523803</v>
      </c>
    </row>
    <row r="161" spans="11:115" ht="11.1" customHeight="1">
      <c r="K161" s="2"/>
      <c r="CX161" s="120">
        <v>1</v>
      </c>
      <c r="CY161" s="120">
        <v>1901</v>
      </c>
      <c r="CZ161" s="121" t="s">
        <v>100</v>
      </c>
      <c r="DA161" s="181">
        <f>DF97</f>
        <v>0.85075914423740517</v>
      </c>
      <c r="DC161" s="162">
        <v>6</v>
      </c>
      <c r="DD161" s="162">
        <v>3506</v>
      </c>
      <c r="DE161" s="163" t="s">
        <v>876</v>
      </c>
      <c r="DF161" s="169">
        <v>0.80434782608695643</v>
      </c>
      <c r="DG161" s="161"/>
      <c r="DH161" s="162">
        <v>26</v>
      </c>
      <c r="DI161" s="162">
        <v>3526</v>
      </c>
      <c r="DJ161" s="163" t="s">
        <v>896</v>
      </c>
      <c r="DK161" s="169">
        <v>0.83911318150448577</v>
      </c>
    </row>
    <row r="162" spans="11:115" ht="11.1" customHeight="1">
      <c r="K162" s="2"/>
      <c r="CX162" s="120">
        <v>2</v>
      </c>
      <c r="CY162" s="120">
        <v>1902</v>
      </c>
      <c r="CZ162" s="121" t="s">
        <v>135</v>
      </c>
      <c r="DA162" s="181">
        <f>DF98</f>
        <v>0.84601449275362317</v>
      </c>
      <c r="DC162" s="162">
        <v>7</v>
      </c>
      <c r="DD162" s="162">
        <v>3507</v>
      </c>
      <c r="DE162" s="163" t="s">
        <v>877</v>
      </c>
      <c r="DF162" s="169">
        <v>0.8392857142857143</v>
      </c>
      <c r="DG162" s="161"/>
      <c r="DH162" s="162">
        <v>27</v>
      </c>
      <c r="DI162" s="162">
        <v>3527</v>
      </c>
      <c r="DJ162" s="163" t="s">
        <v>897</v>
      </c>
      <c r="DK162" s="169">
        <v>0.88966528640441678</v>
      </c>
    </row>
    <row r="163" spans="11:115" ht="11.1" customHeight="1">
      <c r="K163" s="2"/>
      <c r="CX163" s="120">
        <v>3</v>
      </c>
      <c r="CY163" s="120">
        <v>1903</v>
      </c>
      <c r="CZ163" s="121" t="s">
        <v>169</v>
      </c>
      <c r="DA163" s="181">
        <f>DF99</f>
        <v>0.90631469979296064</v>
      </c>
      <c r="DC163" s="162">
        <v>8</v>
      </c>
      <c r="DD163" s="162">
        <v>3508</v>
      </c>
      <c r="DE163" s="163" t="s">
        <v>878</v>
      </c>
      <c r="DF163" s="169">
        <v>0.88172877846790887</v>
      </c>
      <c r="DG163" s="161"/>
      <c r="DH163" s="162">
        <v>28</v>
      </c>
      <c r="DI163" s="162">
        <v>3528</v>
      </c>
      <c r="DJ163" s="163" t="s">
        <v>898</v>
      </c>
      <c r="DK163" s="169">
        <v>0.88457556935817805</v>
      </c>
    </row>
    <row r="164" spans="11:115" ht="11.1" customHeight="1">
      <c r="K164" s="2"/>
      <c r="CX164" s="120">
        <v>4</v>
      </c>
      <c r="CY164" s="120">
        <v>1904</v>
      </c>
      <c r="CZ164" s="121" t="s">
        <v>203</v>
      </c>
      <c r="DA164" s="181">
        <f>DK96</f>
        <v>0.92089371980676327</v>
      </c>
      <c r="DC164" s="162">
        <v>9</v>
      </c>
      <c r="DD164" s="162">
        <v>3509</v>
      </c>
      <c r="DE164" s="163" t="s">
        <v>879</v>
      </c>
      <c r="DF164" s="169">
        <v>0.85274327122153204</v>
      </c>
      <c r="DG164" s="161"/>
      <c r="DH164" s="162">
        <v>29</v>
      </c>
      <c r="DI164" s="162">
        <v>3529</v>
      </c>
      <c r="DJ164" s="163" t="s">
        <v>899</v>
      </c>
      <c r="DK164" s="169">
        <v>0.87137681159420288</v>
      </c>
    </row>
    <row r="165" spans="11:115" ht="11.1" customHeight="1">
      <c r="K165" s="2"/>
      <c r="CX165" s="120">
        <v>5</v>
      </c>
      <c r="CY165" s="120">
        <v>1905</v>
      </c>
      <c r="CZ165" s="121" t="s">
        <v>238</v>
      </c>
      <c r="DA165" s="181">
        <f>DK97</f>
        <v>0.88699102829537602</v>
      </c>
      <c r="DC165" s="162">
        <v>10</v>
      </c>
      <c r="DD165" s="162">
        <v>3510</v>
      </c>
      <c r="DE165" s="163" t="s">
        <v>880</v>
      </c>
      <c r="DF165" s="169">
        <v>0.82246376811594202</v>
      </c>
      <c r="DG165" s="161"/>
      <c r="DH165" s="162">
        <v>30</v>
      </c>
      <c r="DI165" s="162">
        <v>3571</v>
      </c>
      <c r="DJ165" s="163" t="s">
        <v>900</v>
      </c>
      <c r="DK165" s="169">
        <v>0.80417529330572801</v>
      </c>
    </row>
    <row r="166" spans="11:115" ht="11.1" customHeight="1">
      <c r="K166" s="2"/>
      <c r="CX166" s="120">
        <v>6</v>
      </c>
      <c r="CY166" s="120">
        <v>1906</v>
      </c>
      <c r="CZ166" s="121" t="s">
        <v>273</v>
      </c>
      <c r="DA166" s="181">
        <f>DK98</f>
        <v>0.84109730848861286</v>
      </c>
      <c r="DC166" s="162">
        <v>11</v>
      </c>
      <c r="DD166" s="162">
        <v>3511</v>
      </c>
      <c r="DE166" s="163" t="s">
        <v>881</v>
      </c>
      <c r="DF166" s="169">
        <v>0.77907177363699098</v>
      </c>
      <c r="DG166" s="161"/>
      <c r="DH166" s="162">
        <v>31</v>
      </c>
      <c r="DI166" s="162">
        <v>3572</v>
      </c>
      <c r="DJ166" s="163" t="s">
        <v>901</v>
      </c>
      <c r="DK166" s="169">
        <v>0.85067287784679091</v>
      </c>
    </row>
    <row r="167" spans="11:115" ht="11.1" customHeight="1">
      <c r="K167" s="2"/>
      <c r="CX167" s="120">
        <v>7</v>
      </c>
      <c r="CY167" s="120">
        <v>1971</v>
      </c>
      <c r="CZ167" s="121" t="s">
        <v>305</v>
      </c>
      <c r="DA167" s="181">
        <f>DK99</f>
        <v>0.89337474120082816</v>
      </c>
      <c r="DC167" s="162">
        <v>12</v>
      </c>
      <c r="DD167" s="162">
        <v>3512</v>
      </c>
      <c r="DE167" s="163" t="s">
        <v>882</v>
      </c>
      <c r="DF167" s="169">
        <v>0.78692201518288474</v>
      </c>
      <c r="DG167" s="161"/>
      <c r="DH167" s="162">
        <v>32</v>
      </c>
      <c r="DI167" s="162">
        <v>3573</v>
      </c>
      <c r="DJ167" s="163" t="s">
        <v>902</v>
      </c>
      <c r="DK167" s="169">
        <v>0.83229813664596275</v>
      </c>
    </row>
    <row r="168" spans="11:115" ht="11.1" customHeight="1">
      <c r="K168" s="2"/>
      <c r="CX168" s="118" t="s">
        <v>16</v>
      </c>
      <c r="CY168" s="118">
        <v>2100</v>
      </c>
      <c r="CZ168" s="119" t="s">
        <v>37</v>
      </c>
      <c r="DA168" s="180">
        <f>DF102</f>
        <v>1.0586611456176673</v>
      </c>
      <c r="DC168" s="162">
        <v>13</v>
      </c>
      <c r="DD168" s="162">
        <v>3513</v>
      </c>
      <c r="DE168" s="163" t="s">
        <v>883</v>
      </c>
      <c r="DF168" s="169">
        <v>0.8457556935817806</v>
      </c>
      <c r="DG168" s="161"/>
      <c r="DH168" s="162">
        <v>33</v>
      </c>
      <c r="DI168" s="162">
        <v>3574</v>
      </c>
      <c r="DJ168" s="163" t="s">
        <v>903</v>
      </c>
      <c r="DK168" s="169">
        <v>0.7831262939958592</v>
      </c>
    </row>
    <row r="169" spans="11:115" ht="11.1" customHeight="1">
      <c r="K169" s="2"/>
      <c r="CX169" s="120">
        <v>1</v>
      </c>
      <c r="CY169" s="120">
        <v>2101</v>
      </c>
      <c r="CZ169" s="121" t="s">
        <v>101</v>
      </c>
      <c r="DA169" s="181">
        <f>DF103</f>
        <v>1.0343340234644582</v>
      </c>
      <c r="DC169" s="162">
        <v>14</v>
      </c>
      <c r="DD169" s="162">
        <v>3514</v>
      </c>
      <c r="DE169" s="163" t="s">
        <v>884</v>
      </c>
      <c r="DF169" s="169">
        <v>0.8354037267080745</v>
      </c>
      <c r="DG169" s="161"/>
      <c r="DH169" s="162">
        <v>34</v>
      </c>
      <c r="DI169" s="162">
        <v>3575</v>
      </c>
      <c r="DJ169" s="163" t="s">
        <v>904</v>
      </c>
      <c r="DK169" s="169">
        <v>0.80391649413388544</v>
      </c>
    </row>
    <row r="170" spans="11:115" ht="11.1" customHeight="1">
      <c r="K170" s="2"/>
      <c r="CX170" s="120">
        <v>2</v>
      </c>
      <c r="CY170" s="120">
        <v>2102</v>
      </c>
      <c r="CZ170" s="121" t="s">
        <v>136</v>
      </c>
      <c r="DA170" s="181">
        <f>DF104</f>
        <v>1.0033643892339545</v>
      </c>
      <c r="DC170" s="162">
        <v>15</v>
      </c>
      <c r="DD170" s="162">
        <v>3515</v>
      </c>
      <c r="DE170" s="163" t="s">
        <v>885</v>
      </c>
      <c r="DF170" s="169">
        <v>0.89302967563837121</v>
      </c>
      <c r="DG170" s="161"/>
      <c r="DH170" s="162">
        <v>35</v>
      </c>
      <c r="DI170" s="162">
        <v>3576</v>
      </c>
      <c r="DJ170" s="163" t="s">
        <v>905</v>
      </c>
      <c r="DK170" s="169">
        <v>0.82237750172532775</v>
      </c>
    </row>
    <row r="171" spans="11:115" ht="11.1" customHeight="1">
      <c r="K171" s="2"/>
      <c r="CX171" s="120">
        <v>3</v>
      </c>
      <c r="CY171" s="120">
        <v>2103</v>
      </c>
      <c r="CZ171" s="121" t="s">
        <v>170</v>
      </c>
      <c r="DA171" s="181">
        <f>DF105</f>
        <v>1.1885783298826778</v>
      </c>
      <c r="DC171" s="162">
        <v>16</v>
      </c>
      <c r="DD171" s="162">
        <v>3516</v>
      </c>
      <c r="DE171" s="163" t="s">
        <v>886</v>
      </c>
      <c r="DF171" s="169">
        <v>0.81901311249137332</v>
      </c>
      <c r="DG171" s="161"/>
      <c r="DH171" s="162">
        <v>36</v>
      </c>
      <c r="DI171" s="162">
        <v>3577</v>
      </c>
      <c r="DJ171" s="163" t="s">
        <v>906</v>
      </c>
      <c r="DK171" s="169">
        <v>0.8728433402346446</v>
      </c>
    </row>
    <row r="172" spans="11:115" ht="11.1" customHeight="1">
      <c r="K172" s="2"/>
      <c r="CX172" s="120">
        <v>4</v>
      </c>
      <c r="CY172" s="120">
        <v>2104</v>
      </c>
      <c r="CZ172" s="121" t="s">
        <v>204</v>
      </c>
      <c r="DA172" s="181">
        <f>DK102</f>
        <v>0.88940648723257409</v>
      </c>
      <c r="DC172" s="162">
        <v>17</v>
      </c>
      <c r="DD172" s="162">
        <v>3517</v>
      </c>
      <c r="DE172" s="163" t="s">
        <v>887</v>
      </c>
      <c r="DF172" s="169">
        <v>0.8022774327122153</v>
      </c>
      <c r="DG172" s="161"/>
      <c r="DH172" s="162">
        <v>37</v>
      </c>
      <c r="DI172" s="162">
        <v>3578</v>
      </c>
      <c r="DJ172" s="163" t="s">
        <v>907</v>
      </c>
      <c r="DK172" s="169">
        <v>0.86266390614216704</v>
      </c>
    </row>
    <row r="173" spans="11:115" ht="11.1" customHeight="1">
      <c r="K173" s="2"/>
      <c r="CX173" s="120">
        <v>5</v>
      </c>
      <c r="CY173" s="120">
        <v>2105</v>
      </c>
      <c r="CZ173" s="121" t="s">
        <v>239</v>
      </c>
      <c r="DA173" s="181">
        <f>DK103</f>
        <v>1.3443754313319531</v>
      </c>
      <c r="DC173" s="162">
        <v>18</v>
      </c>
      <c r="DD173" s="162">
        <v>3518</v>
      </c>
      <c r="DE173" s="163" t="s">
        <v>888</v>
      </c>
      <c r="DF173" s="169">
        <v>0.79986197377501722</v>
      </c>
      <c r="DG173" s="161"/>
      <c r="DH173" s="162">
        <v>38</v>
      </c>
      <c r="DI173" s="162">
        <v>3579</v>
      </c>
      <c r="DJ173" s="163" t="s">
        <v>908</v>
      </c>
      <c r="DK173" s="169">
        <v>0.84135610766045543</v>
      </c>
    </row>
    <row r="174" spans="11:115" ht="11.1" customHeight="1">
      <c r="K174" s="2"/>
      <c r="CX174" s="120">
        <v>6</v>
      </c>
      <c r="CY174" s="120">
        <v>2171</v>
      </c>
      <c r="CZ174" s="121" t="s">
        <v>274</v>
      </c>
      <c r="DA174" s="181">
        <f>DK104</f>
        <v>1.0047446514837819</v>
      </c>
      <c r="DC174" s="162">
        <v>19</v>
      </c>
      <c r="DD174" s="162">
        <v>3519</v>
      </c>
      <c r="DE174" s="163" t="s">
        <v>889</v>
      </c>
      <c r="DF174" s="169">
        <v>0.86413043478260865</v>
      </c>
      <c r="DG174" s="161"/>
      <c r="DH174" s="161"/>
      <c r="DI174" s="161"/>
      <c r="DJ174" s="161"/>
      <c r="DK174" s="170"/>
    </row>
    <row r="175" spans="11:115" ht="11.1" customHeight="1">
      <c r="K175" s="2"/>
      <c r="CX175" s="120">
        <v>7</v>
      </c>
      <c r="CY175" s="120">
        <v>2172</v>
      </c>
      <c r="CZ175" s="121" t="s">
        <v>306</v>
      </c>
      <c r="DA175" s="181">
        <f>DK105</f>
        <v>1.0059523809523809</v>
      </c>
      <c r="DC175" s="161"/>
      <c r="DD175" s="161"/>
      <c r="DE175" s="161"/>
      <c r="DF175" s="170"/>
      <c r="DG175" s="161"/>
      <c r="DH175" s="161"/>
      <c r="DI175" s="161"/>
      <c r="DJ175" s="161"/>
      <c r="DK175" s="170"/>
    </row>
    <row r="176" spans="11:115" ht="11.1" customHeight="1">
      <c r="K176" s="2"/>
      <c r="CX176" s="118" t="s">
        <v>18</v>
      </c>
      <c r="CY176" s="118">
        <v>3200</v>
      </c>
      <c r="CZ176" s="119" t="s">
        <v>28</v>
      </c>
      <c r="DA176" s="180">
        <f t="shared" ref="DA176:DA189" si="33">DF114</f>
        <v>0.83488612836438925</v>
      </c>
      <c r="DC176" s="155" t="s">
        <v>1192</v>
      </c>
      <c r="DD176" s="156" t="s">
        <v>1535</v>
      </c>
      <c r="DE176" s="157" t="s">
        <v>1629</v>
      </c>
      <c r="DF176" s="167" t="s">
        <v>1537</v>
      </c>
      <c r="DG176" s="158"/>
      <c r="DH176" s="155" t="s">
        <v>1192</v>
      </c>
      <c r="DI176" s="156" t="s">
        <v>1535</v>
      </c>
      <c r="DJ176" s="157" t="s">
        <v>1629</v>
      </c>
      <c r="DK176" s="167" t="s">
        <v>1537</v>
      </c>
    </row>
    <row r="177" spans="11:115" ht="11.1" customHeight="1">
      <c r="K177" s="2"/>
      <c r="CX177" s="120">
        <v>1</v>
      </c>
      <c r="CY177" s="120">
        <v>3201</v>
      </c>
      <c r="CZ177" s="121" t="s">
        <v>102</v>
      </c>
      <c r="DA177" s="181">
        <f t="shared" si="33"/>
        <v>0.93840579710144922</v>
      </c>
      <c r="DC177" s="159" t="s">
        <v>1541</v>
      </c>
      <c r="DD177" s="159">
        <v>3600</v>
      </c>
      <c r="DE177" s="160" t="s">
        <v>909</v>
      </c>
      <c r="DF177" s="168">
        <v>0.84437543133195303</v>
      </c>
      <c r="DG177" s="161"/>
      <c r="DH177" s="162">
        <v>5</v>
      </c>
      <c r="DI177" s="162">
        <v>3671</v>
      </c>
      <c r="DJ177" s="163" t="s">
        <v>914</v>
      </c>
      <c r="DK177" s="169">
        <v>0.88914768806073152</v>
      </c>
    </row>
    <row r="178" spans="11:115" ht="11.1" customHeight="1">
      <c r="K178" s="2"/>
      <c r="CX178" s="120">
        <v>2</v>
      </c>
      <c r="CY178" s="120">
        <v>3202</v>
      </c>
      <c r="CZ178" s="121" t="s">
        <v>137</v>
      </c>
      <c r="DA178" s="181">
        <f t="shared" si="33"/>
        <v>0.81590752242926157</v>
      </c>
      <c r="DC178" s="162">
        <v>1</v>
      </c>
      <c r="DD178" s="162">
        <v>3601</v>
      </c>
      <c r="DE178" s="163" t="s">
        <v>910</v>
      </c>
      <c r="DF178" s="169">
        <v>0.76259489302967565</v>
      </c>
      <c r="DG178" s="161"/>
      <c r="DH178" s="162">
        <v>6</v>
      </c>
      <c r="DI178" s="162">
        <v>3672</v>
      </c>
      <c r="DJ178" s="163" t="s">
        <v>915</v>
      </c>
      <c r="DK178" s="169">
        <v>0.86818495514147687</v>
      </c>
    </row>
    <row r="179" spans="11:115" ht="11.1" customHeight="1">
      <c r="K179" s="2"/>
      <c r="CX179" s="120">
        <v>3</v>
      </c>
      <c r="CY179" s="120">
        <v>3203</v>
      </c>
      <c r="CZ179" s="121" t="s">
        <v>171</v>
      </c>
      <c r="DA179" s="181">
        <f t="shared" si="33"/>
        <v>0.78329882677708762</v>
      </c>
      <c r="DC179" s="162">
        <v>2</v>
      </c>
      <c r="DD179" s="162">
        <v>3602</v>
      </c>
      <c r="DE179" s="163" t="s">
        <v>911</v>
      </c>
      <c r="DF179" s="169">
        <v>0.72886473429951681</v>
      </c>
      <c r="DG179" s="161"/>
      <c r="DH179" s="162">
        <v>7</v>
      </c>
      <c r="DI179" s="162">
        <v>3673</v>
      </c>
      <c r="DJ179" s="163" t="s">
        <v>916</v>
      </c>
      <c r="DK179" s="169">
        <v>0.85377846790890266</v>
      </c>
    </row>
    <row r="180" spans="11:115" ht="11.1" customHeight="1">
      <c r="K180" s="2"/>
      <c r="CX180" s="120">
        <v>4</v>
      </c>
      <c r="CY180" s="120">
        <v>3204</v>
      </c>
      <c r="CZ180" s="121" t="s">
        <v>205</v>
      </c>
      <c r="DA180" s="181">
        <f t="shared" si="33"/>
        <v>0.85403726708074534</v>
      </c>
      <c r="DC180" s="162">
        <v>3</v>
      </c>
      <c r="DD180" s="162">
        <v>3603</v>
      </c>
      <c r="DE180" s="163" t="s">
        <v>912</v>
      </c>
      <c r="DF180" s="169">
        <v>0.91839199447895092</v>
      </c>
      <c r="DG180" s="161"/>
      <c r="DH180" s="162">
        <v>8</v>
      </c>
      <c r="DI180" s="162">
        <v>3674</v>
      </c>
      <c r="DJ180" s="163" t="s">
        <v>917</v>
      </c>
      <c r="DK180" s="169">
        <v>0.90916149068322982</v>
      </c>
    </row>
    <row r="181" spans="11:115" ht="11.1" customHeight="1">
      <c r="K181" s="2"/>
      <c r="CX181" s="120">
        <v>5</v>
      </c>
      <c r="CY181" s="120">
        <v>3205</v>
      </c>
      <c r="CZ181" s="121" t="s">
        <v>240</v>
      </c>
      <c r="DA181" s="181">
        <f t="shared" si="33"/>
        <v>0.80331262939958592</v>
      </c>
      <c r="DC181" s="162">
        <v>4</v>
      </c>
      <c r="DD181" s="162">
        <v>3604</v>
      </c>
      <c r="DE181" s="163" t="s">
        <v>913</v>
      </c>
      <c r="DF181" s="169">
        <v>0.84454796411318156</v>
      </c>
      <c r="DG181" s="161"/>
      <c r="DH181" s="161"/>
      <c r="DI181" s="161"/>
      <c r="DJ181" s="161"/>
      <c r="DK181" s="170"/>
    </row>
    <row r="182" spans="11:115" ht="11.1" customHeight="1">
      <c r="K182" s="2"/>
      <c r="CX182" s="120">
        <v>6</v>
      </c>
      <c r="CY182" s="120">
        <v>3206</v>
      </c>
      <c r="CZ182" s="121" t="s">
        <v>275</v>
      </c>
      <c r="DA182" s="181">
        <f t="shared" si="33"/>
        <v>0.8575741890959282</v>
      </c>
      <c r="DC182" s="161"/>
      <c r="DD182" s="161"/>
      <c r="DE182" s="161"/>
      <c r="DF182" s="170"/>
      <c r="DG182" s="161"/>
      <c r="DH182" s="161"/>
      <c r="DI182" s="161"/>
      <c r="DJ182" s="161"/>
      <c r="DK182" s="170"/>
    </row>
    <row r="183" spans="11:115" ht="11.1" customHeight="1">
      <c r="K183" s="2"/>
      <c r="CX183" s="120">
        <v>7</v>
      </c>
      <c r="CY183" s="120">
        <v>3207</v>
      </c>
      <c r="CZ183" s="121" t="s">
        <v>307</v>
      </c>
      <c r="DA183" s="181">
        <f t="shared" si="33"/>
        <v>0.77751897860593511</v>
      </c>
      <c r="DC183" s="155" t="s">
        <v>1192</v>
      </c>
      <c r="DD183" s="156" t="s">
        <v>1535</v>
      </c>
      <c r="DE183" s="157" t="s">
        <v>1629</v>
      </c>
      <c r="DF183" s="167" t="s">
        <v>1537</v>
      </c>
      <c r="DG183" s="158"/>
      <c r="DH183" s="155" t="s">
        <v>1192</v>
      </c>
      <c r="DI183" s="156" t="s">
        <v>1535</v>
      </c>
      <c r="DJ183" s="157" t="s">
        <v>1629</v>
      </c>
      <c r="DK183" s="167" t="s">
        <v>1537</v>
      </c>
    </row>
    <row r="184" spans="11:115" ht="11.1" customHeight="1">
      <c r="K184" s="2"/>
      <c r="CX184" s="120">
        <v>8</v>
      </c>
      <c r="CY184" s="120">
        <v>3208</v>
      </c>
      <c r="CZ184" s="121" t="s">
        <v>335</v>
      </c>
      <c r="DA184" s="181">
        <f t="shared" si="33"/>
        <v>0.84385783298826766</v>
      </c>
      <c r="DC184" s="159" t="s">
        <v>1542</v>
      </c>
      <c r="DD184" s="159">
        <v>5100</v>
      </c>
      <c r="DE184" s="160" t="s">
        <v>918</v>
      </c>
      <c r="DF184" s="168">
        <v>0.96307798481711526</v>
      </c>
      <c r="DG184" s="161"/>
      <c r="DH184" s="162">
        <v>5</v>
      </c>
      <c r="DI184" s="162">
        <v>5105</v>
      </c>
      <c r="DJ184" s="163" t="s">
        <v>923</v>
      </c>
      <c r="DK184" s="169">
        <v>0.87474120082815743</v>
      </c>
    </row>
    <row r="185" spans="11:115" ht="11.1" customHeight="1">
      <c r="K185" s="2"/>
      <c r="CX185" s="120">
        <v>9</v>
      </c>
      <c r="CY185" s="120">
        <v>3209</v>
      </c>
      <c r="CZ185" s="121" t="s">
        <v>362</v>
      </c>
      <c r="DA185" s="181">
        <f t="shared" si="33"/>
        <v>0.86982401656314701</v>
      </c>
      <c r="DC185" s="162">
        <v>1</v>
      </c>
      <c r="DD185" s="162">
        <v>5101</v>
      </c>
      <c r="DE185" s="163" t="s">
        <v>919</v>
      </c>
      <c r="DF185" s="169">
        <v>0.9742063492063493</v>
      </c>
      <c r="DG185" s="161"/>
      <c r="DH185" s="162">
        <v>6</v>
      </c>
      <c r="DI185" s="162">
        <v>5106</v>
      </c>
      <c r="DJ185" s="163" t="s">
        <v>924</v>
      </c>
      <c r="DK185" s="169">
        <v>0.962991718426501</v>
      </c>
    </row>
    <row r="186" spans="11:115" ht="11.1" customHeight="1">
      <c r="K186" s="2"/>
      <c r="CX186" s="120">
        <v>10</v>
      </c>
      <c r="CY186" s="120">
        <v>3210</v>
      </c>
      <c r="CZ186" s="121" t="s">
        <v>389</v>
      </c>
      <c r="DA186" s="181">
        <f t="shared" si="33"/>
        <v>0.83738785369220148</v>
      </c>
      <c r="DC186" s="162">
        <v>2</v>
      </c>
      <c r="DD186" s="162">
        <v>5102</v>
      </c>
      <c r="DE186" s="163" t="s">
        <v>920</v>
      </c>
      <c r="DF186" s="169">
        <v>1.0037957211870254</v>
      </c>
      <c r="DG186" s="161"/>
      <c r="DH186" s="162">
        <v>7</v>
      </c>
      <c r="DI186" s="162">
        <v>5107</v>
      </c>
      <c r="DJ186" s="163" t="s">
        <v>925</v>
      </c>
      <c r="DK186" s="169">
        <v>0.92011732229123533</v>
      </c>
    </row>
    <row r="187" spans="11:115" ht="11.1" customHeight="1">
      <c r="K187" s="2"/>
      <c r="CX187" s="120">
        <v>11</v>
      </c>
      <c r="CY187" s="120">
        <v>3211</v>
      </c>
      <c r="CZ187" s="121" t="s">
        <v>414</v>
      </c>
      <c r="DA187" s="181">
        <f t="shared" si="33"/>
        <v>0.80314009661835739</v>
      </c>
      <c r="DC187" s="162">
        <v>3</v>
      </c>
      <c r="DD187" s="162">
        <v>5103</v>
      </c>
      <c r="DE187" s="163" t="s">
        <v>921</v>
      </c>
      <c r="DF187" s="169">
        <v>0.98809523809523814</v>
      </c>
      <c r="DG187" s="161"/>
      <c r="DH187" s="162">
        <v>8</v>
      </c>
      <c r="DI187" s="162">
        <v>5108</v>
      </c>
      <c r="DJ187" s="163" t="s">
        <v>926</v>
      </c>
      <c r="DK187" s="169">
        <v>1.0219979296066253</v>
      </c>
    </row>
    <row r="188" spans="11:115" ht="11.1" customHeight="1">
      <c r="K188" s="2"/>
      <c r="CX188" s="120">
        <v>12</v>
      </c>
      <c r="CY188" s="120">
        <v>3212</v>
      </c>
      <c r="CZ188" s="121" t="s">
        <v>435</v>
      </c>
      <c r="DA188" s="181">
        <f t="shared" si="33"/>
        <v>0.88914768806073152</v>
      </c>
      <c r="DC188" s="162">
        <v>4</v>
      </c>
      <c r="DD188" s="162">
        <v>5104</v>
      </c>
      <c r="DE188" s="163" t="s">
        <v>922</v>
      </c>
      <c r="DF188" s="169">
        <v>0.96963423050379571</v>
      </c>
      <c r="DG188" s="161"/>
      <c r="DH188" s="162">
        <v>9</v>
      </c>
      <c r="DI188" s="162">
        <v>5171</v>
      </c>
      <c r="DJ188" s="163" t="s">
        <v>927</v>
      </c>
      <c r="DK188" s="169">
        <v>0.96074879227053145</v>
      </c>
    </row>
    <row r="189" spans="11:115" ht="11.1" customHeight="1">
      <c r="K189" s="2"/>
      <c r="CX189" s="120">
        <v>13</v>
      </c>
      <c r="CY189" s="120">
        <v>3213</v>
      </c>
      <c r="CZ189" s="121" t="s">
        <v>454</v>
      </c>
      <c r="DA189" s="181">
        <f t="shared" si="33"/>
        <v>0.8209972394755003</v>
      </c>
      <c r="DC189" s="161"/>
      <c r="DD189" s="161"/>
      <c r="DE189" s="161"/>
      <c r="DF189" s="170"/>
      <c r="DG189" s="161"/>
      <c r="DH189" s="161"/>
      <c r="DI189" s="161"/>
      <c r="DJ189" s="161"/>
      <c r="DK189" s="170"/>
    </row>
    <row r="190" spans="11:115" ht="11.1" customHeight="1">
      <c r="K190" s="2"/>
      <c r="CX190" s="120">
        <v>14</v>
      </c>
      <c r="CY190" s="120">
        <v>3214</v>
      </c>
      <c r="CZ190" s="121" t="s">
        <v>473</v>
      </c>
      <c r="DA190" s="181">
        <f t="shared" ref="DA190:DA203" si="34">DK114</f>
        <v>0.89389233954451353</v>
      </c>
      <c r="DC190" s="155" t="s">
        <v>1192</v>
      </c>
      <c r="DD190" s="156" t="s">
        <v>1535</v>
      </c>
      <c r="DE190" s="157" t="s">
        <v>1629</v>
      </c>
      <c r="DF190" s="167" t="s">
        <v>1537</v>
      </c>
      <c r="DG190" s="158"/>
      <c r="DH190" s="155" t="s">
        <v>1192</v>
      </c>
      <c r="DI190" s="156" t="s">
        <v>1535</v>
      </c>
      <c r="DJ190" s="157" t="s">
        <v>1629</v>
      </c>
      <c r="DK190" s="167" t="s">
        <v>1537</v>
      </c>
    </row>
    <row r="191" spans="11:115" ht="11.1" customHeight="1">
      <c r="K191" s="2"/>
      <c r="CX191" s="120">
        <v>15</v>
      </c>
      <c r="CY191" s="120">
        <v>3215</v>
      </c>
      <c r="CZ191" s="121" t="s">
        <v>489</v>
      </c>
      <c r="DA191" s="181">
        <f t="shared" si="34"/>
        <v>0.8354037267080745</v>
      </c>
      <c r="DC191" s="159" t="s">
        <v>1543</v>
      </c>
      <c r="DD191" s="159">
        <v>5200</v>
      </c>
      <c r="DE191" s="160" t="s">
        <v>928</v>
      </c>
      <c r="DF191" s="168">
        <v>0.79045893719806759</v>
      </c>
      <c r="DG191" s="161"/>
      <c r="DH191" s="162">
        <v>6</v>
      </c>
      <c r="DI191" s="162">
        <v>5206</v>
      </c>
      <c r="DJ191" s="163" t="s">
        <v>934</v>
      </c>
      <c r="DK191" s="169">
        <v>0.76975500345065562</v>
      </c>
    </row>
    <row r="192" spans="11:115" ht="11.1" customHeight="1">
      <c r="K192" s="2"/>
      <c r="CX192" s="120">
        <v>16</v>
      </c>
      <c r="CY192" s="120">
        <v>3216</v>
      </c>
      <c r="CZ192" s="121" t="s">
        <v>502</v>
      </c>
      <c r="DA192" s="181">
        <f t="shared" si="34"/>
        <v>0.8511042097998619</v>
      </c>
      <c r="DC192" s="162">
        <v>1</v>
      </c>
      <c r="DD192" s="162">
        <v>5201</v>
      </c>
      <c r="DE192" s="163" t="s">
        <v>929</v>
      </c>
      <c r="DF192" s="169">
        <v>0.80408902691511386</v>
      </c>
      <c r="DG192" s="161"/>
      <c r="DH192" s="162">
        <v>7</v>
      </c>
      <c r="DI192" s="162">
        <v>5207</v>
      </c>
      <c r="DJ192" s="163" t="s">
        <v>935</v>
      </c>
      <c r="DK192" s="169">
        <v>0.84178743961352653</v>
      </c>
    </row>
    <row r="193" spans="11:115" ht="11.1" customHeight="1">
      <c r="K193" s="2"/>
      <c r="CX193" s="120">
        <v>17</v>
      </c>
      <c r="CY193" s="120">
        <v>3217</v>
      </c>
      <c r="CZ193" s="121" t="s">
        <v>514</v>
      </c>
      <c r="DA193" s="181">
        <f t="shared" si="34"/>
        <v>0.78053830227743271</v>
      </c>
      <c r="DC193" s="162">
        <v>2</v>
      </c>
      <c r="DD193" s="162">
        <v>5202</v>
      </c>
      <c r="DE193" s="163" t="s">
        <v>930</v>
      </c>
      <c r="DF193" s="169">
        <v>0.78726708074534169</v>
      </c>
      <c r="DG193" s="161"/>
      <c r="DH193" s="162">
        <v>8</v>
      </c>
      <c r="DI193" s="162">
        <v>5208</v>
      </c>
      <c r="DJ193" s="163" t="s">
        <v>936</v>
      </c>
      <c r="DK193" s="169">
        <v>0.7334368530020704</v>
      </c>
    </row>
    <row r="194" spans="11:115" ht="11.1" customHeight="1">
      <c r="K194" s="2"/>
      <c r="CX194" s="120">
        <v>18</v>
      </c>
      <c r="CY194" s="120">
        <v>3218</v>
      </c>
      <c r="CZ194" s="121" t="s">
        <v>525</v>
      </c>
      <c r="DA194" s="181">
        <f t="shared" si="34"/>
        <v>0.77234299516908211</v>
      </c>
      <c r="DC194" s="162">
        <v>3</v>
      </c>
      <c r="DD194" s="162">
        <v>5203</v>
      </c>
      <c r="DE194" s="163" t="s">
        <v>931</v>
      </c>
      <c r="DF194" s="169">
        <v>0.76130089717046234</v>
      </c>
      <c r="DG194" s="161"/>
      <c r="DH194" s="162">
        <v>9</v>
      </c>
      <c r="DI194" s="162">
        <v>5271</v>
      </c>
      <c r="DJ194" s="163" t="s">
        <v>937</v>
      </c>
      <c r="DK194" s="169">
        <v>0.81978951000690126</v>
      </c>
    </row>
    <row r="195" spans="11:115" ht="11.1" customHeight="1">
      <c r="K195" s="2"/>
      <c r="CX195" s="120">
        <v>19</v>
      </c>
      <c r="CY195" s="120">
        <v>3271</v>
      </c>
      <c r="CZ195" s="121" t="s">
        <v>535</v>
      </c>
      <c r="DA195" s="181">
        <f t="shared" si="34"/>
        <v>0.82289510006901312</v>
      </c>
      <c r="DC195" s="162">
        <v>4</v>
      </c>
      <c r="DD195" s="162">
        <v>5204</v>
      </c>
      <c r="DE195" s="163" t="s">
        <v>932</v>
      </c>
      <c r="DF195" s="169">
        <v>0.77829537612146305</v>
      </c>
      <c r="DG195" s="161"/>
      <c r="DH195" s="162">
        <v>10</v>
      </c>
      <c r="DI195" s="162">
        <v>5272</v>
      </c>
      <c r="DJ195" s="163" t="s">
        <v>938</v>
      </c>
      <c r="DK195" s="169">
        <v>0.80262249827467225</v>
      </c>
    </row>
    <row r="196" spans="11:115" ht="11.1" customHeight="1">
      <c r="K196" s="2"/>
      <c r="CX196" s="120">
        <v>20</v>
      </c>
      <c r="CY196" s="120">
        <v>3272</v>
      </c>
      <c r="CZ196" s="121" t="s">
        <v>544</v>
      </c>
      <c r="DA196" s="181">
        <f t="shared" si="34"/>
        <v>0.78674948240165632</v>
      </c>
      <c r="DC196" s="162">
        <v>5</v>
      </c>
      <c r="DD196" s="162">
        <v>5205</v>
      </c>
      <c r="DE196" s="163" t="s">
        <v>933</v>
      </c>
      <c r="DF196" s="169">
        <v>0.81211180124223603</v>
      </c>
      <c r="DG196" s="161"/>
      <c r="DH196" s="161"/>
      <c r="DI196" s="161"/>
      <c r="DJ196" s="161"/>
      <c r="DK196" s="170"/>
    </row>
    <row r="197" spans="11:115" ht="11.1" customHeight="1">
      <c r="K197" s="2"/>
      <c r="CX197" s="120">
        <v>21</v>
      </c>
      <c r="CY197" s="120">
        <v>3273</v>
      </c>
      <c r="CZ197" s="121" t="s">
        <v>553</v>
      </c>
      <c r="DA197" s="181">
        <f t="shared" si="34"/>
        <v>0.8889751552795031</v>
      </c>
      <c r="DC197" s="161"/>
      <c r="DD197" s="161"/>
      <c r="DE197" s="161"/>
      <c r="DF197" s="170"/>
      <c r="DG197" s="161"/>
      <c r="DH197" s="161"/>
      <c r="DI197" s="161"/>
      <c r="DJ197" s="161"/>
      <c r="DK197" s="170"/>
    </row>
    <row r="198" spans="11:115" ht="11.1" customHeight="1">
      <c r="K198" s="2"/>
      <c r="CX198" s="120">
        <v>22</v>
      </c>
      <c r="CY198" s="120">
        <v>3274</v>
      </c>
      <c r="CZ198" s="121" t="s">
        <v>562</v>
      </c>
      <c r="DA198" s="181">
        <f t="shared" si="34"/>
        <v>0.78329882677708762</v>
      </c>
      <c r="DC198" s="155" t="s">
        <v>1192</v>
      </c>
      <c r="DD198" s="156" t="s">
        <v>1535</v>
      </c>
      <c r="DE198" s="157" t="s">
        <v>1629</v>
      </c>
      <c r="DF198" s="167" t="s">
        <v>1537</v>
      </c>
      <c r="DG198" s="158"/>
      <c r="DH198" s="155" t="s">
        <v>1192</v>
      </c>
      <c r="DI198" s="156" t="s">
        <v>1535</v>
      </c>
      <c r="DJ198" s="157" t="s">
        <v>1629</v>
      </c>
      <c r="DK198" s="167" t="s">
        <v>1537</v>
      </c>
    </row>
    <row r="199" spans="11:115" ht="11.1" customHeight="1">
      <c r="K199" s="2"/>
      <c r="CX199" s="120">
        <v>23</v>
      </c>
      <c r="CY199" s="120">
        <v>3275</v>
      </c>
      <c r="CZ199" s="121" t="s">
        <v>571</v>
      </c>
      <c r="DA199" s="181">
        <f t="shared" si="34"/>
        <v>0.88500690131124915</v>
      </c>
      <c r="DC199" s="159" t="s">
        <v>1544</v>
      </c>
      <c r="DD199" s="159">
        <v>5300</v>
      </c>
      <c r="DE199" s="160" t="s">
        <v>939</v>
      </c>
      <c r="DF199" s="168">
        <v>0.82763975155279501</v>
      </c>
      <c r="DG199" s="161"/>
      <c r="DH199" s="162">
        <v>12</v>
      </c>
      <c r="DI199" s="162">
        <v>5312</v>
      </c>
      <c r="DJ199" s="163" t="s">
        <v>951</v>
      </c>
      <c r="DK199" s="169">
        <v>0.84083850931677018</v>
      </c>
    </row>
    <row r="200" spans="11:115" ht="11.1" customHeight="1">
      <c r="K200" s="2"/>
      <c r="CX200" s="120">
        <v>24</v>
      </c>
      <c r="CY200" s="120">
        <v>3276</v>
      </c>
      <c r="CZ200" s="121" t="s">
        <v>578</v>
      </c>
      <c r="DA200" s="181">
        <f t="shared" si="34"/>
        <v>0.93944099378881996</v>
      </c>
      <c r="DC200" s="162">
        <v>1</v>
      </c>
      <c r="DD200" s="162">
        <v>5301</v>
      </c>
      <c r="DE200" s="163" t="s">
        <v>940</v>
      </c>
      <c r="DF200" s="169">
        <v>0.89484126984126988</v>
      </c>
      <c r="DG200" s="161"/>
      <c r="DH200" s="162">
        <v>13</v>
      </c>
      <c r="DI200" s="162">
        <v>5313</v>
      </c>
      <c r="DJ200" s="163" t="s">
        <v>952</v>
      </c>
      <c r="DK200" s="169">
        <v>0.81771911663216013</v>
      </c>
    </row>
    <row r="201" spans="11:115" ht="11.1" customHeight="1">
      <c r="K201" s="2"/>
      <c r="CX201" s="120">
        <v>25</v>
      </c>
      <c r="CY201" s="120">
        <v>3277</v>
      </c>
      <c r="CZ201" s="121" t="s">
        <v>585</v>
      </c>
      <c r="DA201" s="181">
        <f t="shared" si="34"/>
        <v>0.86206004140786752</v>
      </c>
      <c r="DC201" s="162">
        <v>2</v>
      </c>
      <c r="DD201" s="162">
        <v>5302</v>
      </c>
      <c r="DE201" s="163" t="s">
        <v>941</v>
      </c>
      <c r="DF201" s="169">
        <v>0.82177363699102834</v>
      </c>
      <c r="DG201" s="161"/>
      <c r="DH201" s="162">
        <v>14</v>
      </c>
      <c r="DI201" s="162">
        <v>5314</v>
      </c>
      <c r="DJ201" s="163" t="s">
        <v>953</v>
      </c>
      <c r="DK201" s="169">
        <v>0.88699102829537602</v>
      </c>
    </row>
    <row r="202" spans="11:115" ht="11.1" customHeight="1">
      <c r="K202" s="2"/>
      <c r="CX202" s="120">
        <v>26</v>
      </c>
      <c r="CY202" s="120">
        <v>3278</v>
      </c>
      <c r="CZ202" s="121" t="s">
        <v>591</v>
      </c>
      <c r="DA202" s="181">
        <f t="shared" si="34"/>
        <v>0.82332643202208411</v>
      </c>
      <c r="DC202" s="162">
        <v>3</v>
      </c>
      <c r="DD202" s="162">
        <v>5303</v>
      </c>
      <c r="DE202" s="163" t="s">
        <v>942</v>
      </c>
      <c r="DF202" s="169">
        <v>0.76112836438923392</v>
      </c>
      <c r="DG202" s="161"/>
      <c r="DH202" s="162">
        <v>15</v>
      </c>
      <c r="DI202" s="162">
        <v>5315</v>
      </c>
      <c r="DJ202" s="163" t="s">
        <v>954</v>
      </c>
      <c r="DK202" s="169">
        <v>0.78994133885438222</v>
      </c>
    </row>
    <row r="203" spans="11:115" ht="11.1" customHeight="1">
      <c r="K203" s="2"/>
      <c r="CX203" s="120">
        <v>27</v>
      </c>
      <c r="CY203" s="120">
        <v>3279</v>
      </c>
      <c r="CZ203" s="121" t="s">
        <v>597</v>
      </c>
      <c r="DA203" s="181">
        <f t="shared" si="34"/>
        <v>0.7594893029675639</v>
      </c>
      <c r="DC203" s="162">
        <v>4</v>
      </c>
      <c r="DD203" s="162">
        <v>5304</v>
      </c>
      <c r="DE203" s="163" t="s">
        <v>943</v>
      </c>
      <c r="DF203" s="169">
        <v>0.78925120772946855</v>
      </c>
      <c r="DG203" s="161"/>
      <c r="DH203" s="162">
        <v>17</v>
      </c>
      <c r="DI203" s="162">
        <v>5317</v>
      </c>
      <c r="DJ203" s="163" t="s">
        <v>955</v>
      </c>
      <c r="DK203" s="169">
        <v>0.86939268461007591</v>
      </c>
    </row>
    <row r="204" spans="11:115" ht="11.1" customHeight="1">
      <c r="K204" s="2"/>
      <c r="CX204" s="118" t="s">
        <v>1538</v>
      </c>
      <c r="CY204" s="118">
        <v>3300</v>
      </c>
      <c r="CZ204" s="119" t="s">
        <v>29</v>
      </c>
      <c r="DA204" s="180">
        <f t="shared" ref="DA204:DA221" si="35">DF130</f>
        <v>0.8027087646652864</v>
      </c>
      <c r="DC204" s="162">
        <v>5</v>
      </c>
      <c r="DD204" s="162">
        <v>5305</v>
      </c>
      <c r="DE204" s="163" t="s">
        <v>944</v>
      </c>
      <c r="DF204" s="169">
        <v>0.71894409937888204</v>
      </c>
      <c r="DG204" s="161"/>
      <c r="DH204" s="162">
        <v>16</v>
      </c>
      <c r="DI204" s="162">
        <v>5316</v>
      </c>
      <c r="DJ204" s="163" t="s">
        <v>956</v>
      </c>
      <c r="DK204" s="169">
        <v>0.85766045548654246</v>
      </c>
    </row>
    <row r="205" spans="11:115" ht="11.1" customHeight="1">
      <c r="K205" s="2"/>
      <c r="CX205" s="120">
        <v>1</v>
      </c>
      <c r="CY205" s="120">
        <v>3301</v>
      </c>
      <c r="CZ205" s="121" t="s">
        <v>103</v>
      </c>
      <c r="DA205" s="181">
        <f t="shared" si="35"/>
        <v>0.76949620427881293</v>
      </c>
      <c r="DC205" s="162">
        <v>6</v>
      </c>
      <c r="DD205" s="162">
        <v>5306</v>
      </c>
      <c r="DE205" s="163" t="s">
        <v>945</v>
      </c>
      <c r="DF205" s="169">
        <v>0.75362318840579712</v>
      </c>
      <c r="DG205" s="161"/>
      <c r="DH205" s="162">
        <v>18</v>
      </c>
      <c r="DI205" s="162">
        <v>5318</v>
      </c>
      <c r="DJ205" s="163" t="s">
        <v>957</v>
      </c>
      <c r="DK205" s="169">
        <v>0.86067977915803995</v>
      </c>
    </row>
    <row r="206" spans="11:115" ht="11.1" customHeight="1">
      <c r="K206" s="2"/>
      <c r="CX206" s="120">
        <v>2</v>
      </c>
      <c r="CY206" s="120">
        <v>3302</v>
      </c>
      <c r="CZ206" s="121" t="s">
        <v>138</v>
      </c>
      <c r="DA206" s="181">
        <f t="shared" si="35"/>
        <v>0.74560041407867494</v>
      </c>
      <c r="DC206" s="162">
        <v>7</v>
      </c>
      <c r="DD206" s="162">
        <v>5307</v>
      </c>
      <c r="DE206" s="163" t="s">
        <v>946</v>
      </c>
      <c r="DF206" s="169">
        <v>0.89648033126293991</v>
      </c>
      <c r="DG206" s="161"/>
      <c r="DH206" s="162">
        <v>19</v>
      </c>
      <c r="DI206" s="162">
        <v>5319</v>
      </c>
      <c r="DJ206" s="163" t="s">
        <v>958</v>
      </c>
      <c r="DK206" s="169">
        <v>0.82945134575569357</v>
      </c>
    </row>
    <row r="207" spans="11:115" ht="11.1" customHeight="1">
      <c r="K207" s="2"/>
      <c r="CX207" s="120">
        <v>3</v>
      </c>
      <c r="CY207" s="120">
        <v>3303</v>
      </c>
      <c r="CZ207" s="121" t="s">
        <v>172</v>
      </c>
      <c r="DA207" s="181">
        <f t="shared" si="35"/>
        <v>0.74792960662525876</v>
      </c>
      <c r="DC207" s="162">
        <v>8</v>
      </c>
      <c r="DD207" s="162">
        <v>5308</v>
      </c>
      <c r="DE207" s="163" t="s">
        <v>947</v>
      </c>
      <c r="DF207" s="169">
        <v>0.81469979296066253</v>
      </c>
      <c r="DG207" s="161"/>
      <c r="DH207" s="162">
        <v>20</v>
      </c>
      <c r="DI207" s="162">
        <v>5320</v>
      </c>
      <c r="DJ207" s="163" t="s">
        <v>959</v>
      </c>
      <c r="DK207" s="169">
        <v>0.96903036576949619</v>
      </c>
    </row>
    <row r="208" spans="11:115" ht="11.1" customHeight="1">
      <c r="K208" s="2"/>
      <c r="CX208" s="120">
        <v>4</v>
      </c>
      <c r="CY208" s="120">
        <v>3304</v>
      </c>
      <c r="CZ208" s="121" t="s">
        <v>206</v>
      </c>
      <c r="DA208" s="181">
        <f t="shared" si="35"/>
        <v>0.77915804002760514</v>
      </c>
      <c r="DC208" s="162">
        <v>9</v>
      </c>
      <c r="DD208" s="162">
        <v>5309</v>
      </c>
      <c r="DE208" s="163" t="s">
        <v>948</v>
      </c>
      <c r="DF208" s="169">
        <v>0.9216701173222912</v>
      </c>
      <c r="DG208" s="161"/>
      <c r="DH208" s="162">
        <v>21</v>
      </c>
      <c r="DI208" s="162">
        <v>5321</v>
      </c>
      <c r="DJ208" s="163" t="s">
        <v>960</v>
      </c>
      <c r="DK208" s="169">
        <v>0.78234989648033126</v>
      </c>
    </row>
    <row r="209" spans="11:115" ht="11.1" customHeight="1">
      <c r="K209" s="2"/>
      <c r="CX209" s="120">
        <v>5</v>
      </c>
      <c r="CY209" s="120">
        <v>3305</v>
      </c>
      <c r="CZ209" s="121" t="s">
        <v>241</v>
      </c>
      <c r="DA209" s="181">
        <f t="shared" si="35"/>
        <v>0.73136645962732916</v>
      </c>
      <c r="DC209" s="162">
        <v>10</v>
      </c>
      <c r="DD209" s="162">
        <v>5310</v>
      </c>
      <c r="DE209" s="163" t="s">
        <v>949</v>
      </c>
      <c r="DF209" s="169">
        <v>0.77208419599723943</v>
      </c>
      <c r="DG209" s="161"/>
      <c r="DH209" s="162">
        <v>22</v>
      </c>
      <c r="DI209" s="162">
        <v>5371</v>
      </c>
      <c r="DJ209" s="163" t="s">
        <v>961</v>
      </c>
      <c r="DK209" s="169">
        <v>0.7818322981366459</v>
      </c>
    </row>
    <row r="210" spans="11:115" ht="11.1" customHeight="1">
      <c r="K210" s="2"/>
      <c r="CX210" s="120">
        <v>6</v>
      </c>
      <c r="CY210" s="120">
        <v>3306</v>
      </c>
      <c r="CZ210" s="121" t="s">
        <v>276</v>
      </c>
      <c r="DA210" s="181">
        <f t="shared" si="35"/>
        <v>0.77070393374741197</v>
      </c>
      <c r="DC210" s="162">
        <v>11</v>
      </c>
      <c r="DD210" s="162">
        <v>5311</v>
      </c>
      <c r="DE210" s="163" t="s">
        <v>950</v>
      </c>
      <c r="DF210" s="169">
        <v>0.82384403036576948</v>
      </c>
      <c r="DG210" s="161"/>
      <c r="DH210" s="161"/>
      <c r="DI210" s="161"/>
      <c r="DJ210" s="161"/>
      <c r="DK210" s="170"/>
    </row>
    <row r="211" spans="11:115" ht="11.1" customHeight="1">
      <c r="K211" s="2"/>
      <c r="CX211" s="120">
        <v>7</v>
      </c>
      <c r="CY211" s="120">
        <v>3307</v>
      </c>
      <c r="CZ211" s="121" t="s">
        <v>308</v>
      </c>
      <c r="DA211" s="181">
        <f t="shared" si="35"/>
        <v>0.78278122843340225</v>
      </c>
      <c r="DC211" s="161"/>
      <c r="DD211" s="161"/>
      <c r="DE211" s="161"/>
      <c r="DF211" s="170"/>
      <c r="DG211" s="161"/>
      <c r="DH211" s="161"/>
      <c r="DI211" s="161"/>
      <c r="DJ211" s="161"/>
      <c r="DK211" s="170"/>
    </row>
    <row r="212" spans="11:115" ht="11.1" customHeight="1">
      <c r="K212" s="2"/>
      <c r="CX212" s="120">
        <v>8</v>
      </c>
      <c r="CY212" s="120">
        <v>3308</v>
      </c>
      <c r="CZ212" s="121" t="s">
        <v>336</v>
      </c>
      <c r="DA212" s="181">
        <f t="shared" si="35"/>
        <v>0.77803657694962036</v>
      </c>
      <c r="DC212" s="155" t="s">
        <v>1192</v>
      </c>
      <c r="DD212" s="156" t="s">
        <v>1535</v>
      </c>
      <c r="DE212" s="157" t="s">
        <v>1629</v>
      </c>
      <c r="DF212" s="167" t="s">
        <v>1537</v>
      </c>
      <c r="DG212" s="158"/>
      <c r="DH212" s="155" t="s">
        <v>1192</v>
      </c>
      <c r="DI212" s="156" t="s">
        <v>1535</v>
      </c>
      <c r="DJ212" s="157" t="s">
        <v>1629</v>
      </c>
      <c r="DK212" s="167" t="s">
        <v>1537</v>
      </c>
    </row>
    <row r="213" spans="11:115" ht="11.1" customHeight="1">
      <c r="K213" s="2"/>
      <c r="CX213" s="120">
        <v>9</v>
      </c>
      <c r="CY213" s="120">
        <v>3309</v>
      </c>
      <c r="CZ213" s="121" t="s">
        <v>363</v>
      </c>
      <c r="DA213" s="181">
        <f t="shared" si="35"/>
        <v>0.80598688750862668</v>
      </c>
      <c r="DC213" s="159" t="s">
        <v>1545</v>
      </c>
      <c r="DD213" s="159">
        <v>6100</v>
      </c>
      <c r="DE213" s="160" t="s">
        <v>962</v>
      </c>
      <c r="DF213" s="168">
        <v>0.94133885438233267</v>
      </c>
      <c r="DG213" s="161"/>
      <c r="DH213" s="162">
        <v>8</v>
      </c>
      <c r="DI213" s="162">
        <v>6108</v>
      </c>
      <c r="DJ213" s="163" t="s">
        <v>970</v>
      </c>
      <c r="DK213" s="169">
        <v>1.0547791580400276</v>
      </c>
    </row>
    <row r="214" spans="11:115" ht="11.1" customHeight="1">
      <c r="K214" s="2"/>
      <c r="CX214" s="120">
        <v>10</v>
      </c>
      <c r="CY214" s="120">
        <v>3310</v>
      </c>
      <c r="CZ214" s="121" t="s">
        <v>390</v>
      </c>
      <c r="DA214" s="181">
        <f t="shared" si="35"/>
        <v>0.80193236714975835</v>
      </c>
      <c r="DC214" s="162">
        <v>1</v>
      </c>
      <c r="DD214" s="162">
        <v>6101</v>
      </c>
      <c r="DE214" s="163" t="s">
        <v>963</v>
      </c>
      <c r="DF214" s="169">
        <v>1.0182022084195996</v>
      </c>
      <c r="DG214" s="161"/>
      <c r="DH214" s="162">
        <v>9</v>
      </c>
      <c r="DI214" s="162">
        <v>6109</v>
      </c>
      <c r="DJ214" s="163" t="s">
        <v>971</v>
      </c>
      <c r="DK214" s="169">
        <v>0.90890269151138714</v>
      </c>
    </row>
    <row r="215" spans="11:115" ht="11.1" customHeight="1">
      <c r="K215" s="2"/>
      <c r="CX215" s="120">
        <v>11</v>
      </c>
      <c r="CY215" s="120">
        <v>3311</v>
      </c>
      <c r="CZ215" s="121" t="s">
        <v>415</v>
      </c>
      <c r="DA215" s="181">
        <f t="shared" si="35"/>
        <v>0.79805037957211877</v>
      </c>
      <c r="DC215" s="162">
        <v>2</v>
      </c>
      <c r="DD215" s="162">
        <v>6102</v>
      </c>
      <c r="DE215" s="163" t="s">
        <v>964</v>
      </c>
      <c r="DF215" s="169">
        <v>0.94530710835058662</v>
      </c>
      <c r="DG215" s="161"/>
      <c r="DH215" s="162">
        <v>10</v>
      </c>
      <c r="DI215" s="162">
        <v>6110</v>
      </c>
      <c r="DJ215" s="163" t="s">
        <v>972</v>
      </c>
      <c r="DK215" s="169">
        <v>0.94755003450655628</v>
      </c>
    </row>
    <row r="216" spans="11:115" ht="11.1" customHeight="1">
      <c r="K216" s="2"/>
      <c r="CX216" s="120">
        <v>12</v>
      </c>
      <c r="CY216" s="120">
        <v>3312</v>
      </c>
      <c r="CZ216" s="121" t="s">
        <v>436</v>
      </c>
      <c r="DA216" s="181">
        <f t="shared" si="35"/>
        <v>0.80055210489993101</v>
      </c>
      <c r="DC216" s="162">
        <v>3</v>
      </c>
      <c r="DD216" s="162">
        <v>6103</v>
      </c>
      <c r="DE216" s="163" t="s">
        <v>965</v>
      </c>
      <c r="DF216" s="169">
        <v>0.95350241545893721</v>
      </c>
      <c r="DG216" s="161"/>
      <c r="DH216" s="162">
        <v>11</v>
      </c>
      <c r="DI216" s="162">
        <v>6111</v>
      </c>
      <c r="DJ216" s="163" t="s">
        <v>973</v>
      </c>
      <c r="DK216" s="169">
        <v>0.91934092477570728</v>
      </c>
    </row>
    <row r="217" spans="11:115" ht="11.1" customHeight="1">
      <c r="K217" s="2"/>
      <c r="CX217" s="120">
        <v>13</v>
      </c>
      <c r="CY217" s="120">
        <v>3313</v>
      </c>
      <c r="CZ217" s="121" t="s">
        <v>455</v>
      </c>
      <c r="DA217" s="181">
        <f t="shared" si="35"/>
        <v>0.81349206349206349</v>
      </c>
      <c r="DC217" s="162">
        <v>4</v>
      </c>
      <c r="DD217" s="162">
        <v>6104</v>
      </c>
      <c r="DE217" s="163" t="s">
        <v>966</v>
      </c>
      <c r="DF217" s="169">
        <v>0.96523464458247066</v>
      </c>
      <c r="DG217" s="161"/>
      <c r="DH217" s="162">
        <v>12</v>
      </c>
      <c r="DI217" s="162">
        <v>6112</v>
      </c>
      <c r="DJ217" s="163" t="s">
        <v>974</v>
      </c>
      <c r="DK217" s="169">
        <v>0.93564527260179431</v>
      </c>
    </row>
    <row r="218" spans="11:115" ht="11.1" customHeight="1">
      <c r="K218" s="2"/>
      <c r="CX218" s="120">
        <v>14</v>
      </c>
      <c r="CY218" s="120">
        <v>3314</v>
      </c>
      <c r="CZ218" s="121" t="s">
        <v>474</v>
      </c>
      <c r="DA218" s="181">
        <f t="shared" si="35"/>
        <v>0.77889924085576268</v>
      </c>
      <c r="DC218" s="162">
        <v>5</v>
      </c>
      <c r="DD218" s="162">
        <v>6105</v>
      </c>
      <c r="DE218" s="163" t="s">
        <v>967</v>
      </c>
      <c r="DF218" s="169">
        <v>0.96048999309868877</v>
      </c>
      <c r="DG218" s="161"/>
      <c r="DH218" s="162">
        <v>13</v>
      </c>
      <c r="DI218" s="162">
        <v>6171</v>
      </c>
      <c r="DJ218" s="163" t="s">
        <v>975</v>
      </c>
      <c r="DK218" s="169">
        <v>0.8358350586611456</v>
      </c>
    </row>
    <row r="219" spans="11:115" ht="11.1" customHeight="1">
      <c r="K219" s="2"/>
      <c r="CX219" s="120">
        <v>15</v>
      </c>
      <c r="CY219" s="120">
        <v>3315</v>
      </c>
      <c r="CZ219" s="121" t="s">
        <v>490</v>
      </c>
      <c r="DA219" s="181">
        <f t="shared" si="35"/>
        <v>0.84204623878536922</v>
      </c>
      <c r="DC219" s="162">
        <v>6</v>
      </c>
      <c r="DD219" s="162">
        <v>6106</v>
      </c>
      <c r="DE219" s="163" t="s">
        <v>968</v>
      </c>
      <c r="DF219" s="169">
        <v>0.95548654244306419</v>
      </c>
      <c r="DG219" s="161"/>
      <c r="DH219" s="162">
        <v>14</v>
      </c>
      <c r="DI219" s="162">
        <v>6172</v>
      </c>
      <c r="DJ219" s="163" t="s">
        <v>976</v>
      </c>
      <c r="DK219" s="169">
        <v>0.907263630089717</v>
      </c>
    </row>
    <row r="220" spans="11:115" ht="11.1" customHeight="1">
      <c r="K220" s="2"/>
      <c r="CX220" s="120">
        <v>16</v>
      </c>
      <c r="CY220" s="120">
        <v>3316</v>
      </c>
      <c r="CZ220" s="121" t="s">
        <v>503</v>
      </c>
      <c r="DA220" s="181">
        <f t="shared" si="35"/>
        <v>0.83712905452035891</v>
      </c>
      <c r="DC220" s="162">
        <v>7</v>
      </c>
      <c r="DD220" s="162">
        <v>6107</v>
      </c>
      <c r="DE220" s="163" t="s">
        <v>969</v>
      </c>
      <c r="DF220" s="169">
        <v>0.89009661835748799</v>
      </c>
      <c r="DG220" s="161"/>
      <c r="DH220" s="161"/>
      <c r="DI220" s="161"/>
      <c r="DJ220" s="161"/>
      <c r="DK220" s="170"/>
    </row>
    <row r="221" spans="11:115" ht="11.1" customHeight="1">
      <c r="K221" s="2"/>
      <c r="CX221" s="120">
        <v>17</v>
      </c>
      <c r="CY221" s="120">
        <v>3317</v>
      </c>
      <c r="CZ221" s="121" t="s">
        <v>515</v>
      </c>
      <c r="DA221" s="181">
        <f t="shared" si="35"/>
        <v>0.84213250517598348</v>
      </c>
      <c r="DC221" s="161"/>
      <c r="DD221" s="161"/>
      <c r="DE221" s="161"/>
      <c r="DF221" s="170"/>
      <c r="DG221" s="161"/>
      <c r="DH221" s="161"/>
      <c r="DI221" s="161"/>
      <c r="DJ221" s="161"/>
      <c r="DK221" s="170"/>
    </row>
    <row r="222" spans="11:115" ht="11.1" customHeight="1">
      <c r="K222" s="2"/>
      <c r="CX222" s="120">
        <v>18</v>
      </c>
      <c r="CY222" s="120">
        <v>3318</v>
      </c>
      <c r="CZ222" s="121" t="s">
        <v>526</v>
      </c>
      <c r="DA222" s="181">
        <f t="shared" ref="DA222:DA239" si="36">DK130</f>
        <v>0.83091787439613518</v>
      </c>
      <c r="DC222" s="155" t="s">
        <v>1192</v>
      </c>
      <c r="DD222" s="156" t="s">
        <v>1535</v>
      </c>
      <c r="DE222" s="157" t="s">
        <v>1629</v>
      </c>
      <c r="DF222" s="167" t="s">
        <v>1537</v>
      </c>
      <c r="DG222" s="158"/>
      <c r="DH222" s="155" t="s">
        <v>1192</v>
      </c>
      <c r="DI222" s="156" t="s">
        <v>1535</v>
      </c>
      <c r="DJ222" s="157" t="s">
        <v>1629</v>
      </c>
      <c r="DK222" s="167" t="s">
        <v>1537</v>
      </c>
    </row>
    <row r="223" spans="11:115" ht="11.1" customHeight="1">
      <c r="K223" s="2"/>
      <c r="CX223" s="120">
        <v>19</v>
      </c>
      <c r="CY223" s="120">
        <v>3319</v>
      </c>
      <c r="CZ223" s="121" t="s">
        <v>536</v>
      </c>
      <c r="DA223" s="181">
        <f t="shared" si="36"/>
        <v>0.80909247757073843</v>
      </c>
      <c r="DC223" s="159" t="s">
        <v>1546</v>
      </c>
      <c r="DD223" s="159">
        <v>6200</v>
      </c>
      <c r="DE223" s="160" t="s">
        <v>977</v>
      </c>
      <c r="DF223" s="168">
        <v>0.84083850931677018</v>
      </c>
      <c r="DG223" s="161"/>
      <c r="DH223" s="162">
        <v>8</v>
      </c>
      <c r="DI223" s="162">
        <v>6208</v>
      </c>
      <c r="DJ223" s="163" t="s">
        <v>985</v>
      </c>
      <c r="DK223" s="169">
        <v>0.8253105590062112</v>
      </c>
    </row>
    <row r="224" spans="11:115" ht="11.1" customHeight="1">
      <c r="K224" s="2"/>
      <c r="CX224" s="120">
        <v>20</v>
      </c>
      <c r="CY224" s="120">
        <v>3320</v>
      </c>
      <c r="CZ224" s="121" t="s">
        <v>545</v>
      </c>
      <c r="DA224" s="181">
        <f t="shared" si="36"/>
        <v>0.86421670117322291</v>
      </c>
      <c r="DC224" s="162">
        <v>1</v>
      </c>
      <c r="DD224" s="162">
        <v>6201</v>
      </c>
      <c r="DE224" s="163" t="s">
        <v>978</v>
      </c>
      <c r="DF224" s="169">
        <v>0.77096273291925466</v>
      </c>
      <c r="DG224" s="161"/>
      <c r="DH224" s="162">
        <v>9</v>
      </c>
      <c r="DI224" s="162">
        <v>6209</v>
      </c>
      <c r="DJ224" s="163" t="s">
        <v>986</v>
      </c>
      <c r="DK224" s="169">
        <v>0.81254313319530702</v>
      </c>
    </row>
    <row r="225" spans="11:115" ht="11.1" customHeight="1">
      <c r="K225" s="2"/>
      <c r="CX225" s="120">
        <v>21</v>
      </c>
      <c r="CY225" s="120">
        <v>3321</v>
      </c>
      <c r="CZ225" s="121" t="s">
        <v>554</v>
      </c>
      <c r="DA225" s="181">
        <f t="shared" si="36"/>
        <v>0.83221187025534848</v>
      </c>
      <c r="DC225" s="162">
        <v>2</v>
      </c>
      <c r="DD225" s="162">
        <v>6202</v>
      </c>
      <c r="DE225" s="163" t="s">
        <v>979</v>
      </c>
      <c r="DF225" s="169">
        <v>0.81375086266390606</v>
      </c>
      <c r="DG225" s="161"/>
      <c r="DH225" s="162">
        <v>10</v>
      </c>
      <c r="DI225" s="162">
        <v>6210</v>
      </c>
      <c r="DJ225" s="163" t="s">
        <v>987</v>
      </c>
      <c r="DK225" s="169">
        <v>0.83385093167701863</v>
      </c>
    </row>
    <row r="226" spans="11:115" ht="11.1" customHeight="1">
      <c r="K226" s="2"/>
      <c r="CX226" s="120">
        <v>22</v>
      </c>
      <c r="CY226" s="120">
        <v>3322</v>
      </c>
      <c r="CZ226" s="121" t="s">
        <v>563</v>
      </c>
      <c r="DA226" s="181">
        <f t="shared" si="36"/>
        <v>0.87750172532781223</v>
      </c>
      <c r="DC226" s="162">
        <v>3</v>
      </c>
      <c r="DD226" s="162">
        <v>6203</v>
      </c>
      <c r="DE226" s="163" t="s">
        <v>980</v>
      </c>
      <c r="DF226" s="169">
        <v>0.75284679089026907</v>
      </c>
      <c r="DG226" s="161"/>
      <c r="DH226" s="162">
        <v>11</v>
      </c>
      <c r="DI226" s="162">
        <v>6211</v>
      </c>
      <c r="DJ226" s="163" t="s">
        <v>988</v>
      </c>
      <c r="DK226" s="169">
        <v>0.85921325051759834</v>
      </c>
    </row>
    <row r="227" spans="11:115" ht="11.1" customHeight="1">
      <c r="K227" s="2"/>
      <c r="CX227" s="120">
        <v>23</v>
      </c>
      <c r="CY227" s="120">
        <v>3323</v>
      </c>
      <c r="CZ227" s="121" t="s">
        <v>572</v>
      </c>
      <c r="DA227" s="181">
        <f t="shared" si="36"/>
        <v>0.79684265010351973</v>
      </c>
      <c r="DC227" s="162">
        <v>4</v>
      </c>
      <c r="DD227" s="162">
        <v>6204</v>
      </c>
      <c r="DE227" s="163" t="s">
        <v>981</v>
      </c>
      <c r="DF227" s="169">
        <v>0.84618702553485159</v>
      </c>
      <c r="DG227" s="161"/>
      <c r="DH227" s="162">
        <v>12</v>
      </c>
      <c r="DI227" s="162">
        <v>6212</v>
      </c>
      <c r="DJ227" s="163" t="s">
        <v>989</v>
      </c>
      <c r="DK227" s="169">
        <v>0.80978260869565222</v>
      </c>
    </row>
    <row r="228" spans="11:115" ht="11.1" customHeight="1">
      <c r="K228" s="2"/>
      <c r="CX228" s="120">
        <v>24</v>
      </c>
      <c r="CY228" s="120">
        <v>3324</v>
      </c>
      <c r="CZ228" s="121" t="s">
        <v>579</v>
      </c>
      <c r="DA228" s="181">
        <f t="shared" si="36"/>
        <v>0.80848861283643891</v>
      </c>
      <c r="DC228" s="162">
        <v>5</v>
      </c>
      <c r="DD228" s="162">
        <v>6205</v>
      </c>
      <c r="DE228" s="163" t="s">
        <v>982</v>
      </c>
      <c r="DF228" s="169">
        <v>0.84765355417529331</v>
      </c>
      <c r="DG228" s="161"/>
      <c r="DH228" s="162">
        <v>13</v>
      </c>
      <c r="DI228" s="162">
        <v>6213</v>
      </c>
      <c r="DJ228" s="163" t="s">
        <v>990</v>
      </c>
      <c r="DK228" s="169">
        <v>0.98878536922015181</v>
      </c>
    </row>
    <row r="229" spans="11:115" ht="11.1" customHeight="1">
      <c r="K229" s="2"/>
      <c r="CX229" s="120">
        <v>25</v>
      </c>
      <c r="CY229" s="120">
        <v>3325</v>
      </c>
      <c r="CZ229" s="121" t="s">
        <v>586</v>
      </c>
      <c r="DA229" s="181">
        <f t="shared" si="36"/>
        <v>0.79373706004140787</v>
      </c>
      <c r="DC229" s="162">
        <v>6</v>
      </c>
      <c r="DD229" s="162">
        <v>6206</v>
      </c>
      <c r="DE229" s="163" t="s">
        <v>983</v>
      </c>
      <c r="DF229" s="169">
        <v>0.88750862663906138</v>
      </c>
      <c r="DG229" s="161"/>
      <c r="DH229" s="162">
        <v>14</v>
      </c>
      <c r="DI229" s="162">
        <v>6271</v>
      </c>
      <c r="DJ229" s="163" t="s">
        <v>991</v>
      </c>
      <c r="DK229" s="169">
        <v>0.82134230503795713</v>
      </c>
    </row>
    <row r="230" spans="11:115" ht="11.1" customHeight="1">
      <c r="K230" s="2"/>
      <c r="CX230" s="120">
        <v>26</v>
      </c>
      <c r="CY230" s="120">
        <v>3326</v>
      </c>
      <c r="CZ230" s="121" t="s">
        <v>592</v>
      </c>
      <c r="DA230" s="181">
        <f t="shared" si="36"/>
        <v>0.79675638371290547</v>
      </c>
      <c r="DC230" s="162">
        <v>7</v>
      </c>
      <c r="DD230" s="162">
        <v>6207</v>
      </c>
      <c r="DE230" s="163" t="s">
        <v>984</v>
      </c>
      <c r="DF230" s="169">
        <v>0.83385093167701863</v>
      </c>
      <c r="DG230" s="161"/>
      <c r="DH230" s="161"/>
      <c r="DI230" s="161"/>
      <c r="DJ230" s="161"/>
      <c r="DK230" s="170"/>
    </row>
    <row r="231" spans="11:115" ht="11.1" customHeight="1">
      <c r="K231" s="2"/>
      <c r="CX231" s="120">
        <v>27</v>
      </c>
      <c r="CY231" s="120">
        <v>3327</v>
      </c>
      <c r="CZ231" s="121" t="s">
        <v>598</v>
      </c>
      <c r="DA231" s="181">
        <f t="shared" si="36"/>
        <v>0.87189440993788814</v>
      </c>
      <c r="DC231" s="161"/>
      <c r="DD231" s="161"/>
      <c r="DE231" s="161"/>
      <c r="DF231" s="170"/>
      <c r="DG231" s="161"/>
      <c r="DH231" s="161"/>
      <c r="DI231" s="161"/>
      <c r="DJ231" s="161"/>
      <c r="DK231" s="170"/>
    </row>
    <row r="232" spans="11:115" ht="11.1" customHeight="1">
      <c r="K232" s="2"/>
      <c r="CX232" s="120">
        <v>28</v>
      </c>
      <c r="CY232" s="120">
        <v>3328</v>
      </c>
      <c r="CZ232" s="121" t="s">
        <v>603</v>
      </c>
      <c r="DA232" s="181">
        <f t="shared" si="36"/>
        <v>0.76647688060731534</v>
      </c>
      <c r="DC232" s="155" t="s">
        <v>1192</v>
      </c>
      <c r="DD232" s="156" t="s">
        <v>1535</v>
      </c>
      <c r="DE232" s="157" t="s">
        <v>1629</v>
      </c>
      <c r="DF232" s="167" t="s">
        <v>1537</v>
      </c>
      <c r="DG232" s="158"/>
      <c r="DH232" s="155" t="s">
        <v>1192</v>
      </c>
      <c r="DI232" s="156" t="s">
        <v>1535</v>
      </c>
      <c r="DJ232" s="157" t="s">
        <v>1629</v>
      </c>
      <c r="DK232" s="167" t="s">
        <v>1537</v>
      </c>
    </row>
    <row r="233" spans="11:115" ht="11.1" customHeight="1">
      <c r="K233" s="2"/>
      <c r="CX233" s="120">
        <v>29</v>
      </c>
      <c r="CY233" s="120">
        <v>3329</v>
      </c>
      <c r="CZ233" s="121" t="s">
        <v>608</v>
      </c>
      <c r="DA233" s="181">
        <f t="shared" si="36"/>
        <v>0.81375086266390606</v>
      </c>
      <c r="DC233" s="159" t="s">
        <v>1547</v>
      </c>
      <c r="DD233" s="159">
        <v>6300</v>
      </c>
      <c r="DE233" s="160" t="s">
        <v>992</v>
      </c>
      <c r="DF233" s="168">
        <v>0.87707039337474124</v>
      </c>
      <c r="DG233" s="161"/>
      <c r="DH233" s="162">
        <v>7</v>
      </c>
      <c r="DI233" s="162">
        <v>6307</v>
      </c>
      <c r="DJ233" s="163" t="s">
        <v>999</v>
      </c>
      <c r="DK233" s="169">
        <v>0.86801242236024845</v>
      </c>
    </row>
    <row r="234" spans="11:115" ht="11.1" customHeight="1">
      <c r="K234" s="2"/>
      <c r="CX234" s="120">
        <v>30</v>
      </c>
      <c r="CY234" s="120">
        <v>3371</v>
      </c>
      <c r="CZ234" s="121" t="s">
        <v>613</v>
      </c>
      <c r="DA234" s="181">
        <f t="shared" si="36"/>
        <v>0.80443409247757069</v>
      </c>
      <c r="DC234" s="162">
        <v>1</v>
      </c>
      <c r="DD234" s="162">
        <v>6301</v>
      </c>
      <c r="DE234" s="163" t="s">
        <v>993</v>
      </c>
      <c r="DF234" s="169">
        <v>0.81978951000690126</v>
      </c>
      <c r="DG234" s="161"/>
      <c r="DH234" s="162">
        <v>8</v>
      </c>
      <c r="DI234" s="162">
        <v>6308</v>
      </c>
      <c r="DJ234" s="163" t="s">
        <v>1000</v>
      </c>
      <c r="DK234" s="169">
        <v>0.93357487922705307</v>
      </c>
    </row>
    <row r="235" spans="11:115" ht="11.1" customHeight="1">
      <c r="K235" s="2"/>
      <c r="CX235" s="120">
        <v>31</v>
      </c>
      <c r="CY235" s="120">
        <v>3372</v>
      </c>
      <c r="CZ235" s="121" t="s">
        <v>617</v>
      </c>
      <c r="DA235" s="181">
        <f t="shared" si="36"/>
        <v>0.85326086956521729</v>
      </c>
      <c r="DC235" s="162">
        <v>2</v>
      </c>
      <c r="DD235" s="162">
        <v>6302</v>
      </c>
      <c r="DE235" s="163" t="s">
        <v>994</v>
      </c>
      <c r="DF235" s="169">
        <v>0.87732919254658381</v>
      </c>
      <c r="DG235" s="161"/>
      <c r="DH235" s="162">
        <v>9</v>
      </c>
      <c r="DI235" s="162">
        <v>6309</v>
      </c>
      <c r="DJ235" s="163" t="s">
        <v>1001</v>
      </c>
      <c r="DK235" s="169">
        <v>0.88017598343685299</v>
      </c>
    </row>
    <row r="236" spans="11:115" ht="11.1" customHeight="1">
      <c r="K236" s="2"/>
      <c r="CX236" s="120">
        <v>32</v>
      </c>
      <c r="CY236" s="120">
        <v>3373</v>
      </c>
      <c r="CZ236" s="121" t="s">
        <v>621</v>
      </c>
      <c r="DA236" s="181">
        <f t="shared" si="36"/>
        <v>0.7792443064182194</v>
      </c>
      <c r="DC236" s="162">
        <v>3</v>
      </c>
      <c r="DD236" s="162">
        <v>6303</v>
      </c>
      <c r="DE236" s="163" t="s">
        <v>995</v>
      </c>
      <c r="DF236" s="169">
        <v>0.8511042097998619</v>
      </c>
      <c r="DG236" s="161"/>
      <c r="DH236" s="162">
        <v>10</v>
      </c>
      <c r="DI236" s="162">
        <v>6310</v>
      </c>
      <c r="DJ236" s="163" t="s">
        <v>1002</v>
      </c>
      <c r="DK236" s="169">
        <v>0.83902691511387162</v>
      </c>
    </row>
    <row r="237" spans="11:115" ht="11.1" customHeight="1">
      <c r="K237" s="2"/>
      <c r="CX237" s="120">
        <v>33</v>
      </c>
      <c r="CY237" s="120">
        <v>3374</v>
      </c>
      <c r="CZ237" s="121" t="s">
        <v>625</v>
      </c>
      <c r="DA237" s="181">
        <f t="shared" si="36"/>
        <v>0.79727398205659072</v>
      </c>
      <c r="DC237" s="162">
        <v>4</v>
      </c>
      <c r="DD237" s="162">
        <v>6304</v>
      </c>
      <c r="DE237" s="163" t="s">
        <v>996</v>
      </c>
      <c r="DF237" s="169">
        <v>0.87784679089026918</v>
      </c>
      <c r="DG237" s="161"/>
      <c r="DH237" s="162">
        <v>11</v>
      </c>
      <c r="DI237" s="162">
        <v>6311</v>
      </c>
      <c r="DJ237" s="163" t="s">
        <v>1003</v>
      </c>
      <c r="DK237" s="169">
        <v>0.91520013802622502</v>
      </c>
    </row>
    <row r="238" spans="11:115" ht="11.1" customHeight="1">
      <c r="K238" s="2"/>
      <c r="CX238" s="120">
        <v>34</v>
      </c>
      <c r="CY238" s="120">
        <v>3375</v>
      </c>
      <c r="CZ238" s="121" t="s">
        <v>628</v>
      </c>
      <c r="DA238" s="181">
        <f t="shared" si="36"/>
        <v>0.80935127674258101</v>
      </c>
      <c r="DC238" s="162">
        <v>5</v>
      </c>
      <c r="DD238" s="162">
        <v>6305</v>
      </c>
      <c r="DE238" s="163" t="s">
        <v>997</v>
      </c>
      <c r="DF238" s="169">
        <v>0.84239130434782616</v>
      </c>
      <c r="DG238" s="161"/>
      <c r="DH238" s="162">
        <v>12</v>
      </c>
      <c r="DI238" s="162">
        <v>6371</v>
      </c>
      <c r="DJ238" s="163" t="s">
        <v>1004</v>
      </c>
      <c r="DK238" s="169">
        <v>0.91796066252587982</v>
      </c>
    </row>
    <row r="239" spans="11:115" ht="11.1" customHeight="1">
      <c r="K239" s="2"/>
      <c r="CX239" s="120">
        <v>35</v>
      </c>
      <c r="CY239" s="120">
        <v>3376</v>
      </c>
      <c r="CZ239" s="121" t="s">
        <v>630</v>
      </c>
      <c r="DA239" s="181">
        <f t="shared" si="36"/>
        <v>0.78907867494824013</v>
      </c>
      <c r="DC239" s="162">
        <v>6</v>
      </c>
      <c r="DD239" s="162">
        <v>6306</v>
      </c>
      <c r="DE239" s="163" t="s">
        <v>998</v>
      </c>
      <c r="DF239" s="169">
        <v>0.87612146307798477</v>
      </c>
      <c r="DG239" s="161"/>
      <c r="DH239" s="162">
        <v>13</v>
      </c>
      <c r="DI239" s="162">
        <v>6372</v>
      </c>
      <c r="DJ239" s="163" t="s">
        <v>1005</v>
      </c>
      <c r="DK239" s="169">
        <v>0.91088681849551412</v>
      </c>
    </row>
    <row r="240" spans="11:115" ht="11.1" customHeight="1">
      <c r="K240" s="2"/>
      <c r="CX240" s="118" t="s">
        <v>1539</v>
      </c>
      <c r="CY240" s="118">
        <v>3400</v>
      </c>
      <c r="CZ240" s="119" t="s">
        <v>25</v>
      </c>
      <c r="DA240" s="180">
        <f>DF150</f>
        <v>0.79813664596273293</v>
      </c>
      <c r="DC240" s="161"/>
      <c r="DD240" s="161"/>
      <c r="DE240" s="161"/>
      <c r="DF240" s="170"/>
      <c r="DG240" s="161"/>
      <c r="DH240" s="161"/>
      <c r="DI240" s="161"/>
      <c r="DJ240" s="161"/>
      <c r="DK240" s="170"/>
    </row>
    <row r="241" spans="11:115" ht="11.1" customHeight="1">
      <c r="K241" s="2"/>
      <c r="CX241" s="120">
        <v>1</v>
      </c>
      <c r="CY241" s="120">
        <v>3401</v>
      </c>
      <c r="CZ241" s="121" t="s">
        <v>104</v>
      </c>
      <c r="DA241" s="181">
        <f>DF151</f>
        <v>0.78709454796411316</v>
      </c>
      <c r="DC241" s="155" t="s">
        <v>1192</v>
      </c>
      <c r="DD241" s="156" t="s">
        <v>1535</v>
      </c>
      <c r="DE241" s="157" t="s">
        <v>1629</v>
      </c>
      <c r="DF241" s="167" t="s">
        <v>1537</v>
      </c>
      <c r="DG241" s="158"/>
      <c r="DH241" s="155" t="s">
        <v>1192</v>
      </c>
      <c r="DI241" s="156" t="s">
        <v>1535</v>
      </c>
      <c r="DJ241" s="157" t="s">
        <v>1629</v>
      </c>
      <c r="DK241" s="167" t="s">
        <v>1537</v>
      </c>
    </row>
    <row r="242" spans="11:115" ht="11.1" customHeight="1">
      <c r="K242" s="2"/>
      <c r="CX242" s="120">
        <v>2</v>
      </c>
      <c r="CY242" s="120">
        <v>3402</v>
      </c>
      <c r="CZ242" s="121" t="s">
        <v>139</v>
      </c>
      <c r="DA242" s="181">
        <f>DF152</f>
        <v>0.81478605935127679</v>
      </c>
      <c r="DC242" s="159" t="s">
        <v>1548</v>
      </c>
      <c r="DD242" s="159">
        <v>6400</v>
      </c>
      <c r="DE242" s="160" t="s">
        <v>1006</v>
      </c>
      <c r="DF242" s="168">
        <v>0.9421152518978605</v>
      </c>
      <c r="DG242" s="161"/>
      <c r="DH242" s="162">
        <v>6</v>
      </c>
      <c r="DI242" s="162">
        <v>6409</v>
      </c>
      <c r="DJ242" s="163" t="s">
        <v>1012</v>
      </c>
      <c r="DK242" s="169">
        <v>0.8907004830917874</v>
      </c>
    </row>
    <row r="243" spans="11:115" ht="11.1" customHeight="1">
      <c r="K243" s="2"/>
      <c r="CX243" s="120">
        <v>3</v>
      </c>
      <c r="CY243" s="120">
        <v>3403</v>
      </c>
      <c r="CZ243" s="121" t="s">
        <v>173</v>
      </c>
      <c r="DA243" s="181">
        <f>DK150</f>
        <v>0.81763285024154586</v>
      </c>
      <c r="DC243" s="162">
        <v>1</v>
      </c>
      <c r="DD243" s="162">
        <v>6401</v>
      </c>
      <c r="DE243" s="163" t="s">
        <v>1007</v>
      </c>
      <c r="DF243" s="169">
        <v>0.85507246376811596</v>
      </c>
      <c r="DG243" s="161"/>
      <c r="DH243" s="162">
        <v>7</v>
      </c>
      <c r="DI243" s="162">
        <v>6411</v>
      </c>
      <c r="DJ243" s="163" t="s">
        <v>1013</v>
      </c>
      <c r="DK243" s="169">
        <v>1.2440476190476191</v>
      </c>
    </row>
    <row r="244" spans="11:115" ht="11.1" customHeight="1">
      <c r="K244" s="2"/>
      <c r="CX244" s="120">
        <v>4</v>
      </c>
      <c r="CY244" s="120">
        <v>3404</v>
      </c>
      <c r="CZ244" s="121" t="s">
        <v>207</v>
      </c>
      <c r="DA244" s="181">
        <f>DK151</f>
        <v>0.77251552795031053</v>
      </c>
      <c r="DC244" s="162">
        <v>2</v>
      </c>
      <c r="DD244" s="162">
        <v>6402</v>
      </c>
      <c r="DE244" s="163" t="s">
        <v>1008</v>
      </c>
      <c r="DF244" s="169">
        <v>0.9922360248447204</v>
      </c>
      <c r="DG244" s="161"/>
      <c r="DH244" s="162">
        <v>8</v>
      </c>
      <c r="DI244" s="162">
        <v>6471</v>
      </c>
      <c r="DJ244" s="163" t="s">
        <v>1014</v>
      </c>
      <c r="DK244" s="169">
        <v>0.8719806763285024</v>
      </c>
    </row>
    <row r="245" spans="11:115" ht="11.1" customHeight="1">
      <c r="K245" s="2"/>
      <c r="CX245" s="120">
        <v>5</v>
      </c>
      <c r="CY245" s="120">
        <v>3471</v>
      </c>
      <c r="CZ245" s="121" t="s">
        <v>242</v>
      </c>
      <c r="DA245" s="181">
        <f>DK152</f>
        <v>0.79951690821256038</v>
      </c>
      <c r="DC245" s="162">
        <v>3</v>
      </c>
      <c r="DD245" s="162">
        <v>6403</v>
      </c>
      <c r="DE245" s="163" t="s">
        <v>1009</v>
      </c>
      <c r="DF245" s="169">
        <v>0.86965148378191859</v>
      </c>
      <c r="DG245" s="161"/>
      <c r="DH245" s="162">
        <v>9</v>
      </c>
      <c r="DI245" s="162">
        <v>6472</v>
      </c>
      <c r="DJ245" s="163" t="s">
        <v>1015</v>
      </c>
      <c r="DK245" s="169">
        <v>0.9242581090407177</v>
      </c>
    </row>
    <row r="246" spans="11:115" ht="11.1" customHeight="1">
      <c r="K246" s="2"/>
      <c r="CX246" s="118" t="s">
        <v>1540</v>
      </c>
      <c r="CY246" s="118">
        <v>3500</v>
      </c>
      <c r="CZ246" s="119" t="s">
        <v>30</v>
      </c>
      <c r="DA246" s="180">
        <f t="shared" ref="DA246:DA265" si="37">DF155</f>
        <v>0.84109730848861286</v>
      </c>
      <c r="DC246" s="162">
        <v>4</v>
      </c>
      <c r="DD246" s="162">
        <v>6404</v>
      </c>
      <c r="DE246" s="163" t="s">
        <v>1010</v>
      </c>
      <c r="DF246" s="169">
        <v>0.99749827467218766</v>
      </c>
      <c r="DG246" s="161"/>
      <c r="DH246" s="162">
        <v>10</v>
      </c>
      <c r="DI246" s="162">
        <v>6474</v>
      </c>
      <c r="DJ246" s="163" t="s">
        <v>1016</v>
      </c>
      <c r="DK246" s="169">
        <v>0.93210835058661146</v>
      </c>
    </row>
    <row r="247" spans="11:115" ht="11.1" customHeight="1">
      <c r="K247" s="2"/>
      <c r="CX247" s="120">
        <v>1</v>
      </c>
      <c r="CY247" s="120">
        <v>3501</v>
      </c>
      <c r="CZ247" s="121" t="s">
        <v>105</v>
      </c>
      <c r="DA247" s="181">
        <f t="shared" si="37"/>
        <v>0.84998274672187712</v>
      </c>
      <c r="DC247" s="162">
        <v>5</v>
      </c>
      <c r="DD247" s="162">
        <v>6405</v>
      </c>
      <c r="DE247" s="163" t="s">
        <v>1011</v>
      </c>
      <c r="DF247" s="169">
        <v>0.89889579020013799</v>
      </c>
      <c r="DG247" s="161"/>
      <c r="DH247" s="161"/>
      <c r="DI247" s="161"/>
      <c r="DJ247" s="161"/>
      <c r="DK247" s="170"/>
    </row>
    <row r="248" spans="11:115" ht="11.1" customHeight="1">
      <c r="K248" s="2"/>
      <c r="CX248" s="120">
        <v>2</v>
      </c>
      <c r="CY248" s="120">
        <v>3502</v>
      </c>
      <c r="CZ248" s="121" t="s">
        <v>140</v>
      </c>
      <c r="DA248" s="181">
        <f t="shared" si="37"/>
        <v>0.86128364389233958</v>
      </c>
      <c r="DC248" s="161"/>
      <c r="DD248" s="161"/>
      <c r="DE248" s="161"/>
      <c r="DF248" s="170"/>
      <c r="DG248" s="161"/>
      <c r="DH248" s="161"/>
      <c r="DI248" s="161"/>
      <c r="DJ248" s="161"/>
      <c r="DK248" s="170"/>
    </row>
    <row r="249" spans="11:115" ht="11.1" customHeight="1">
      <c r="K249" s="2"/>
      <c r="CX249" s="120">
        <v>3</v>
      </c>
      <c r="CY249" s="120">
        <v>3503</v>
      </c>
      <c r="CZ249" s="121" t="s">
        <v>174</v>
      </c>
      <c r="DA249" s="181">
        <f t="shared" si="37"/>
        <v>0.82807108350586611</v>
      </c>
      <c r="DC249" s="155" t="s">
        <v>1192</v>
      </c>
      <c r="DD249" s="156" t="s">
        <v>1535</v>
      </c>
      <c r="DE249" s="157" t="s">
        <v>1629</v>
      </c>
      <c r="DF249" s="167" t="s">
        <v>1537</v>
      </c>
      <c r="DG249" s="158"/>
      <c r="DH249" s="155" t="s">
        <v>1192</v>
      </c>
      <c r="DI249" s="156" t="s">
        <v>1535</v>
      </c>
      <c r="DJ249" s="157" t="s">
        <v>1629</v>
      </c>
      <c r="DK249" s="167" t="s">
        <v>1537</v>
      </c>
    </row>
    <row r="250" spans="11:115" ht="11.1" customHeight="1">
      <c r="K250" s="2"/>
      <c r="CX250" s="120">
        <v>4</v>
      </c>
      <c r="CY250" s="120">
        <v>3504</v>
      </c>
      <c r="CZ250" s="121" t="s">
        <v>208</v>
      </c>
      <c r="DA250" s="181">
        <f t="shared" si="37"/>
        <v>0.84265010351966874</v>
      </c>
      <c r="DC250" s="159" t="s">
        <v>1549</v>
      </c>
      <c r="DD250" s="159">
        <v>6500</v>
      </c>
      <c r="DE250" s="160" t="s">
        <v>1017</v>
      </c>
      <c r="DF250" s="168">
        <v>1.0202726017943409</v>
      </c>
      <c r="DG250" s="161"/>
      <c r="DH250" s="162">
        <v>4</v>
      </c>
      <c r="DI250" s="162">
        <v>6504</v>
      </c>
      <c r="DJ250" s="163" t="s">
        <v>1020</v>
      </c>
      <c r="DK250" s="169">
        <v>1.2355935127674258</v>
      </c>
    </row>
    <row r="251" spans="11:115" ht="11.1" customHeight="1">
      <c r="K251" s="2"/>
      <c r="CX251" s="120">
        <v>5</v>
      </c>
      <c r="CY251" s="120">
        <v>3505</v>
      </c>
      <c r="CZ251" s="121" t="s">
        <v>243</v>
      </c>
      <c r="DA251" s="181">
        <f t="shared" si="37"/>
        <v>0.83548999309868865</v>
      </c>
      <c r="DC251" s="162">
        <v>1</v>
      </c>
      <c r="DD251" s="162">
        <v>6501</v>
      </c>
      <c r="DE251" s="163" t="s">
        <v>1018</v>
      </c>
      <c r="DF251" s="169">
        <v>0.96281918564527258</v>
      </c>
      <c r="DG251" s="161"/>
      <c r="DH251" s="162">
        <v>3</v>
      </c>
      <c r="DI251" s="162">
        <v>6503</v>
      </c>
      <c r="DJ251" s="163" t="s">
        <v>1021</v>
      </c>
      <c r="DK251" s="169">
        <v>0.98628364389233947</v>
      </c>
    </row>
    <row r="252" spans="11:115" ht="11.1" customHeight="1">
      <c r="K252" s="2"/>
      <c r="CX252" s="120">
        <v>6</v>
      </c>
      <c r="CY252" s="120">
        <v>3506</v>
      </c>
      <c r="CZ252" s="121" t="s">
        <v>277</v>
      </c>
      <c r="DA252" s="181">
        <f t="shared" si="37"/>
        <v>0.80434782608695643</v>
      </c>
      <c r="DC252" s="162">
        <v>2</v>
      </c>
      <c r="DD252" s="162">
        <v>6502</v>
      </c>
      <c r="DE252" s="163" t="s">
        <v>1019</v>
      </c>
      <c r="DF252" s="169">
        <v>0.92744996549344383</v>
      </c>
      <c r="DG252" s="161"/>
      <c r="DH252" s="162">
        <v>5</v>
      </c>
      <c r="DI252" s="162">
        <v>6571</v>
      </c>
      <c r="DJ252" s="163" t="s">
        <v>1022</v>
      </c>
      <c r="DK252" s="169">
        <v>0.89337474120082816</v>
      </c>
    </row>
    <row r="253" spans="11:115" ht="11.1" customHeight="1">
      <c r="K253" s="2"/>
      <c r="CX253" s="120">
        <v>7</v>
      </c>
      <c r="CY253" s="120">
        <v>3507</v>
      </c>
      <c r="CZ253" s="121" t="s">
        <v>309</v>
      </c>
      <c r="DA253" s="181">
        <f t="shared" si="37"/>
        <v>0.8392857142857143</v>
      </c>
      <c r="DC253" s="161"/>
      <c r="DD253" s="161"/>
      <c r="DE253" s="161"/>
      <c r="DF253" s="170"/>
      <c r="DG253" s="161"/>
      <c r="DH253" s="161"/>
      <c r="DI253" s="161"/>
      <c r="DJ253" s="161"/>
      <c r="DK253" s="170"/>
    </row>
    <row r="254" spans="11:115" ht="11.1" customHeight="1">
      <c r="K254" s="2"/>
      <c r="CX254" s="120">
        <v>8</v>
      </c>
      <c r="CY254" s="120">
        <v>3508</v>
      </c>
      <c r="CZ254" s="121" t="s">
        <v>337</v>
      </c>
      <c r="DA254" s="181">
        <f t="shared" si="37"/>
        <v>0.88172877846790887</v>
      </c>
      <c r="DC254" s="155" t="s">
        <v>1192</v>
      </c>
      <c r="DD254" s="156" t="s">
        <v>1535</v>
      </c>
      <c r="DE254" s="157" t="s">
        <v>1629</v>
      </c>
      <c r="DF254" s="167" t="s">
        <v>1537</v>
      </c>
      <c r="DG254" s="158"/>
      <c r="DH254" s="155" t="s">
        <v>1192</v>
      </c>
      <c r="DI254" s="156" t="s">
        <v>1535</v>
      </c>
      <c r="DJ254" s="157" t="s">
        <v>1629</v>
      </c>
      <c r="DK254" s="167" t="s">
        <v>1537</v>
      </c>
    </row>
    <row r="255" spans="11:115" ht="11.1" customHeight="1">
      <c r="K255" s="2"/>
      <c r="CX255" s="120">
        <v>9</v>
      </c>
      <c r="CY255" s="120">
        <v>3509</v>
      </c>
      <c r="CZ255" s="121" t="s">
        <v>364</v>
      </c>
      <c r="DA255" s="181">
        <f t="shared" si="37"/>
        <v>0.85274327122153204</v>
      </c>
      <c r="DC255" s="159" t="s">
        <v>1550</v>
      </c>
      <c r="DD255" s="159">
        <v>7100</v>
      </c>
      <c r="DE255" s="160" t="s">
        <v>1023</v>
      </c>
      <c r="DF255" s="168">
        <v>0.96661490683229812</v>
      </c>
      <c r="DG255" s="161"/>
      <c r="DH255" s="162">
        <v>8</v>
      </c>
      <c r="DI255" s="162">
        <v>7108</v>
      </c>
      <c r="DJ255" s="163" t="s">
        <v>1031</v>
      </c>
      <c r="DK255" s="169">
        <v>1.0372670807453415</v>
      </c>
    </row>
    <row r="256" spans="11:115" ht="11.1" customHeight="1">
      <c r="K256" s="2"/>
      <c r="CX256" s="120">
        <v>10</v>
      </c>
      <c r="CY256" s="120">
        <v>3510</v>
      </c>
      <c r="CZ256" s="121" t="s">
        <v>391</v>
      </c>
      <c r="DA256" s="181">
        <f t="shared" si="37"/>
        <v>0.82246376811594202</v>
      </c>
      <c r="DC256" s="162">
        <v>1</v>
      </c>
      <c r="DD256" s="162">
        <v>7101</v>
      </c>
      <c r="DE256" s="163" t="s">
        <v>1024</v>
      </c>
      <c r="DF256" s="169">
        <v>0.88630089717046234</v>
      </c>
      <c r="DG256" s="161"/>
      <c r="DH256" s="162">
        <v>9</v>
      </c>
      <c r="DI256" s="162">
        <v>7109</v>
      </c>
      <c r="DJ256" s="163" t="s">
        <v>1032</v>
      </c>
      <c r="DK256" s="169">
        <v>0.9459972394755003</v>
      </c>
    </row>
    <row r="257" spans="11:115" ht="11.1" customHeight="1">
      <c r="K257" s="2"/>
      <c r="CX257" s="120">
        <v>11</v>
      </c>
      <c r="CY257" s="120">
        <v>3511</v>
      </c>
      <c r="CZ257" s="121" t="s">
        <v>416</v>
      </c>
      <c r="DA257" s="181">
        <f t="shared" si="37"/>
        <v>0.77907177363699098</v>
      </c>
      <c r="DC257" s="162">
        <v>2</v>
      </c>
      <c r="DD257" s="162">
        <v>7102</v>
      </c>
      <c r="DE257" s="163" t="s">
        <v>1025</v>
      </c>
      <c r="DF257" s="169">
        <v>0.92883022774327118</v>
      </c>
      <c r="DG257" s="161"/>
      <c r="DH257" s="162">
        <v>10</v>
      </c>
      <c r="DI257" s="162">
        <v>7110</v>
      </c>
      <c r="DJ257" s="163" t="s">
        <v>1033</v>
      </c>
      <c r="DK257" s="169">
        <v>0.82876121463077979</v>
      </c>
    </row>
    <row r="258" spans="11:115" ht="11.1" customHeight="1">
      <c r="K258" s="2"/>
      <c r="CX258" s="120">
        <v>12</v>
      </c>
      <c r="CY258" s="120">
        <v>3512</v>
      </c>
      <c r="CZ258" s="121" t="s">
        <v>437</v>
      </c>
      <c r="DA258" s="181">
        <f t="shared" si="37"/>
        <v>0.78692201518288474</v>
      </c>
      <c r="DC258" s="162">
        <v>3</v>
      </c>
      <c r="DD258" s="162">
        <v>7103</v>
      </c>
      <c r="DE258" s="163" t="s">
        <v>1026</v>
      </c>
      <c r="DF258" s="169">
        <v>1.0521048999309868</v>
      </c>
      <c r="DG258" s="161"/>
      <c r="DH258" s="162">
        <v>11</v>
      </c>
      <c r="DI258" s="162">
        <v>7111</v>
      </c>
      <c r="DJ258" s="163" t="s">
        <v>1034</v>
      </c>
      <c r="DK258" s="169">
        <v>0.97644927536231885</v>
      </c>
    </row>
    <row r="259" spans="11:115" ht="11.1" customHeight="1">
      <c r="K259" s="2"/>
      <c r="CX259" s="120">
        <v>13</v>
      </c>
      <c r="CY259" s="120">
        <v>3513</v>
      </c>
      <c r="CZ259" s="121" t="s">
        <v>456</v>
      </c>
      <c r="DA259" s="181">
        <f t="shared" si="37"/>
        <v>0.8457556935817806</v>
      </c>
      <c r="DC259" s="162">
        <v>4</v>
      </c>
      <c r="DD259" s="162">
        <v>7104</v>
      </c>
      <c r="DE259" s="163" t="s">
        <v>1027</v>
      </c>
      <c r="DF259" s="169">
        <v>1.1056763285024154</v>
      </c>
      <c r="DG259" s="161"/>
      <c r="DH259" s="162">
        <v>12</v>
      </c>
      <c r="DI259" s="162">
        <v>7171</v>
      </c>
      <c r="DJ259" s="163" t="s">
        <v>1035</v>
      </c>
      <c r="DK259" s="169">
        <v>0.92960662525879922</v>
      </c>
    </row>
    <row r="260" spans="11:115" ht="11.1" customHeight="1">
      <c r="K260" s="2"/>
      <c r="CX260" s="120">
        <v>14</v>
      </c>
      <c r="CY260" s="120">
        <v>3514</v>
      </c>
      <c r="CZ260" s="121" t="s">
        <v>475</v>
      </c>
      <c r="DA260" s="181">
        <f t="shared" si="37"/>
        <v>0.8354037267080745</v>
      </c>
      <c r="DC260" s="162">
        <v>5</v>
      </c>
      <c r="DD260" s="162">
        <v>7105</v>
      </c>
      <c r="DE260" s="163" t="s">
        <v>1028</v>
      </c>
      <c r="DF260" s="169">
        <v>0.95712560386473433</v>
      </c>
      <c r="DG260" s="161"/>
      <c r="DH260" s="162">
        <v>13</v>
      </c>
      <c r="DI260" s="162">
        <v>7172</v>
      </c>
      <c r="DJ260" s="163" t="s">
        <v>1036</v>
      </c>
      <c r="DK260" s="169">
        <v>1.0124223602484472</v>
      </c>
    </row>
    <row r="261" spans="11:115" ht="11.1" customHeight="1">
      <c r="K261" s="2"/>
      <c r="CX261" s="120">
        <v>15</v>
      </c>
      <c r="CY261" s="120">
        <v>3515</v>
      </c>
      <c r="CZ261" s="121" t="s">
        <v>491</v>
      </c>
      <c r="DA261" s="181">
        <f t="shared" si="37"/>
        <v>0.89302967563837121</v>
      </c>
      <c r="DC261" s="162">
        <v>6</v>
      </c>
      <c r="DD261" s="162">
        <v>7106</v>
      </c>
      <c r="DE261" s="163" t="s">
        <v>1029</v>
      </c>
      <c r="DF261" s="169">
        <v>0.96747757073844032</v>
      </c>
      <c r="DG261" s="161"/>
      <c r="DH261" s="162">
        <v>14</v>
      </c>
      <c r="DI261" s="162">
        <v>7173</v>
      </c>
      <c r="DJ261" s="163" t="s">
        <v>1037</v>
      </c>
      <c r="DK261" s="169">
        <v>0.9795548654244306</v>
      </c>
    </row>
    <row r="262" spans="11:115" ht="11.1" customHeight="1">
      <c r="K262" s="2"/>
      <c r="CX262" s="120">
        <v>16</v>
      </c>
      <c r="CY262" s="120">
        <v>3516</v>
      </c>
      <c r="CZ262" s="121" t="s">
        <v>504</v>
      </c>
      <c r="DA262" s="181">
        <f t="shared" si="37"/>
        <v>0.81901311249137332</v>
      </c>
      <c r="DC262" s="162">
        <v>7</v>
      </c>
      <c r="DD262" s="162">
        <v>7107</v>
      </c>
      <c r="DE262" s="163" t="s">
        <v>1030</v>
      </c>
      <c r="DF262" s="169">
        <v>0.92883022774327118</v>
      </c>
      <c r="DG262" s="161"/>
      <c r="DH262" s="162">
        <v>15</v>
      </c>
      <c r="DI262" s="162">
        <v>7174</v>
      </c>
      <c r="DJ262" s="163" t="s">
        <v>1038</v>
      </c>
      <c r="DK262" s="169">
        <v>0.99637681159420288</v>
      </c>
    </row>
    <row r="263" spans="11:115" ht="11.1" customHeight="1">
      <c r="K263" s="2"/>
      <c r="CX263" s="120">
        <v>17</v>
      </c>
      <c r="CY263" s="120">
        <v>3517</v>
      </c>
      <c r="CZ263" s="121" t="s">
        <v>516</v>
      </c>
      <c r="DA263" s="181">
        <f t="shared" si="37"/>
        <v>0.8022774327122153</v>
      </c>
      <c r="DC263" s="161"/>
      <c r="DD263" s="161"/>
      <c r="DE263" s="161"/>
      <c r="DF263" s="170"/>
      <c r="DG263" s="161"/>
      <c r="DH263" s="161"/>
      <c r="DI263" s="161"/>
      <c r="DJ263" s="161"/>
      <c r="DK263" s="170"/>
    </row>
    <row r="264" spans="11:115" ht="11.1" customHeight="1">
      <c r="K264" s="2"/>
      <c r="CX264" s="120">
        <v>18</v>
      </c>
      <c r="CY264" s="120">
        <v>3518</v>
      </c>
      <c r="CZ264" s="121" t="s">
        <v>527</v>
      </c>
      <c r="DA264" s="181">
        <f t="shared" si="37"/>
        <v>0.79986197377501722</v>
      </c>
      <c r="DC264" s="155" t="s">
        <v>1192</v>
      </c>
      <c r="DD264" s="156" t="s">
        <v>1535</v>
      </c>
      <c r="DE264" s="157" t="s">
        <v>1629</v>
      </c>
      <c r="DF264" s="167" t="s">
        <v>1537</v>
      </c>
      <c r="DG264" s="158"/>
      <c r="DH264" s="155" t="s">
        <v>1192</v>
      </c>
      <c r="DI264" s="156" t="s">
        <v>1535</v>
      </c>
      <c r="DJ264" s="157" t="s">
        <v>1629</v>
      </c>
      <c r="DK264" s="167" t="s">
        <v>1537</v>
      </c>
    </row>
    <row r="265" spans="11:115" ht="11.1" customHeight="1">
      <c r="K265" s="2"/>
      <c r="CX265" s="120">
        <v>19</v>
      </c>
      <c r="CY265" s="120">
        <v>3519</v>
      </c>
      <c r="CZ265" s="121" t="s">
        <v>537</v>
      </c>
      <c r="DA265" s="181">
        <f t="shared" si="37"/>
        <v>0.86413043478260865</v>
      </c>
      <c r="DC265" s="159" t="s">
        <v>1551</v>
      </c>
      <c r="DD265" s="159">
        <v>7200</v>
      </c>
      <c r="DE265" s="160" t="s">
        <v>1039</v>
      </c>
      <c r="DF265" s="168">
        <v>0.76026570048309172</v>
      </c>
      <c r="DG265" s="161"/>
      <c r="DH265" s="162">
        <v>7</v>
      </c>
      <c r="DI265" s="162">
        <v>7207</v>
      </c>
      <c r="DJ265" s="163" t="s">
        <v>1046</v>
      </c>
      <c r="DK265" s="169">
        <v>0.79252933057280883</v>
      </c>
    </row>
    <row r="266" spans="11:115" ht="11.1" customHeight="1">
      <c r="K266" s="2"/>
      <c r="CX266" s="120">
        <v>20</v>
      </c>
      <c r="CY266" s="120">
        <v>3520</v>
      </c>
      <c r="CZ266" s="121" t="s">
        <v>546</v>
      </c>
      <c r="DA266" s="181">
        <f t="shared" ref="DA266:DA284" si="38">DK155</f>
        <v>0.87275707384403034</v>
      </c>
      <c r="DC266" s="162">
        <v>1</v>
      </c>
      <c r="DD266" s="162">
        <v>7201</v>
      </c>
      <c r="DE266" s="163" t="s">
        <v>1040</v>
      </c>
      <c r="DF266" s="169">
        <v>0.85464113181504475</v>
      </c>
      <c r="DG266" s="161"/>
      <c r="DH266" s="162">
        <v>8</v>
      </c>
      <c r="DI266" s="162">
        <v>7208</v>
      </c>
      <c r="DJ266" s="163" t="s">
        <v>1047</v>
      </c>
      <c r="DK266" s="169">
        <v>0.72066942719116633</v>
      </c>
    </row>
    <row r="267" spans="11:115" ht="11.1" customHeight="1">
      <c r="K267" s="2"/>
      <c r="CX267" s="120">
        <v>21</v>
      </c>
      <c r="CY267" s="120">
        <v>3521</v>
      </c>
      <c r="CZ267" s="121" t="s">
        <v>555</v>
      </c>
      <c r="DA267" s="181">
        <f t="shared" si="38"/>
        <v>0.89380607315389926</v>
      </c>
      <c r="DC267" s="162">
        <v>2</v>
      </c>
      <c r="DD267" s="162">
        <v>7202</v>
      </c>
      <c r="DE267" s="163" t="s">
        <v>1041</v>
      </c>
      <c r="DF267" s="169">
        <v>0.76199102829537613</v>
      </c>
      <c r="DG267" s="161"/>
      <c r="DH267" s="162">
        <v>9</v>
      </c>
      <c r="DI267" s="162">
        <v>7209</v>
      </c>
      <c r="DJ267" s="163" t="s">
        <v>1048</v>
      </c>
      <c r="DK267" s="169">
        <v>0.78847481021394072</v>
      </c>
    </row>
    <row r="268" spans="11:115" ht="11.1" customHeight="1">
      <c r="K268" s="2"/>
      <c r="CX268" s="120">
        <v>22</v>
      </c>
      <c r="CY268" s="120">
        <v>3522</v>
      </c>
      <c r="CZ268" s="121" t="s">
        <v>564</v>
      </c>
      <c r="DA268" s="181">
        <f t="shared" si="38"/>
        <v>0.83980331262939956</v>
      </c>
      <c r="DC268" s="162">
        <v>3</v>
      </c>
      <c r="DD268" s="162">
        <v>7203</v>
      </c>
      <c r="DE268" s="163" t="s">
        <v>1042</v>
      </c>
      <c r="DF268" s="169">
        <v>0.78674948240165632</v>
      </c>
      <c r="DG268" s="161"/>
      <c r="DH268" s="162">
        <v>10</v>
      </c>
      <c r="DI268" s="162">
        <v>7210</v>
      </c>
      <c r="DJ268" s="163" t="s">
        <v>1049</v>
      </c>
      <c r="DK268" s="169">
        <v>0.70203588681849549</v>
      </c>
    </row>
    <row r="269" spans="11:115" ht="11.1" customHeight="1">
      <c r="K269" s="2"/>
      <c r="CX269" s="120">
        <v>23</v>
      </c>
      <c r="CY269" s="120">
        <v>3523</v>
      </c>
      <c r="CZ269" s="121" t="s">
        <v>573</v>
      </c>
      <c r="DA269" s="181">
        <f t="shared" si="38"/>
        <v>0.8218599033816425</v>
      </c>
      <c r="DC269" s="162">
        <v>4</v>
      </c>
      <c r="DD269" s="162">
        <v>7204</v>
      </c>
      <c r="DE269" s="163" t="s">
        <v>1043</v>
      </c>
      <c r="DF269" s="169">
        <v>0.72593167701863359</v>
      </c>
      <c r="DG269" s="161"/>
      <c r="DH269" s="162">
        <v>11</v>
      </c>
      <c r="DI269" s="162">
        <v>7211</v>
      </c>
      <c r="DJ269" s="163" t="s">
        <v>1050</v>
      </c>
      <c r="DK269" s="169">
        <v>0.82781228433402343</v>
      </c>
    </row>
    <row r="270" spans="11:115" ht="11.1" customHeight="1">
      <c r="K270" s="2"/>
      <c r="CX270" s="120">
        <v>24</v>
      </c>
      <c r="CY270" s="120">
        <v>3524</v>
      </c>
      <c r="CZ270" s="121" t="s">
        <v>580</v>
      </c>
      <c r="DA270" s="181">
        <f t="shared" si="38"/>
        <v>0.89302967563837121</v>
      </c>
      <c r="DC270" s="162">
        <v>5</v>
      </c>
      <c r="DD270" s="162">
        <v>7205</v>
      </c>
      <c r="DE270" s="163" t="s">
        <v>1044</v>
      </c>
      <c r="DF270" s="169">
        <v>0.65993788819875776</v>
      </c>
      <c r="DG270" s="161"/>
      <c r="DH270" s="162">
        <v>12</v>
      </c>
      <c r="DI270" s="162">
        <v>7212</v>
      </c>
      <c r="DJ270" s="163" t="s">
        <v>1051</v>
      </c>
      <c r="DK270" s="169">
        <v>0.79994824016563149</v>
      </c>
    </row>
    <row r="271" spans="11:115" ht="11.1" customHeight="1">
      <c r="K271" s="2"/>
      <c r="CX271" s="120">
        <v>25</v>
      </c>
      <c r="CY271" s="120">
        <v>3525</v>
      </c>
      <c r="CZ271" s="121" t="s">
        <v>587</v>
      </c>
      <c r="DA271" s="181">
        <f t="shared" si="38"/>
        <v>0.86309523809523803</v>
      </c>
      <c r="DC271" s="162">
        <v>6</v>
      </c>
      <c r="DD271" s="162">
        <v>7206</v>
      </c>
      <c r="DE271" s="163" t="s">
        <v>1045</v>
      </c>
      <c r="DF271" s="169">
        <v>0.78580055210489996</v>
      </c>
      <c r="DG271" s="161"/>
      <c r="DH271" s="162">
        <v>13</v>
      </c>
      <c r="DI271" s="162">
        <v>7271</v>
      </c>
      <c r="DJ271" s="163" t="s">
        <v>1052</v>
      </c>
      <c r="DK271" s="169">
        <v>0.70194962042788134</v>
      </c>
    </row>
    <row r="272" spans="11:115" ht="11.1" customHeight="1">
      <c r="K272" s="2"/>
      <c r="CX272" s="120">
        <v>26</v>
      </c>
      <c r="CY272" s="120">
        <v>3526</v>
      </c>
      <c r="CZ272" s="121" t="s">
        <v>593</v>
      </c>
      <c r="DA272" s="181">
        <f t="shared" si="38"/>
        <v>0.83911318150448577</v>
      </c>
      <c r="DC272" s="161"/>
      <c r="DD272" s="161"/>
      <c r="DE272" s="161"/>
      <c r="DF272" s="170"/>
      <c r="DG272" s="161"/>
      <c r="DH272" s="161"/>
      <c r="DI272" s="161"/>
      <c r="DJ272" s="161"/>
      <c r="DK272" s="170"/>
    </row>
    <row r="273" spans="11:115" ht="11.1" customHeight="1">
      <c r="K273" s="2"/>
      <c r="CX273" s="120">
        <v>27</v>
      </c>
      <c r="CY273" s="120">
        <v>3527</v>
      </c>
      <c r="CZ273" s="121" t="s">
        <v>599</v>
      </c>
      <c r="DA273" s="181">
        <f t="shared" si="38"/>
        <v>0.88966528640441678</v>
      </c>
      <c r="DC273" s="155" t="s">
        <v>1192</v>
      </c>
      <c r="DD273" s="156" t="s">
        <v>1535</v>
      </c>
      <c r="DE273" s="157" t="s">
        <v>1629</v>
      </c>
      <c r="DF273" s="167" t="s">
        <v>1537</v>
      </c>
      <c r="DG273" s="158"/>
      <c r="DH273" s="155" t="s">
        <v>1192</v>
      </c>
      <c r="DI273" s="156" t="s">
        <v>1535</v>
      </c>
      <c r="DJ273" s="157" t="s">
        <v>1629</v>
      </c>
      <c r="DK273" s="167" t="s">
        <v>1537</v>
      </c>
    </row>
    <row r="274" spans="11:115" ht="11.1" customHeight="1">
      <c r="K274" s="2"/>
      <c r="CX274" s="120">
        <v>28</v>
      </c>
      <c r="CY274" s="120">
        <v>3528</v>
      </c>
      <c r="CZ274" s="121" t="s">
        <v>604</v>
      </c>
      <c r="DA274" s="181">
        <f t="shared" si="38"/>
        <v>0.88457556935817805</v>
      </c>
      <c r="DC274" s="159" t="s">
        <v>1552</v>
      </c>
      <c r="DD274" s="159">
        <v>7300</v>
      </c>
      <c r="DE274" s="160" t="s">
        <v>1053</v>
      </c>
      <c r="DF274" s="168">
        <v>0.82444789510006899</v>
      </c>
      <c r="DG274" s="161"/>
      <c r="DH274" s="162">
        <v>13</v>
      </c>
      <c r="DI274" s="162">
        <v>7313</v>
      </c>
      <c r="DJ274" s="163" t="s">
        <v>1066</v>
      </c>
      <c r="DK274" s="169">
        <v>0.83471359558316083</v>
      </c>
    </row>
    <row r="275" spans="11:115" ht="11.1" customHeight="1">
      <c r="K275" s="2"/>
      <c r="CX275" s="120">
        <v>29</v>
      </c>
      <c r="CY275" s="120">
        <v>3529</v>
      </c>
      <c r="CZ275" s="121" t="s">
        <v>609</v>
      </c>
      <c r="DA275" s="181">
        <f t="shared" si="38"/>
        <v>0.87137681159420288</v>
      </c>
      <c r="DC275" s="162">
        <v>1</v>
      </c>
      <c r="DD275" s="162">
        <v>7301</v>
      </c>
      <c r="DE275" s="163" t="s">
        <v>1054</v>
      </c>
      <c r="DF275" s="169">
        <v>0.82263630089717044</v>
      </c>
      <c r="DG275" s="161"/>
      <c r="DH275" s="162">
        <v>14</v>
      </c>
      <c r="DI275" s="162">
        <v>7314</v>
      </c>
      <c r="DJ275" s="163" t="s">
        <v>1067</v>
      </c>
      <c r="DK275" s="169">
        <v>0.84782608695652173</v>
      </c>
    </row>
    <row r="276" spans="11:115" ht="11.1" customHeight="1">
      <c r="K276" s="2"/>
      <c r="CX276" s="120">
        <v>30</v>
      </c>
      <c r="CY276" s="120">
        <v>3571</v>
      </c>
      <c r="CZ276" s="121" t="s">
        <v>614</v>
      </c>
      <c r="DA276" s="181">
        <f t="shared" si="38"/>
        <v>0.80417529330572801</v>
      </c>
      <c r="DC276" s="162">
        <v>2</v>
      </c>
      <c r="DD276" s="162">
        <v>7302</v>
      </c>
      <c r="DE276" s="163" t="s">
        <v>1055</v>
      </c>
      <c r="DF276" s="169">
        <v>0.79615251897860595</v>
      </c>
      <c r="DG276" s="161"/>
      <c r="DH276" s="162">
        <v>15</v>
      </c>
      <c r="DI276" s="162">
        <v>7315</v>
      </c>
      <c r="DJ276" s="163" t="s">
        <v>1068</v>
      </c>
      <c r="DK276" s="169">
        <v>0.84273636991028289</v>
      </c>
    </row>
    <row r="277" spans="11:115" ht="11.1" customHeight="1">
      <c r="K277" s="2"/>
      <c r="CX277" s="120">
        <v>31</v>
      </c>
      <c r="CY277" s="120">
        <v>3572</v>
      </c>
      <c r="CZ277" s="121" t="s">
        <v>618</v>
      </c>
      <c r="DA277" s="181">
        <f t="shared" si="38"/>
        <v>0.85067287784679091</v>
      </c>
      <c r="DC277" s="162">
        <v>3</v>
      </c>
      <c r="DD277" s="162">
        <v>7303</v>
      </c>
      <c r="DE277" s="163" t="s">
        <v>1056</v>
      </c>
      <c r="DF277" s="169">
        <v>0.77639751552795033</v>
      </c>
      <c r="DG277" s="161"/>
      <c r="DH277" s="162">
        <v>16</v>
      </c>
      <c r="DI277" s="162">
        <v>7316</v>
      </c>
      <c r="DJ277" s="163" t="s">
        <v>1069</v>
      </c>
      <c r="DK277" s="169">
        <v>0.85274327122153204</v>
      </c>
    </row>
    <row r="278" spans="11:115" ht="11.1" customHeight="1">
      <c r="K278" s="2"/>
      <c r="CX278" s="120">
        <v>32</v>
      </c>
      <c r="CY278" s="120">
        <v>3573</v>
      </c>
      <c r="CZ278" s="121" t="s">
        <v>622</v>
      </c>
      <c r="DA278" s="181">
        <f t="shared" si="38"/>
        <v>0.83229813664596275</v>
      </c>
      <c r="DC278" s="162">
        <v>4</v>
      </c>
      <c r="DD278" s="162">
        <v>7304</v>
      </c>
      <c r="DE278" s="163" t="s">
        <v>1057</v>
      </c>
      <c r="DF278" s="169">
        <v>0.8248792270531401</v>
      </c>
      <c r="DG278" s="161"/>
      <c r="DH278" s="162">
        <v>17</v>
      </c>
      <c r="DI278" s="162">
        <v>7317</v>
      </c>
      <c r="DJ278" s="163" t="s">
        <v>1070</v>
      </c>
      <c r="DK278" s="169">
        <v>0.86387163561076608</v>
      </c>
    </row>
    <row r="279" spans="11:115" ht="11.1" customHeight="1">
      <c r="K279" s="2"/>
      <c r="CX279" s="120">
        <v>33</v>
      </c>
      <c r="CY279" s="120">
        <v>3574</v>
      </c>
      <c r="CZ279" s="121" t="s">
        <v>626</v>
      </c>
      <c r="DA279" s="181">
        <f t="shared" si="38"/>
        <v>0.7831262939958592</v>
      </c>
      <c r="DC279" s="162">
        <v>5</v>
      </c>
      <c r="DD279" s="162">
        <v>7305</v>
      </c>
      <c r="DE279" s="163" t="s">
        <v>1058</v>
      </c>
      <c r="DF279" s="169">
        <v>0.76958247066942709</v>
      </c>
      <c r="DG279" s="161"/>
      <c r="DH279" s="162">
        <v>18</v>
      </c>
      <c r="DI279" s="162">
        <v>7318</v>
      </c>
      <c r="DJ279" s="163" t="s">
        <v>1071</v>
      </c>
      <c r="DK279" s="169">
        <v>0.89742926155969638</v>
      </c>
    </row>
    <row r="280" spans="11:115" ht="11.1" customHeight="1">
      <c r="K280" s="2"/>
      <c r="CX280" s="120">
        <v>34</v>
      </c>
      <c r="CY280" s="120">
        <v>3575</v>
      </c>
      <c r="CZ280" s="121" t="s">
        <v>629</v>
      </c>
      <c r="DA280" s="181">
        <f t="shared" si="38"/>
        <v>0.80391649413388544</v>
      </c>
      <c r="DC280" s="162">
        <v>6</v>
      </c>
      <c r="DD280" s="162">
        <v>7306</v>
      </c>
      <c r="DE280" s="163" t="s">
        <v>1059</v>
      </c>
      <c r="DF280" s="169">
        <v>0.72325741890959283</v>
      </c>
      <c r="DG280" s="161"/>
      <c r="DH280" s="162">
        <v>21</v>
      </c>
      <c r="DI280" s="162">
        <v>7326</v>
      </c>
      <c r="DJ280" s="163" t="s">
        <v>1072</v>
      </c>
      <c r="DK280" s="169">
        <v>0.83048654244306419</v>
      </c>
    </row>
    <row r="281" spans="11:115" ht="11.1" customHeight="1">
      <c r="K281" s="2"/>
      <c r="CX281" s="120">
        <v>35</v>
      </c>
      <c r="CY281" s="120">
        <v>3576</v>
      </c>
      <c r="CZ281" s="121" t="s">
        <v>631</v>
      </c>
      <c r="DA281" s="181">
        <f t="shared" si="38"/>
        <v>0.82237750172532775</v>
      </c>
      <c r="DC281" s="162">
        <v>7</v>
      </c>
      <c r="DD281" s="162">
        <v>7307</v>
      </c>
      <c r="DE281" s="163" t="s">
        <v>1060</v>
      </c>
      <c r="DF281" s="169">
        <v>0.8087474120082816</v>
      </c>
      <c r="DG281" s="161"/>
      <c r="DH281" s="162">
        <v>19</v>
      </c>
      <c r="DI281" s="162">
        <v>7322</v>
      </c>
      <c r="DJ281" s="163" t="s">
        <v>1073</v>
      </c>
      <c r="DK281" s="169">
        <v>0.88630089717046234</v>
      </c>
    </row>
    <row r="282" spans="11:115" ht="11.1" customHeight="1">
      <c r="K282" s="2"/>
      <c r="CX282" s="120">
        <v>36</v>
      </c>
      <c r="CY282" s="120">
        <v>3577</v>
      </c>
      <c r="CZ282" s="121" t="s">
        <v>632</v>
      </c>
      <c r="DA282" s="181">
        <f t="shared" si="38"/>
        <v>0.8728433402346446</v>
      </c>
      <c r="DC282" s="162">
        <v>8</v>
      </c>
      <c r="DD282" s="162">
        <v>7308</v>
      </c>
      <c r="DE282" s="163" t="s">
        <v>1061</v>
      </c>
      <c r="DF282" s="169">
        <v>0.80822981366459623</v>
      </c>
      <c r="DG282" s="161"/>
      <c r="DH282" s="162">
        <v>20</v>
      </c>
      <c r="DI282" s="162">
        <v>7325</v>
      </c>
      <c r="DJ282" s="163" t="s">
        <v>1074</v>
      </c>
      <c r="DK282" s="169">
        <v>0.87914078674948237</v>
      </c>
    </row>
    <row r="283" spans="11:115" ht="11.1" customHeight="1">
      <c r="K283" s="2"/>
      <c r="CX283" s="120">
        <v>37</v>
      </c>
      <c r="CY283" s="120">
        <v>3578</v>
      </c>
      <c r="CZ283" s="121" t="s">
        <v>633</v>
      </c>
      <c r="DA283" s="181">
        <f t="shared" si="38"/>
        <v>0.86266390614216704</v>
      </c>
      <c r="DC283" s="162">
        <v>9</v>
      </c>
      <c r="DD283" s="162">
        <v>7309</v>
      </c>
      <c r="DE283" s="163" t="s">
        <v>1062</v>
      </c>
      <c r="DF283" s="169">
        <v>0.81961697722567295</v>
      </c>
      <c r="DG283" s="161"/>
      <c r="DH283" s="162">
        <v>22</v>
      </c>
      <c r="DI283" s="162">
        <v>7371</v>
      </c>
      <c r="DJ283" s="163" t="s">
        <v>1075</v>
      </c>
      <c r="DK283" s="169">
        <v>0.81392339544513448</v>
      </c>
    </row>
    <row r="284" spans="11:115" ht="11.1" customHeight="1">
      <c r="K284" s="2"/>
      <c r="CX284" s="120">
        <v>38</v>
      </c>
      <c r="CY284" s="120">
        <v>3579</v>
      </c>
      <c r="CZ284" s="121" t="s">
        <v>634</v>
      </c>
      <c r="DA284" s="181">
        <f t="shared" si="38"/>
        <v>0.84135610766045543</v>
      </c>
      <c r="DC284" s="162">
        <v>10</v>
      </c>
      <c r="DD284" s="162">
        <v>7310</v>
      </c>
      <c r="DE284" s="163" t="s">
        <v>1063</v>
      </c>
      <c r="DF284" s="169">
        <v>0.7665631469979296</v>
      </c>
      <c r="DG284" s="161"/>
      <c r="DH284" s="162">
        <v>23</v>
      </c>
      <c r="DI284" s="162">
        <v>7372</v>
      </c>
      <c r="DJ284" s="163" t="s">
        <v>1076</v>
      </c>
      <c r="DK284" s="169">
        <v>0.8231538992408558</v>
      </c>
    </row>
    <row r="285" spans="11:115" ht="11.1" customHeight="1">
      <c r="K285" s="2"/>
      <c r="CX285" s="118" t="s">
        <v>1541</v>
      </c>
      <c r="CY285" s="118">
        <v>3600</v>
      </c>
      <c r="CZ285" s="119" t="s">
        <v>23</v>
      </c>
      <c r="DA285" s="180">
        <f>DF177</f>
        <v>0.84437543133195303</v>
      </c>
      <c r="DC285" s="162">
        <v>11</v>
      </c>
      <c r="DD285" s="162">
        <v>7311</v>
      </c>
      <c r="DE285" s="163" t="s">
        <v>1064</v>
      </c>
      <c r="DF285" s="169">
        <v>0.84541062801932365</v>
      </c>
      <c r="DG285" s="161"/>
      <c r="DH285" s="162">
        <v>24</v>
      </c>
      <c r="DI285" s="162">
        <v>7373</v>
      </c>
      <c r="DJ285" s="163" t="s">
        <v>1077</v>
      </c>
      <c r="DK285" s="169">
        <v>0.83566252587991718</v>
      </c>
    </row>
    <row r="286" spans="11:115" ht="11.1" customHeight="1">
      <c r="K286" s="2"/>
      <c r="CX286" s="120">
        <v>1</v>
      </c>
      <c r="CY286" s="120">
        <v>3601</v>
      </c>
      <c r="CZ286" s="121" t="s">
        <v>106</v>
      </c>
      <c r="DA286" s="181">
        <f>DF178</f>
        <v>0.76259489302967565</v>
      </c>
      <c r="DC286" s="162">
        <v>12</v>
      </c>
      <c r="DD286" s="162">
        <v>7312</v>
      </c>
      <c r="DE286" s="163" t="s">
        <v>1065</v>
      </c>
      <c r="DF286" s="169">
        <v>0.83988957902001382</v>
      </c>
      <c r="DG286" s="161"/>
      <c r="DH286" s="161"/>
      <c r="DI286" s="161"/>
      <c r="DJ286" s="161"/>
      <c r="DK286" s="170"/>
    </row>
    <row r="287" spans="11:115" ht="11.1" customHeight="1">
      <c r="K287" s="2"/>
      <c r="CX287" s="120">
        <v>2</v>
      </c>
      <c r="CY287" s="120">
        <v>3602</v>
      </c>
      <c r="CZ287" s="121" t="s">
        <v>141</v>
      </c>
      <c r="DA287" s="181">
        <f>DF179</f>
        <v>0.72886473429951681</v>
      </c>
      <c r="DC287" s="161"/>
      <c r="DD287" s="161"/>
      <c r="DE287" s="161"/>
      <c r="DF287" s="170"/>
      <c r="DG287" s="161"/>
      <c r="DH287" s="161"/>
      <c r="DI287" s="161"/>
      <c r="DJ287" s="161"/>
      <c r="DK287" s="170"/>
    </row>
    <row r="288" spans="11:115" ht="11.1" customHeight="1">
      <c r="K288" s="2"/>
      <c r="CX288" s="120">
        <v>3</v>
      </c>
      <c r="CY288" s="120">
        <v>3603</v>
      </c>
      <c r="CZ288" s="121" t="s">
        <v>175</v>
      </c>
      <c r="DA288" s="181">
        <f>DF180</f>
        <v>0.91839199447895092</v>
      </c>
      <c r="DC288" s="155" t="s">
        <v>1192</v>
      </c>
      <c r="DD288" s="156" t="s">
        <v>1535</v>
      </c>
      <c r="DE288" s="157" t="s">
        <v>1629</v>
      </c>
      <c r="DF288" s="167" t="s">
        <v>1537</v>
      </c>
      <c r="DG288" s="158"/>
      <c r="DH288" s="155" t="s">
        <v>1192</v>
      </c>
      <c r="DI288" s="156" t="s">
        <v>1535</v>
      </c>
      <c r="DJ288" s="157" t="s">
        <v>1629</v>
      </c>
      <c r="DK288" s="167" t="s">
        <v>1537</v>
      </c>
    </row>
    <row r="289" spans="11:115" ht="11.1" customHeight="1">
      <c r="K289" s="2"/>
      <c r="CX289" s="120">
        <v>4</v>
      </c>
      <c r="CY289" s="120">
        <v>3604</v>
      </c>
      <c r="CZ289" s="121" t="s">
        <v>209</v>
      </c>
      <c r="DA289" s="181">
        <f>DF181</f>
        <v>0.84454796411318156</v>
      </c>
      <c r="DC289" s="159" t="s">
        <v>1553</v>
      </c>
      <c r="DD289" s="159">
        <v>7400</v>
      </c>
      <c r="DE289" s="160" t="s">
        <v>1078</v>
      </c>
      <c r="DF289" s="168">
        <v>0.86050724637681153</v>
      </c>
      <c r="DG289" s="161"/>
      <c r="DH289" s="162">
        <v>9</v>
      </c>
      <c r="DI289" s="162">
        <v>7409</v>
      </c>
      <c r="DJ289" s="163" t="s">
        <v>1087</v>
      </c>
      <c r="DK289" s="169">
        <v>0.98628364389233947</v>
      </c>
    </row>
    <row r="290" spans="11:115" ht="11.1" customHeight="1">
      <c r="K290" s="2"/>
      <c r="CX290" s="120">
        <v>5</v>
      </c>
      <c r="CY290" s="120">
        <v>3671</v>
      </c>
      <c r="CZ290" s="121" t="s">
        <v>244</v>
      </c>
      <c r="DA290" s="181">
        <f>DK177</f>
        <v>0.88914768806073152</v>
      </c>
      <c r="DC290" s="162">
        <v>1</v>
      </c>
      <c r="DD290" s="162">
        <v>7401</v>
      </c>
      <c r="DE290" s="163" t="s">
        <v>1079</v>
      </c>
      <c r="DF290" s="169">
        <v>0.83876811594202905</v>
      </c>
      <c r="DG290" s="161"/>
      <c r="DH290" s="162">
        <v>10</v>
      </c>
      <c r="DI290" s="162">
        <v>7410</v>
      </c>
      <c r="DJ290" s="163" t="s">
        <v>1088</v>
      </c>
      <c r="DK290" s="169">
        <v>0.76716701173222912</v>
      </c>
    </row>
    <row r="291" spans="11:115" ht="11.1" customHeight="1">
      <c r="K291" s="2"/>
      <c r="CX291" s="120">
        <v>6</v>
      </c>
      <c r="CY291" s="120">
        <v>3672</v>
      </c>
      <c r="CZ291" s="121" t="s">
        <v>278</v>
      </c>
      <c r="DA291" s="181">
        <f>DK178</f>
        <v>0.86818495514147687</v>
      </c>
      <c r="DC291" s="162">
        <v>2</v>
      </c>
      <c r="DD291" s="162">
        <v>7402</v>
      </c>
      <c r="DE291" s="163" t="s">
        <v>1080</v>
      </c>
      <c r="DF291" s="169">
        <v>0.8793133195307109</v>
      </c>
      <c r="DG291" s="161"/>
      <c r="DH291" s="162">
        <v>12</v>
      </c>
      <c r="DI291" s="162">
        <v>7412</v>
      </c>
      <c r="DJ291" s="163" t="s">
        <v>1089</v>
      </c>
      <c r="DK291" s="169">
        <v>0.7895962732919255</v>
      </c>
    </row>
    <row r="292" spans="11:115" ht="11.1" customHeight="1">
      <c r="K292" s="2"/>
      <c r="CX292" s="120">
        <v>7</v>
      </c>
      <c r="CY292" s="120">
        <v>3673</v>
      </c>
      <c r="CZ292" s="121" t="s">
        <v>310</v>
      </c>
      <c r="DA292" s="181">
        <f>DK179</f>
        <v>0.85377846790890266</v>
      </c>
      <c r="DC292" s="162">
        <v>3</v>
      </c>
      <c r="DD292" s="162">
        <v>7403</v>
      </c>
      <c r="DE292" s="163" t="s">
        <v>1081</v>
      </c>
      <c r="DF292" s="169">
        <v>0.83531746031746024</v>
      </c>
      <c r="DG292" s="161"/>
      <c r="DH292" s="162">
        <v>11</v>
      </c>
      <c r="DI292" s="162">
        <v>7411</v>
      </c>
      <c r="DJ292" s="163" t="s">
        <v>1090</v>
      </c>
      <c r="DK292" s="169">
        <v>0.91571773636991027</v>
      </c>
    </row>
    <row r="293" spans="11:115" ht="11.1" customHeight="1">
      <c r="K293" s="2"/>
      <c r="CX293" s="120">
        <v>8</v>
      </c>
      <c r="CY293" s="120">
        <v>3674</v>
      </c>
      <c r="CZ293" s="121" t="s">
        <v>338</v>
      </c>
      <c r="DA293" s="181">
        <f>DK180</f>
        <v>0.90916149068322982</v>
      </c>
      <c r="DC293" s="162">
        <v>4</v>
      </c>
      <c r="DD293" s="162">
        <v>7404</v>
      </c>
      <c r="DE293" s="163" t="s">
        <v>1082</v>
      </c>
      <c r="DF293" s="169">
        <v>0.78761214630779841</v>
      </c>
      <c r="DG293" s="161"/>
      <c r="DH293" s="162">
        <v>13</v>
      </c>
      <c r="DI293" s="162">
        <v>7413</v>
      </c>
      <c r="DJ293" s="163" t="s">
        <v>1091</v>
      </c>
      <c r="DK293" s="169">
        <v>0.91166321601104217</v>
      </c>
    </row>
    <row r="294" spans="11:115" ht="11.1" customHeight="1">
      <c r="K294" s="2"/>
      <c r="CX294" s="118" t="s">
        <v>1542</v>
      </c>
      <c r="CY294" s="118">
        <v>5100</v>
      </c>
      <c r="CZ294" s="119" t="s">
        <v>22</v>
      </c>
      <c r="DA294" s="180">
        <f>DF184</f>
        <v>0.96307798481711526</v>
      </c>
      <c r="DC294" s="162">
        <v>5</v>
      </c>
      <c r="DD294" s="162">
        <v>7405</v>
      </c>
      <c r="DE294" s="163" t="s">
        <v>1083</v>
      </c>
      <c r="DF294" s="169">
        <v>0.78605935127674265</v>
      </c>
      <c r="DG294" s="161"/>
      <c r="DH294" s="162">
        <v>14</v>
      </c>
      <c r="DI294" s="162">
        <v>7414</v>
      </c>
      <c r="DJ294" s="163" t="s">
        <v>1092</v>
      </c>
      <c r="DK294" s="169">
        <v>0.91692546583850931</v>
      </c>
    </row>
    <row r="295" spans="11:115" ht="11.1" customHeight="1">
      <c r="K295" s="2"/>
      <c r="CX295" s="120">
        <v>1</v>
      </c>
      <c r="CY295" s="120">
        <v>5101</v>
      </c>
      <c r="CZ295" s="121" t="s">
        <v>107</v>
      </c>
      <c r="DA295" s="181">
        <f>DF185</f>
        <v>0.9742063492063493</v>
      </c>
      <c r="DC295" s="162">
        <v>6</v>
      </c>
      <c r="DD295" s="162">
        <v>7406</v>
      </c>
      <c r="DE295" s="163" t="s">
        <v>1084</v>
      </c>
      <c r="DF295" s="169">
        <v>0.83264320220841959</v>
      </c>
      <c r="DG295" s="161"/>
      <c r="DH295" s="162">
        <v>15</v>
      </c>
      <c r="DI295" s="162">
        <v>7415</v>
      </c>
      <c r="DJ295" s="163" t="s">
        <v>1093</v>
      </c>
      <c r="DK295" s="169">
        <v>0.88992408557625946</v>
      </c>
    </row>
    <row r="296" spans="11:115" ht="11.1" customHeight="1">
      <c r="K296" s="2"/>
      <c r="CX296" s="120">
        <v>2</v>
      </c>
      <c r="CY296" s="120">
        <v>5102</v>
      </c>
      <c r="CZ296" s="121" t="s">
        <v>142</v>
      </c>
      <c r="DA296" s="181">
        <f>DF186</f>
        <v>1.0037957211870254</v>
      </c>
      <c r="DC296" s="162">
        <v>7</v>
      </c>
      <c r="DD296" s="162">
        <v>7407</v>
      </c>
      <c r="DE296" s="163" t="s">
        <v>1085</v>
      </c>
      <c r="DF296" s="169">
        <v>0.94530710835058662</v>
      </c>
      <c r="DG296" s="161"/>
      <c r="DH296" s="162">
        <v>16</v>
      </c>
      <c r="DI296" s="162">
        <v>7471</v>
      </c>
      <c r="DJ296" s="163" t="s">
        <v>1094</v>
      </c>
      <c r="DK296" s="169">
        <v>0.79925810904071781</v>
      </c>
    </row>
    <row r="297" spans="11:115" ht="11.1" customHeight="1">
      <c r="K297" s="2"/>
      <c r="CX297" s="120">
        <v>3</v>
      </c>
      <c r="CY297" s="120">
        <v>5103</v>
      </c>
      <c r="CZ297" s="121" t="s">
        <v>176</v>
      </c>
      <c r="DA297" s="181">
        <f>DF187</f>
        <v>0.98809523809523814</v>
      </c>
      <c r="DC297" s="162">
        <v>8</v>
      </c>
      <c r="DD297" s="162">
        <v>7408</v>
      </c>
      <c r="DE297" s="163" t="s">
        <v>1086</v>
      </c>
      <c r="DF297" s="169">
        <v>0.87491373360938574</v>
      </c>
      <c r="DG297" s="161"/>
      <c r="DH297" s="162">
        <v>17</v>
      </c>
      <c r="DI297" s="162">
        <v>7472</v>
      </c>
      <c r="DJ297" s="163" t="s">
        <v>1095</v>
      </c>
      <c r="DK297" s="169">
        <v>0.9098516218081435</v>
      </c>
    </row>
    <row r="298" spans="11:115" ht="11.1" customHeight="1">
      <c r="K298" s="2"/>
      <c r="CX298" s="120">
        <v>4</v>
      </c>
      <c r="CY298" s="120">
        <v>5104</v>
      </c>
      <c r="CZ298" s="121" t="s">
        <v>210</v>
      </c>
      <c r="DA298" s="181">
        <f>DF188</f>
        <v>0.96963423050379571</v>
      </c>
      <c r="DC298" s="161"/>
      <c r="DD298" s="161"/>
      <c r="DE298" s="161"/>
      <c r="DF298" s="170"/>
      <c r="DG298" s="161"/>
      <c r="DH298" s="161"/>
      <c r="DI298" s="161"/>
      <c r="DJ298" s="161"/>
      <c r="DK298" s="170"/>
    </row>
    <row r="299" spans="11:115" ht="11.1" customHeight="1">
      <c r="K299" s="2"/>
      <c r="CX299" s="120">
        <v>5</v>
      </c>
      <c r="CY299" s="120">
        <v>5105</v>
      </c>
      <c r="CZ299" s="121" t="s">
        <v>245</v>
      </c>
      <c r="DA299" s="181">
        <f>DK184</f>
        <v>0.87474120082815743</v>
      </c>
      <c r="DC299" s="155" t="s">
        <v>1192</v>
      </c>
      <c r="DD299" s="156" t="s">
        <v>1535</v>
      </c>
      <c r="DE299" s="157" t="s">
        <v>1629</v>
      </c>
      <c r="DF299" s="167" t="s">
        <v>1537</v>
      </c>
      <c r="DG299" s="158"/>
      <c r="DH299" s="155" t="s">
        <v>1192</v>
      </c>
      <c r="DI299" s="156" t="s">
        <v>1535</v>
      </c>
      <c r="DJ299" s="157" t="s">
        <v>1629</v>
      </c>
      <c r="DK299" s="167" t="s">
        <v>1537</v>
      </c>
    </row>
    <row r="300" spans="11:115" ht="11.1" customHeight="1">
      <c r="K300" s="2"/>
      <c r="CX300" s="120">
        <v>6</v>
      </c>
      <c r="CY300" s="120">
        <v>5106</v>
      </c>
      <c r="CZ300" s="121" t="s">
        <v>279</v>
      </c>
      <c r="DA300" s="181">
        <f>DK185</f>
        <v>0.962991718426501</v>
      </c>
      <c r="DC300" s="159" t="s">
        <v>1554</v>
      </c>
      <c r="DD300" s="159">
        <v>7500</v>
      </c>
      <c r="DE300" s="160" t="s">
        <v>1096</v>
      </c>
      <c r="DF300" s="168">
        <v>0.80020703933747417</v>
      </c>
      <c r="DG300" s="161"/>
      <c r="DH300" s="162">
        <v>4</v>
      </c>
      <c r="DI300" s="162">
        <v>7504</v>
      </c>
      <c r="DJ300" s="163" t="s">
        <v>1100</v>
      </c>
      <c r="DK300" s="169">
        <v>0.76147342995169076</v>
      </c>
    </row>
    <row r="301" spans="11:115" ht="11.1" customHeight="1">
      <c r="K301" s="2"/>
      <c r="CX301" s="120">
        <v>7</v>
      </c>
      <c r="CY301" s="120">
        <v>5107</v>
      </c>
      <c r="CZ301" s="121" t="s">
        <v>311</v>
      </c>
      <c r="DA301" s="181">
        <f>DK186</f>
        <v>0.92011732229123533</v>
      </c>
      <c r="DC301" s="162">
        <v>1</v>
      </c>
      <c r="DD301" s="162">
        <v>7501</v>
      </c>
      <c r="DE301" s="163" t="s">
        <v>1097</v>
      </c>
      <c r="DF301" s="169">
        <v>0.76216356107660455</v>
      </c>
      <c r="DG301" s="161"/>
      <c r="DH301" s="162">
        <v>5</v>
      </c>
      <c r="DI301" s="162">
        <v>7505</v>
      </c>
      <c r="DJ301" s="163" t="s">
        <v>1101</v>
      </c>
      <c r="DK301" s="169">
        <v>0.84679089026915111</v>
      </c>
    </row>
    <row r="302" spans="11:115" ht="11.1" customHeight="1">
      <c r="K302" s="2"/>
      <c r="CX302" s="120">
        <v>8</v>
      </c>
      <c r="CY302" s="120">
        <v>5108</v>
      </c>
      <c r="CZ302" s="121" t="s">
        <v>339</v>
      </c>
      <c r="DA302" s="181">
        <f>DK187</f>
        <v>1.0219979296066253</v>
      </c>
      <c r="DC302" s="162">
        <v>2</v>
      </c>
      <c r="DD302" s="162">
        <v>7502</v>
      </c>
      <c r="DE302" s="163" t="s">
        <v>1098</v>
      </c>
      <c r="DF302" s="169">
        <v>0.80728088336783987</v>
      </c>
      <c r="DG302" s="161"/>
      <c r="DH302" s="162">
        <v>6</v>
      </c>
      <c r="DI302" s="162">
        <v>7571</v>
      </c>
      <c r="DJ302" s="163" t="s">
        <v>1102</v>
      </c>
      <c r="DK302" s="169">
        <v>0.80219116632160103</v>
      </c>
    </row>
    <row r="303" spans="11:115" ht="11.1" customHeight="1">
      <c r="K303" s="2"/>
      <c r="CX303" s="120">
        <v>9</v>
      </c>
      <c r="CY303" s="120">
        <v>5171</v>
      </c>
      <c r="CZ303" s="121" t="s">
        <v>365</v>
      </c>
      <c r="DA303" s="181">
        <f>DK188</f>
        <v>0.96074879227053145</v>
      </c>
      <c r="DC303" s="162">
        <v>3</v>
      </c>
      <c r="DD303" s="162">
        <v>7503</v>
      </c>
      <c r="DE303" s="163" t="s">
        <v>1099</v>
      </c>
      <c r="DF303" s="169">
        <v>0.82496549344375425</v>
      </c>
      <c r="DG303" s="161"/>
      <c r="DH303" s="161"/>
      <c r="DI303" s="161"/>
      <c r="DJ303" s="161"/>
      <c r="DK303" s="170"/>
    </row>
    <row r="304" spans="11:115" ht="11.1" customHeight="1">
      <c r="K304" s="2"/>
      <c r="CX304" s="118" t="s">
        <v>1543</v>
      </c>
      <c r="CY304" s="118">
        <v>5200</v>
      </c>
      <c r="CZ304" s="119" t="s">
        <v>42</v>
      </c>
      <c r="DA304" s="180">
        <f t="shared" ref="DA304:DA309" si="39">DF191</f>
        <v>0.79045893719806759</v>
      </c>
      <c r="DC304" s="161"/>
      <c r="DD304" s="161"/>
      <c r="DE304" s="161"/>
      <c r="DF304" s="170"/>
      <c r="DG304" s="161"/>
      <c r="DH304" s="161"/>
      <c r="DI304" s="161"/>
      <c r="DJ304" s="161"/>
      <c r="DK304" s="170"/>
    </row>
    <row r="305" spans="11:115" ht="11.1" customHeight="1">
      <c r="K305" s="2"/>
      <c r="CX305" s="120">
        <v>1</v>
      </c>
      <c r="CY305" s="120">
        <v>5201</v>
      </c>
      <c r="CZ305" s="121" t="s">
        <v>108</v>
      </c>
      <c r="DA305" s="181">
        <f t="shared" si="39"/>
        <v>0.80408902691511386</v>
      </c>
      <c r="DC305" s="155" t="s">
        <v>1192</v>
      </c>
      <c r="DD305" s="156" t="s">
        <v>1535</v>
      </c>
      <c r="DE305" s="157" t="s">
        <v>1629</v>
      </c>
      <c r="DF305" s="167" t="s">
        <v>1537</v>
      </c>
      <c r="DG305" s="158"/>
      <c r="DH305" s="155" t="s">
        <v>1192</v>
      </c>
      <c r="DI305" s="156" t="s">
        <v>1535</v>
      </c>
      <c r="DJ305" s="157" t="s">
        <v>1629</v>
      </c>
      <c r="DK305" s="167" t="s">
        <v>1537</v>
      </c>
    </row>
    <row r="306" spans="11:115" ht="11.1" customHeight="1">
      <c r="K306" s="2"/>
      <c r="CX306" s="120">
        <v>2</v>
      </c>
      <c r="CY306" s="120">
        <v>5202</v>
      </c>
      <c r="CZ306" s="121" t="s">
        <v>143</v>
      </c>
      <c r="DA306" s="181">
        <f t="shared" si="39"/>
        <v>0.78726708074534169</v>
      </c>
      <c r="DC306" s="159" t="s">
        <v>1555</v>
      </c>
      <c r="DD306" s="159">
        <v>7600</v>
      </c>
      <c r="DE306" s="160" t="s">
        <v>1103</v>
      </c>
      <c r="DF306" s="168">
        <v>0.76440648723257421</v>
      </c>
      <c r="DG306" s="161"/>
      <c r="DH306" s="162">
        <v>4</v>
      </c>
      <c r="DI306" s="162">
        <v>7604</v>
      </c>
      <c r="DJ306" s="163" t="s">
        <v>1107</v>
      </c>
      <c r="DK306" s="169">
        <v>0.74137336093857831</v>
      </c>
    </row>
    <row r="307" spans="11:115" ht="11.1" customHeight="1">
      <c r="K307" s="2"/>
      <c r="CX307" s="120">
        <v>3</v>
      </c>
      <c r="CY307" s="120">
        <v>5203</v>
      </c>
      <c r="CZ307" s="121" t="s">
        <v>177</v>
      </c>
      <c r="DA307" s="181">
        <f t="shared" si="39"/>
        <v>0.76130089717046234</v>
      </c>
      <c r="DC307" s="162">
        <v>1</v>
      </c>
      <c r="DD307" s="162">
        <v>7601</v>
      </c>
      <c r="DE307" s="163" t="s">
        <v>1104</v>
      </c>
      <c r="DF307" s="169">
        <v>0.69573844030365772</v>
      </c>
      <c r="DG307" s="161"/>
      <c r="DH307" s="162">
        <v>5</v>
      </c>
      <c r="DI307" s="162">
        <v>7605</v>
      </c>
      <c r="DJ307" s="163" t="s">
        <v>1108</v>
      </c>
      <c r="DK307" s="169">
        <v>0.71928916494133877</v>
      </c>
    </row>
    <row r="308" spans="11:115" ht="11.1" customHeight="1">
      <c r="K308" s="2"/>
      <c r="CX308" s="120">
        <v>4</v>
      </c>
      <c r="CY308" s="120">
        <v>5204</v>
      </c>
      <c r="CZ308" s="121" t="s">
        <v>211</v>
      </c>
      <c r="DA308" s="181">
        <f t="shared" si="39"/>
        <v>0.77829537612146305</v>
      </c>
      <c r="DC308" s="162">
        <v>2</v>
      </c>
      <c r="DD308" s="162">
        <v>7602</v>
      </c>
      <c r="DE308" s="163" t="s">
        <v>1105</v>
      </c>
      <c r="DF308" s="169">
        <v>0.71635610766045554</v>
      </c>
      <c r="DG308" s="161"/>
      <c r="DH308" s="162">
        <v>6</v>
      </c>
      <c r="DI308" s="162">
        <v>7606</v>
      </c>
      <c r="DJ308" s="163" t="s">
        <v>1109</v>
      </c>
      <c r="DK308" s="169">
        <v>0.74258109040717735</v>
      </c>
    </row>
    <row r="309" spans="11:115" ht="11.1" customHeight="1">
      <c r="K309" s="2"/>
      <c r="CX309" s="120">
        <v>5</v>
      </c>
      <c r="CY309" s="120">
        <v>5205</v>
      </c>
      <c r="CZ309" s="121" t="s">
        <v>246</v>
      </c>
      <c r="DA309" s="181">
        <f t="shared" si="39"/>
        <v>0.81211180124223603</v>
      </c>
      <c r="DC309" s="162">
        <v>3</v>
      </c>
      <c r="DD309" s="162">
        <v>7603</v>
      </c>
      <c r="DE309" s="163" t="s">
        <v>1106</v>
      </c>
      <c r="DF309" s="169">
        <v>0.8218599033816425</v>
      </c>
      <c r="DG309" s="161"/>
      <c r="DH309" s="161"/>
      <c r="DI309" s="161"/>
      <c r="DJ309" s="161"/>
      <c r="DK309" s="170"/>
    </row>
    <row r="310" spans="11:115" ht="11.1" customHeight="1">
      <c r="K310" s="2"/>
      <c r="CX310" s="120">
        <v>6</v>
      </c>
      <c r="CY310" s="120">
        <v>5206</v>
      </c>
      <c r="CZ310" s="121" t="s">
        <v>280</v>
      </c>
      <c r="DA310" s="181">
        <f>DK191</f>
        <v>0.76975500345065562</v>
      </c>
      <c r="DC310" s="161"/>
      <c r="DD310" s="161"/>
      <c r="DE310" s="161"/>
      <c r="DF310" s="170"/>
      <c r="DG310" s="161"/>
      <c r="DH310" s="161"/>
      <c r="DI310" s="161"/>
      <c r="DJ310" s="161"/>
      <c r="DK310" s="170"/>
    </row>
    <row r="311" spans="11:115" ht="11.1" customHeight="1">
      <c r="K311" s="2"/>
      <c r="CX311" s="120">
        <v>7</v>
      </c>
      <c r="CY311" s="120">
        <v>5207</v>
      </c>
      <c r="CZ311" s="121" t="s">
        <v>312</v>
      </c>
      <c r="DA311" s="181">
        <f>DK192</f>
        <v>0.84178743961352653</v>
      </c>
      <c r="DC311" s="155" t="s">
        <v>1192</v>
      </c>
      <c r="DD311" s="156" t="s">
        <v>1535</v>
      </c>
      <c r="DE311" s="157" t="s">
        <v>1629</v>
      </c>
      <c r="DF311" s="167" t="s">
        <v>1537</v>
      </c>
      <c r="DG311" s="158"/>
      <c r="DH311" s="155" t="s">
        <v>1192</v>
      </c>
      <c r="DI311" s="156" t="s">
        <v>1535</v>
      </c>
      <c r="DJ311" s="157" t="s">
        <v>1629</v>
      </c>
      <c r="DK311" s="167" t="s">
        <v>1537</v>
      </c>
    </row>
    <row r="312" spans="11:115" ht="11.1" customHeight="1">
      <c r="K312" s="2"/>
      <c r="CX312" s="120">
        <v>8</v>
      </c>
      <c r="CY312" s="120">
        <v>5208</v>
      </c>
      <c r="CZ312" s="121" t="s">
        <v>340</v>
      </c>
      <c r="DA312" s="181">
        <f>DK193</f>
        <v>0.7334368530020704</v>
      </c>
      <c r="DC312" s="159" t="s">
        <v>1556</v>
      </c>
      <c r="DD312" s="159">
        <v>8100</v>
      </c>
      <c r="DE312" s="160" t="s">
        <v>1110</v>
      </c>
      <c r="DF312" s="168">
        <v>1.0443409247757074</v>
      </c>
      <c r="DG312" s="161"/>
      <c r="DH312" s="162">
        <v>6</v>
      </c>
      <c r="DI312" s="162">
        <v>8106</v>
      </c>
      <c r="DJ312" s="163" t="s">
        <v>1116</v>
      </c>
      <c r="DK312" s="169">
        <v>0.92710489993098688</v>
      </c>
    </row>
    <row r="313" spans="11:115" ht="11.1" customHeight="1">
      <c r="K313" s="2"/>
      <c r="CX313" s="120">
        <v>9</v>
      </c>
      <c r="CY313" s="120">
        <v>5271</v>
      </c>
      <c r="CZ313" s="121" t="s">
        <v>366</v>
      </c>
      <c r="DA313" s="181">
        <f>DK194</f>
        <v>0.81978951000690126</v>
      </c>
      <c r="DC313" s="162">
        <v>1</v>
      </c>
      <c r="DD313" s="162">
        <v>8101</v>
      </c>
      <c r="DE313" s="163" t="s">
        <v>1111</v>
      </c>
      <c r="DF313" s="169">
        <v>1.0221704623878536</v>
      </c>
      <c r="DG313" s="161"/>
      <c r="DH313" s="162">
        <v>7</v>
      </c>
      <c r="DI313" s="162">
        <v>8107</v>
      </c>
      <c r="DJ313" s="163" t="s">
        <v>1117</v>
      </c>
      <c r="DK313" s="169">
        <v>0.97601794340924775</v>
      </c>
    </row>
    <row r="314" spans="11:115" ht="11.1" customHeight="1">
      <c r="K314" s="2"/>
      <c r="CX314" s="120">
        <v>10</v>
      </c>
      <c r="CY314" s="120">
        <v>5272</v>
      </c>
      <c r="CZ314" s="121" t="s">
        <v>392</v>
      </c>
      <c r="DA314" s="181">
        <f>DK195</f>
        <v>0.80262249827467225</v>
      </c>
      <c r="DC314" s="162">
        <v>2</v>
      </c>
      <c r="DD314" s="162">
        <v>8102</v>
      </c>
      <c r="DE314" s="163" t="s">
        <v>1112</v>
      </c>
      <c r="DF314" s="169">
        <v>1.1272429261559695</v>
      </c>
      <c r="DG314" s="161"/>
      <c r="DH314" s="162">
        <v>9</v>
      </c>
      <c r="DI314" s="162">
        <v>8109</v>
      </c>
      <c r="DJ314" s="163" t="s">
        <v>1118</v>
      </c>
      <c r="DK314" s="169">
        <v>1.2537957211870256</v>
      </c>
    </row>
    <row r="315" spans="11:115" ht="11.1" customHeight="1">
      <c r="K315" s="2"/>
      <c r="CX315" s="118" t="s">
        <v>1544</v>
      </c>
      <c r="CY315" s="118">
        <v>5300</v>
      </c>
      <c r="CZ315" s="119" t="s">
        <v>43</v>
      </c>
      <c r="DA315" s="180">
        <f t="shared" ref="DA315:DA326" si="40">DF199</f>
        <v>0.82763975155279501</v>
      </c>
      <c r="DC315" s="162">
        <v>3</v>
      </c>
      <c r="DD315" s="162">
        <v>8103</v>
      </c>
      <c r="DE315" s="163" t="s">
        <v>1113</v>
      </c>
      <c r="DF315" s="169">
        <v>0.92399930986887502</v>
      </c>
      <c r="DG315" s="161"/>
      <c r="DH315" s="162">
        <v>8</v>
      </c>
      <c r="DI315" s="162">
        <v>8108</v>
      </c>
      <c r="DJ315" s="163" t="s">
        <v>1119</v>
      </c>
      <c r="DK315" s="169">
        <v>1.1563146997929605</v>
      </c>
    </row>
    <row r="316" spans="11:115" ht="11.1" customHeight="1">
      <c r="K316" s="2"/>
      <c r="CX316" s="120">
        <v>1</v>
      </c>
      <c r="CY316" s="120">
        <v>5301</v>
      </c>
      <c r="CZ316" s="121" t="s">
        <v>109</v>
      </c>
      <c r="DA316" s="181">
        <f t="shared" si="40"/>
        <v>0.89484126984126988</v>
      </c>
      <c r="DC316" s="162">
        <v>4</v>
      </c>
      <c r="DD316" s="162">
        <v>8104</v>
      </c>
      <c r="DE316" s="163" t="s">
        <v>1114</v>
      </c>
      <c r="DF316" s="169">
        <v>1.0401138716356106</v>
      </c>
      <c r="DG316" s="161"/>
      <c r="DH316" s="162">
        <v>10</v>
      </c>
      <c r="DI316" s="162">
        <v>8171</v>
      </c>
      <c r="DJ316" s="163" t="s">
        <v>1120</v>
      </c>
      <c r="DK316" s="169">
        <v>0.90536576949620429</v>
      </c>
    </row>
    <row r="317" spans="11:115" ht="11.1" customHeight="1">
      <c r="K317" s="2"/>
      <c r="CX317" s="120">
        <v>2</v>
      </c>
      <c r="CY317" s="120">
        <v>5302</v>
      </c>
      <c r="CZ317" s="121" t="s">
        <v>144</v>
      </c>
      <c r="DA317" s="181">
        <f t="shared" si="40"/>
        <v>0.82177363699102834</v>
      </c>
      <c r="DC317" s="162">
        <v>5</v>
      </c>
      <c r="DD317" s="162">
        <v>8105</v>
      </c>
      <c r="DE317" s="163" t="s">
        <v>1115</v>
      </c>
      <c r="DF317" s="169">
        <v>1.0682367149758454</v>
      </c>
      <c r="DG317" s="161"/>
      <c r="DH317" s="162">
        <v>11</v>
      </c>
      <c r="DI317" s="162">
        <v>8172</v>
      </c>
      <c r="DJ317" s="163" t="s">
        <v>1121</v>
      </c>
      <c r="DK317" s="169">
        <v>1.1465665976535542</v>
      </c>
    </row>
    <row r="318" spans="11:115" ht="11.1" customHeight="1">
      <c r="K318" s="2"/>
      <c r="CX318" s="120">
        <v>3</v>
      </c>
      <c r="CY318" s="120">
        <v>5303</v>
      </c>
      <c r="CZ318" s="121" t="s">
        <v>178</v>
      </c>
      <c r="DA318" s="181">
        <f t="shared" si="40"/>
        <v>0.76112836438923392</v>
      </c>
      <c r="DC318" s="161"/>
      <c r="DD318" s="161"/>
      <c r="DE318" s="161"/>
      <c r="DF318" s="170"/>
      <c r="DG318" s="161"/>
      <c r="DH318" s="161"/>
      <c r="DI318" s="161"/>
      <c r="DJ318" s="161"/>
      <c r="DK318" s="170"/>
    </row>
    <row r="319" spans="11:115" ht="11.1" customHeight="1">
      <c r="K319" s="2"/>
      <c r="CX319" s="120">
        <v>4</v>
      </c>
      <c r="CY319" s="120">
        <v>5304</v>
      </c>
      <c r="CZ319" s="121" t="s">
        <v>212</v>
      </c>
      <c r="DA319" s="181">
        <f t="shared" si="40"/>
        <v>0.78925120772946855</v>
      </c>
      <c r="DC319" s="155" t="s">
        <v>1192</v>
      </c>
      <c r="DD319" s="156" t="s">
        <v>1535</v>
      </c>
      <c r="DE319" s="157" t="s">
        <v>1629</v>
      </c>
      <c r="DF319" s="167" t="s">
        <v>1537</v>
      </c>
      <c r="DG319" s="158"/>
      <c r="DH319" s="155" t="s">
        <v>1192</v>
      </c>
      <c r="DI319" s="156" t="s">
        <v>1535</v>
      </c>
      <c r="DJ319" s="157" t="s">
        <v>1629</v>
      </c>
      <c r="DK319" s="167" t="s">
        <v>1537</v>
      </c>
    </row>
    <row r="320" spans="11:115" ht="11.1" customHeight="1">
      <c r="K320" s="2"/>
      <c r="CX320" s="120">
        <v>5</v>
      </c>
      <c r="CY320" s="120">
        <v>5305</v>
      </c>
      <c r="CZ320" s="121" t="s">
        <v>247</v>
      </c>
      <c r="DA320" s="181">
        <f t="shared" si="40"/>
        <v>0.71894409937888204</v>
      </c>
      <c r="DC320" s="159" t="s">
        <v>1557</v>
      </c>
      <c r="DD320" s="159">
        <v>8200</v>
      </c>
      <c r="DE320" s="160" t="s">
        <v>1122</v>
      </c>
      <c r="DF320" s="168">
        <v>1.0431331953071084</v>
      </c>
      <c r="DG320" s="161"/>
      <c r="DH320" s="162">
        <v>6</v>
      </c>
      <c r="DI320" s="162">
        <v>8206</v>
      </c>
      <c r="DJ320" s="163" t="s">
        <v>1128</v>
      </c>
      <c r="DK320" s="169">
        <v>1.0224292615596964</v>
      </c>
    </row>
    <row r="321" spans="11:115" ht="11.1" customHeight="1">
      <c r="K321" s="2"/>
      <c r="CX321" s="120">
        <v>6</v>
      </c>
      <c r="CY321" s="120">
        <v>5306</v>
      </c>
      <c r="CZ321" s="121" t="s">
        <v>281</v>
      </c>
      <c r="DA321" s="181">
        <f t="shared" si="40"/>
        <v>0.75362318840579712</v>
      </c>
      <c r="DC321" s="162">
        <v>1</v>
      </c>
      <c r="DD321" s="162">
        <v>8201</v>
      </c>
      <c r="DE321" s="163" t="s">
        <v>1123</v>
      </c>
      <c r="DF321" s="169">
        <v>1.0648723257418908</v>
      </c>
      <c r="DG321" s="161"/>
      <c r="DH321" s="162">
        <v>7</v>
      </c>
      <c r="DI321" s="162">
        <v>8207</v>
      </c>
      <c r="DJ321" s="163" t="s">
        <v>1129</v>
      </c>
      <c r="DK321" s="169">
        <v>0.94755003450655628</v>
      </c>
    </row>
    <row r="322" spans="11:115" ht="11.1" customHeight="1">
      <c r="K322" s="2"/>
      <c r="CX322" s="120">
        <v>7</v>
      </c>
      <c r="CY322" s="120">
        <v>5307</v>
      </c>
      <c r="CZ322" s="121" t="s">
        <v>313</v>
      </c>
      <c r="DA322" s="181">
        <f t="shared" si="40"/>
        <v>0.89648033126293991</v>
      </c>
      <c r="DC322" s="162">
        <v>2</v>
      </c>
      <c r="DD322" s="162">
        <v>8202</v>
      </c>
      <c r="DE322" s="163" t="s">
        <v>1124</v>
      </c>
      <c r="DF322" s="169">
        <v>1.1042960662525878</v>
      </c>
      <c r="DG322" s="161"/>
      <c r="DH322" s="162">
        <v>8</v>
      </c>
      <c r="DI322" s="162">
        <v>8208</v>
      </c>
      <c r="DJ322" s="163" t="s">
        <v>1130</v>
      </c>
      <c r="DK322" s="169">
        <v>1.0368357487922706</v>
      </c>
    </row>
    <row r="323" spans="11:115" ht="11.1" customHeight="1">
      <c r="K323" s="2"/>
      <c r="CX323" s="120">
        <v>8</v>
      </c>
      <c r="CY323" s="120">
        <v>5308</v>
      </c>
      <c r="CZ323" s="121" t="s">
        <v>341</v>
      </c>
      <c r="DA323" s="181">
        <f t="shared" si="40"/>
        <v>0.81469979296066253</v>
      </c>
      <c r="DC323" s="162">
        <v>3</v>
      </c>
      <c r="DD323" s="162">
        <v>8203</v>
      </c>
      <c r="DE323" s="163" t="s">
        <v>1125</v>
      </c>
      <c r="DF323" s="169">
        <v>1.0742753623188406</v>
      </c>
      <c r="DG323" s="161"/>
      <c r="DH323" s="162">
        <v>9</v>
      </c>
      <c r="DI323" s="162">
        <v>8271</v>
      </c>
      <c r="DJ323" s="163" t="s">
        <v>1131</v>
      </c>
      <c r="DK323" s="169">
        <v>1.1168046928916495</v>
      </c>
    </row>
    <row r="324" spans="11:115" ht="11.1" customHeight="1">
      <c r="K324" s="2"/>
      <c r="CX324" s="120">
        <v>9</v>
      </c>
      <c r="CY324" s="120">
        <v>5309</v>
      </c>
      <c r="CZ324" s="121" t="s">
        <v>367</v>
      </c>
      <c r="DA324" s="181">
        <f t="shared" si="40"/>
        <v>0.9216701173222912</v>
      </c>
      <c r="DC324" s="162">
        <v>4</v>
      </c>
      <c r="DD324" s="162">
        <v>8204</v>
      </c>
      <c r="DE324" s="163" t="s">
        <v>1126</v>
      </c>
      <c r="DF324" s="169">
        <v>0.94297791580400281</v>
      </c>
      <c r="DG324" s="161"/>
      <c r="DH324" s="162">
        <v>10</v>
      </c>
      <c r="DI324" s="162">
        <v>8272</v>
      </c>
      <c r="DJ324" s="163" t="s">
        <v>1132</v>
      </c>
      <c r="DK324" s="169">
        <v>1.06444099378882</v>
      </c>
    </row>
    <row r="325" spans="11:115" ht="11.1" customHeight="1">
      <c r="K325" s="2"/>
      <c r="CX325" s="120">
        <v>10</v>
      </c>
      <c r="CY325" s="120">
        <v>5310</v>
      </c>
      <c r="CZ325" s="121" t="s">
        <v>393</v>
      </c>
      <c r="DA325" s="181">
        <f t="shared" si="40"/>
        <v>0.77208419599723943</v>
      </c>
      <c r="DC325" s="162">
        <v>5</v>
      </c>
      <c r="DD325" s="162">
        <v>8205</v>
      </c>
      <c r="DE325" s="163" t="s">
        <v>1127</v>
      </c>
      <c r="DF325" s="169">
        <v>1.0722912353347136</v>
      </c>
      <c r="DG325" s="161"/>
      <c r="DH325" s="161"/>
      <c r="DI325" s="161"/>
      <c r="DJ325" s="161"/>
      <c r="DK325" s="170"/>
    </row>
    <row r="326" spans="11:115" ht="11.1" customHeight="1">
      <c r="K326" s="2"/>
      <c r="CX326" s="120">
        <v>11</v>
      </c>
      <c r="CY326" s="120">
        <v>5311</v>
      </c>
      <c r="CZ326" s="121" t="s">
        <v>417</v>
      </c>
      <c r="DA326" s="181">
        <f t="shared" si="40"/>
        <v>0.82384403036576948</v>
      </c>
      <c r="DC326" s="161"/>
      <c r="DD326" s="161"/>
      <c r="DE326" s="161"/>
      <c r="DF326" s="170"/>
      <c r="DG326" s="161"/>
      <c r="DH326" s="161"/>
      <c r="DI326" s="161"/>
      <c r="DJ326" s="161"/>
      <c r="DK326" s="170"/>
    </row>
    <row r="327" spans="11:115" ht="11.1" customHeight="1">
      <c r="K327" s="2"/>
      <c r="CX327" s="120">
        <v>12</v>
      </c>
      <c r="CY327" s="120">
        <v>5312</v>
      </c>
      <c r="CZ327" s="121" t="s">
        <v>438</v>
      </c>
      <c r="DA327" s="181">
        <f t="shared" ref="DA327:DA337" si="41">DK199</f>
        <v>0.84083850931677018</v>
      </c>
      <c r="DC327" s="155" t="s">
        <v>1192</v>
      </c>
      <c r="DD327" s="156" t="s">
        <v>1535</v>
      </c>
      <c r="DE327" s="157" t="s">
        <v>1629</v>
      </c>
      <c r="DF327" s="167" t="s">
        <v>1537</v>
      </c>
      <c r="DG327" s="158"/>
      <c r="DH327" s="155" t="s">
        <v>1192</v>
      </c>
      <c r="DI327" s="156" t="s">
        <v>1535</v>
      </c>
      <c r="DJ327" s="157" t="s">
        <v>1629</v>
      </c>
      <c r="DK327" s="167" t="s">
        <v>1537</v>
      </c>
    </row>
    <row r="328" spans="11:115" ht="11.1" customHeight="1">
      <c r="K328" s="2"/>
      <c r="CX328" s="120">
        <v>13</v>
      </c>
      <c r="CY328" s="120">
        <v>5313</v>
      </c>
      <c r="CZ328" s="121" t="s">
        <v>457</v>
      </c>
      <c r="DA328" s="181">
        <f t="shared" si="41"/>
        <v>0.81771911663216013</v>
      </c>
      <c r="DC328" s="159" t="s">
        <v>1558</v>
      </c>
      <c r="DD328" s="159">
        <v>9100</v>
      </c>
      <c r="DE328" s="160" t="s">
        <v>1133</v>
      </c>
      <c r="DF328" s="168">
        <v>1.2080745341614907</v>
      </c>
      <c r="DG328" s="161"/>
      <c r="DH328" s="162">
        <v>7</v>
      </c>
      <c r="DI328" s="162">
        <v>9107</v>
      </c>
      <c r="DJ328" s="163" t="s">
        <v>1140</v>
      </c>
      <c r="DK328" s="169">
        <v>1.0244996549344376</v>
      </c>
    </row>
    <row r="329" spans="11:115" ht="11.1" customHeight="1">
      <c r="K329" s="2"/>
      <c r="CX329" s="120">
        <v>14</v>
      </c>
      <c r="CY329" s="120">
        <v>5314</v>
      </c>
      <c r="CZ329" s="121" t="s">
        <v>476</v>
      </c>
      <c r="DA329" s="181">
        <f t="shared" si="41"/>
        <v>0.88699102829537602</v>
      </c>
      <c r="DC329" s="162">
        <v>1</v>
      </c>
      <c r="DD329" s="162">
        <v>9101</v>
      </c>
      <c r="DE329" s="163" t="s">
        <v>1134</v>
      </c>
      <c r="DF329" s="169">
        <v>1.1689095928226363</v>
      </c>
      <c r="DG329" s="161"/>
      <c r="DH329" s="162">
        <v>8</v>
      </c>
      <c r="DI329" s="162">
        <v>9108</v>
      </c>
      <c r="DJ329" s="163" t="s">
        <v>1141</v>
      </c>
      <c r="DK329" s="169">
        <v>1.2328329882677709</v>
      </c>
    </row>
    <row r="330" spans="11:115" ht="11.1" customHeight="1">
      <c r="K330" s="2"/>
      <c r="CX330" s="120">
        <v>15</v>
      </c>
      <c r="CY330" s="120">
        <v>5315</v>
      </c>
      <c r="CZ330" s="121" t="s">
        <v>492</v>
      </c>
      <c r="DA330" s="181">
        <f t="shared" si="41"/>
        <v>0.78994133885438222</v>
      </c>
      <c r="DC330" s="162">
        <v>2</v>
      </c>
      <c r="DD330" s="162">
        <v>9102</v>
      </c>
      <c r="DE330" s="163" t="s">
        <v>1135</v>
      </c>
      <c r="DF330" s="169">
        <v>1.1528640441683919</v>
      </c>
      <c r="DG330" s="161"/>
      <c r="DH330" s="162">
        <v>10</v>
      </c>
      <c r="DI330" s="162">
        <v>9110</v>
      </c>
      <c r="DJ330" s="163" t="s">
        <v>1142</v>
      </c>
      <c r="DK330" s="169">
        <v>1.3979468599033817</v>
      </c>
    </row>
    <row r="331" spans="11:115" ht="11.1" customHeight="1">
      <c r="K331" s="2"/>
      <c r="CX331" s="120">
        <v>17</v>
      </c>
      <c r="CY331" s="120">
        <v>5317</v>
      </c>
      <c r="CZ331" s="121" t="s">
        <v>505</v>
      </c>
      <c r="DA331" s="181">
        <f t="shared" si="41"/>
        <v>0.86939268461007591</v>
      </c>
      <c r="DC331" s="162">
        <v>3</v>
      </c>
      <c r="DD331" s="162">
        <v>9103</v>
      </c>
      <c r="DE331" s="163" t="s">
        <v>1136</v>
      </c>
      <c r="DF331" s="169">
        <v>1.138543823326432</v>
      </c>
      <c r="DG331" s="161"/>
      <c r="DH331" s="162">
        <v>9</v>
      </c>
      <c r="DI331" s="162">
        <v>9109</v>
      </c>
      <c r="DJ331" s="163" t="s">
        <v>1143</v>
      </c>
      <c r="DK331" s="169">
        <v>1.186680469289165</v>
      </c>
    </row>
    <row r="332" spans="11:115" ht="11.1" customHeight="1">
      <c r="K332" s="2"/>
      <c r="CX332" s="120">
        <v>16</v>
      </c>
      <c r="CY332" s="120">
        <v>5316</v>
      </c>
      <c r="CZ332" s="121" t="s">
        <v>517</v>
      </c>
      <c r="DA332" s="181">
        <f t="shared" si="41"/>
        <v>0.85766045548654246</v>
      </c>
      <c r="DC332" s="162">
        <v>4</v>
      </c>
      <c r="DD332" s="162">
        <v>9104</v>
      </c>
      <c r="DE332" s="163" t="s">
        <v>1137</v>
      </c>
      <c r="DF332" s="169">
        <v>1.2735507246376812</v>
      </c>
      <c r="DG332" s="161"/>
      <c r="DH332" s="162">
        <v>11</v>
      </c>
      <c r="DI332" s="162">
        <v>9111</v>
      </c>
      <c r="DJ332" s="163" t="s">
        <v>1144</v>
      </c>
      <c r="DK332" s="169">
        <v>1.2346445824706695</v>
      </c>
    </row>
    <row r="333" spans="11:115" ht="11.1" customHeight="1">
      <c r="K333" s="2"/>
      <c r="CX333" s="120">
        <v>18</v>
      </c>
      <c r="CY333" s="120">
        <v>5318</v>
      </c>
      <c r="CZ333" s="121" t="s">
        <v>528</v>
      </c>
      <c r="DA333" s="181">
        <f t="shared" si="41"/>
        <v>0.86067977915803995</v>
      </c>
      <c r="DC333" s="162">
        <v>5</v>
      </c>
      <c r="DD333" s="162">
        <v>9105</v>
      </c>
      <c r="DE333" s="163" t="s">
        <v>1138</v>
      </c>
      <c r="DF333" s="169">
        <v>1.1323326432022083</v>
      </c>
      <c r="DG333" s="161"/>
      <c r="DH333" s="162">
        <v>12</v>
      </c>
      <c r="DI333" s="162">
        <v>9112</v>
      </c>
      <c r="DJ333" s="163" t="s">
        <v>1145</v>
      </c>
      <c r="DK333" s="169">
        <v>1.8376466528640443</v>
      </c>
    </row>
    <row r="334" spans="11:115" ht="11.1" customHeight="1">
      <c r="K334" s="2"/>
      <c r="CX334" s="120">
        <v>19</v>
      </c>
      <c r="CY334" s="120">
        <v>5319</v>
      </c>
      <c r="CZ334" s="121" t="s">
        <v>538</v>
      </c>
      <c r="DA334" s="181">
        <f t="shared" si="41"/>
        <v>0.82945134575569357</v>
      </c>
      <c r="DC334" s="162">
        <v>6</v>
      </c>
      <c r="DD334" s="162">
        <v>9106</v>
      </c>
      <c r="DE334" s="163" t="s">
        <v>1139</v>
      </c>
      <c r="DF334" s="169">
        <v>1.0851449275362319</v>
      </c>
      <c r="DG334" s="161"/>
      <c r="DH334" s="162">
        <v>13</v>
      </c>
      <c r="DI334" s="162">
        <v>9171</v>
      </c>
      <c r="DJ334" s="163" t="s">
        <v>1146</v>
      </c>
      <c r="DK334" s="169">
        <v>1.0227743271221532</v>
      </c>
    </row>
    <row r="335" spans="11:115" ht="11.1" customHeight="1">
      <c r="K335" s="2"/>
      <c r="CX335" s="120">
        <v>20</v>
      </c>
      <c r="CY335" s="120">
        <v>5320</v>
      </c>
      <c r="CZ335" s="121" t="s">
        <v>547</v>
      </c>
      <c r="DA335" s="181">
        <f t="shared" si="41"/>
        <v>0.96903036576949619</v>
      </c>
      <c r="DC335" s="161"/>
      <c r="DD335" s="161"/>
      <c r="DE335" s="161"/>
      <c r="DF335" s="170"/>
      <c r="DG335" s="161"/>
      <c r="DH335" s="161"/>
      <c r="DI335" s="161"/>
      <c r="DJ335" s="161"/>
      <c r="DK335" s="170"/>
    </row>
    <row r="336" spans="11:115" ht="11.1" customHeight="1">
      <c r="K336" s="2"/>
      <c r="CX336" s="120">
        <v>21</v>
      </c>
      <c r="CY336" s="120">
        <v>5321</v>
      </c>
      <c r="CZ336" s="121" t="s">
        <v>556</v>
      </c>
      <c r="DA336" s="181">
        <f t="shared" si="41"/>
        <v>0.78234989648033126</v>
      </c>
      <c r="DC336" s="155" t="s">
        <v>1192</v>
      </c>
      <c r="DD336" s="156" t="s">
        <v>1535</v>
      </c>
      <c r="DE336" s="157" t="s">
        <v>1629</v>
      </c>
      <c r="DF336" s="167" t="s">
        <v>1537</v>
      </c>
      <c r="DG336" s="158"/>
      <c r="DH336" s="155" t="s">
        <v>1192</v>
      </c>
      <c r="DI336" s="156" t="s">
        <v>1535</v>
      </c>
      <c r="DJ336" s="157" t="s">
        <v>1629</v>
      </c>
      <c r="DK336" s="167" t="s">
        <v>1537</v>
      </c>
    </row>
    <row r="337" spans="11:115" ht="11.1" customHeight="1">
      <c r="K337" s="2"/>
      <c r="CX337" s="120">
        <v>22</v>
      </c>
      <c r="CY337" s="120">
        <v>5371</v>
      </c>
      <c r="CZ337" s="121" t="s">
        <v>565</v>
      </c>
      <c r="DA337" s="181">
        <f t="shared" si="41"/>
        <v>0.7818322981366459</v>
      </c>
      <c r="DC337" s="159" t="s">
        <v>1559</v>
      </c>
      <c r="DD337" s="159">
        <v>9400</v>
      </c>
      <c r="DE337" s="160" t="s">
        <v>1147</v>
      </c>
      <c r="DF337" s="168">
        <v>1.9825741890959281</v>
      </c>
      <c r="DG337" s="161"/>
      <c r="DH337" s="162">
        <v>15</v>
      </c>
      <c r="DI337" s="162">
        <v>9418</v>
      </c>
      <c r="DJ337" s="163" t="s">
        <v>1162</v>
      </c>
      <c r="DK337" s="169">
        <v>3.0299344375431332</v>
      </c>
    </row>
    <row r="338" spans="11:115" ht="11.1" customHeight="1">
      <c r="K338" s="2"/>
      <c r="CX338" s="118" t="s">
        <v>1545</v>
      </c>
      <c r="CY338" s="118">
        <v>6100</v>
      </c>
      <c r="CZ338" s="119" t="s">
        <v>31</v>
      </c>
      <c r="DA338" s="180">
        <f t="shared" ref="DA338:DA345" si="42">DF213</f>
        <v>0.94133885438233267</v>
      </c>
      <c r="DC338" s="162">
        <v>1</v>
      </c>
      <c r="DD338" s="162">
        <v>9401</v>
      </c>
      <c r="DE338" s="163" t="s">
        <v>1148</v>
      </c>
      <c r="DF338" s="169">
        <v>1.4519496204278812</v>
      </c>
      <c r="DG338" s="161"/>
      <c r="DH338" s="162">
        <v>16</v>
      </c>
      <c r="DI338" s="162">
        <v>9419</v>
      </c>
      <c r="DJ338" s="163" t="s">
        <v>1163</v>
      </c>
      <c r="DK338" s="169">
        <v>1.6296583850931676</v>
      </c>
    </row>
    <row r="339" spans="11:115" ht="11.1" customHeight="1">
      <c r="K339" s="2"/>
      <c r="CX339" s="120">
        <v>1</v>
      </c>
      <c r="CY339" s="120">
        <v>6101</v>
      </c>
      <c r="CZ339" s="121" t="s">
        <v>110</v>
      </c>
      <c r="DA339" s="181">
        <f t="shared" si="42"/>
        <v>1.0182022084195996</v>
      </c>
      <c r="DC339" s="162">
        <v>2</v>
      </c>
      <c r="DD339" s="162">
        <v>9402</v>
      </c>
      <c r="DE339" s="163" t="s">
        <v>1149</v>
      </c>
      <c r="DF339" s="169">
        <v>2.5049171842650102</v>
      </c>
      <c r="DG339" s="161"/>
      <c r="DH339" s="162">
        <v>17</v>
      </c>
      <c r="DI339" s="162">
        <v>9420</v>
      </c>
      <c r="DJ339" s="163" t="s">
        <v>1164</v>
      </c>
      <c r="DK339" s="169">
        <v>1.3883712905452035</v>
      </c>
    </row>
    <row r="340" spans="11:115" ht="11.1" customHeight="1">
      <c r="K340" s="2"/>
      <c r="CX340" s="120">
        <v>2</v>
      </c>
      <c r="CY340" s="120">
        <v>6102</v>
      </c>
      <c r="CZ340" s="121" t="s">
        <v>145</v>
      </c>
      <c r="DA340" s="181">
        <f t="shared" si="42"/>
        <v>0.94530710835058662</v>
      </c>
      <c r="DC340" s="162">
        <v>3</v>
      </c>
      <c r="DD340" s="162">
        <v>9403</v>
      </c>
      <c r="DE340" s="163" t="s">
        <v>1150</v>
      </c>
      <c r="DF340" s="169">
        <v>1.1865079365079365</v>
      </c>
      <c r="DG340" s="161"/>
      <c r="DH340" s="162">
        <v>18</v>
      </c>
      <c r="DI340" s="162">
        <v>9426</v>
      </c>
      <c r="DJ340" s="163" t="s">
        <v>1165</v>
      </c>
      <c r="DK340" s="169">
        <v>1.4062284334023463</v>
      </c>
    </row>
    <row r="341" spans="11:115" ht="11.1" customHeight="1">
      <c r="K341" s="2"/>
      <c r="CX341" s="120">
        <v>3</v>
      </c>
      <c r="CY341" s="120">
        <v>6103</v>
      </c>
      <c r="CZ341" s="121" t="s">
        <v>179</v>
      </c>
      <c r="DA341" s="181">
        <f t="shared" si="42"/>
        <v>0.95350241545893721</v>
      </c>
      <c r="DC341" s="162">
        <v>4</v>
      </c>
      <c r="DD341" s="162">
        <v>9404</v>
      </c>
      <c r="DE341" s="163" t="s">
        <v>1151</v>
      </c>
      <c r="DF341" s="169">
        <v>1.272688060731539</v>
      </c>
      <c r="DG341" s="161"/>
      <c r="DH341" s="162">
        <v>19</v>
      </c>
      <c r="DI341" s="162">
        <v>9427</v>
      </c>
      <c r="DJ341" s="163" t="s">
        <v>1166</v>
      </c>
      <c r="DK341" s="169">
        <v>1.3008109040717735</v>
      </c>
    </row>
    <row r="342" spans="11:115" ht="11.1" customHeight="1">
      <c r="K342" s="2"/>
      <c r="CX342" s="120">
        <v>4</v>
      </c>
      <c r="CY342" s="120">
        <v>6104</v>
      </c>
      <c r="CZ342" s="121" t="s">
        <v>213</v>
      </c>
      <c r="DA342" s="181">
        <f t="shared" si="42"/>
        <v>0.96523464458247066</v>
      </c>
      <c r="DC342" s="162">
        <v>5</v>
      </c>
      <c r="DD342" s="162">
        <v>9408</v>
      </c>
      <c r="DE342" s="163" t="s">
        <v>1152</v>
      </c>
      <c r="DF342" s="169">
        <v>1.2505175983436854</v>
      </c>
      <c r="DG342" s="161"/>
      <c r="DH342" s="162">
        <v>20</v>
      </c>
      <c r="DI342" s="162">
        <v>9428</v>
      </c>
      <c r="DJ342" s="163" t="s">
        <v>1167</v>
      </c>
      <c r="DK342" s="169">
        <v>1.6628709454796411</v>
      </c>
    </row>
    <row r="343" spans="11:115" ht="11.1" customHeight="1">
      <c r="K343" s="2"/>
      <c r="CX343" s="120">
        <v>5</v>
      </c>
      <c r="CY343" s="120">
        <v>6105</v>
      </c>
      <c r="CZ343" s="121" t="s">
        <v>248</v>
      </c>
      <c r="DA343" s="181">
        <f t="shared" si="42"/>
        <v>0.96048999309868877</v>
      </c>
      <c r="DC343" s="162">
        <v>6</v>
      </c>
      <c r="DD343" s="162">
        <v>9409</v>
      </c>
      <c r="DE343" s="163" t="s">
        <v>1153</v>
      </c>
      <c r="DF343" s="169">
        <v>1.2267943409247757</v>
      </c>
      <c r="DG343" s="161"/>
      <c r="DH343" s="162">
        <v>21</v>
      </c>
      <c r="DI343" s="162">
        <v>9429</v>
      </c>
      <c r="DJ343" s="163" t="s">
        <v>1168</v>
      </c>
      <c r="DK343" s="169">
        <v>2.7462042788129741</v>
      </c>
    </row>
    <row r="344" spans="11:115" ht="11.1" customHeight="1">
      <c r="K344" s="2"/>
      <c r="CX344" s="120">
        <v>6</v>
      </c>
      <c r="CY344" s="120">
        <v>6106</v>
      </c>
      <c r="CZ344" s="121" t="s">
        <v>282</v>
      </c>
      <c r="DA344" s="181">
        <f t="shared" si="42"/>
        <v>0.95548654244306419</v>
      </c>
      <c r="DC344" s="162">
        <v>7</v>
      </c>
      <c r="DD344" s="162">
        <v>9410</v>
      </c>
      <c r="DE344" s="163" t="s">
        <v>1154</v>
      </c>
      <c r="DF344" s="169">
        <v>1.9436680469289165</v>
      </c>
      <c r="DG344" s="161"/>
      <c r="DH344" s="162">
        <v>22</v>
      </c>
      <c r="DI344" s="162">
        <v>9430</v>
      </c>
      <c r="DJ344" s="163" t="s">
        <v>1169</v>
      </c>
      <c r="DK344" s="169">
        <v>2.8719806763285023</v>
      </c>
    </row>
    <row r="345" spans="11:115" ht="11.1" customHeight="1">
      <c r="K345" s="2"/>
      <c r="CX345" s="120">
        <v>7</v>
      </c>
      <c r="CY345" s="120">
        <v>6107</v>
      </c>
      <c r="CZ345" s="121" t="s">
        <v>314</v>
      </c>
      <c r="DA345" s="181">
        <f t="shared" si="42"/>
        <v>0.89009661835748799</v>
      </c>
      <c r="DC345" s="162">
        <v>8</v>
      </c>
      <c r="DD345" s="162">
        <v>9411</v>
      </c>
      <c r="DE345" s="163" t="s">
        <v>1155</v>
      </c>
      <c r="DF345" s="169">
        <v>3.7693236714975846</v>
      </c>
      <c r="DG345" s="161"/>
      <c r="DH345" s="162">
        <v>23</v>
      </c>
      <c r="DI345" s="162">
        <v>9431</v>
      </c>
      <c r="DJ345" s="163" t="s">
        <v>1170</v>
      </c>
      <c r="DK345" s="169">
        <v>3.4829192546583849</v>
      </c>
    </row>
    <row r="346" spans="11:115" ht="11.1" customHeight="1">
      <c r="K346" s="2"/>
      <c r="CX346" s="120">
        <v>8</v>
      </c>
      <c r="CY346" s="120">
        <v>6108</v>
      </c>
      <c r="CZ346" s="121" t="s">
        <v>342</v>
      </c>
      <c r="DA346" s="181">
        <f t="shared" ref="DA346:DA352" si="43">DK213</f>
        <v>1.0547791580400276</v>
      </c>
      <c r="DC346" s="162">
        <v>9</v>
      </c>
      <c r="DD346" s="162">
        <v>9412</v>
      </c>
      <c r="DE346" s="163" t="s">
        <v>1156</v>
      </c>
      <c r="DF346" s="169">
        <v>1.2767425810904072</v>
      </c>
      <c r="DG346" s="161"/>
      <c r="DH346" s="162">
        <v>24</v>
      </c>
      <c r="DI346" s="162">
        <v>9432</v>
      </c>
      <c r="DJ346" s="163" t="s">
        <v>1171</v>
      </c>
      <c r="DK346" s="169">
        <v>2.966701173222912</v>
      </c>
    </row>
    <row r="347" spans="11:115" ht="11.1" customHeight="1">
      <c r="K347" s="2"/>
      <c r="CX347" s="120">
        <v>9</v>
      </c>
      <c r="CY347" s="120">
        <v>6109</v>
      </c>
      <c r="CZ347" s="121" t="s">
        <v>368</v>
      </c>
      <c r="DA347" s="181">
        <f t="shared" si="43"/>
        <v>0.90890269151138714</v>
      </c>
      <c r="DC347" s="162">
        <v>10</v>
      </c>
      <c r="DD347" s="162">
        <v>9413</v>
      </c>
      <c r="DE347" s="163" t="s">
        <v>1157</v>
      </c>
      <c r="DF347" s="169">
        <v>1.4776570048309179</v>
      </c>
      <c r="DG347" s="161"/>
      <c r="DH347" s="162">
        <v>25</v>
      </c>
      <c r="DI347" s="162">
        <v>9433</v>
      </c>
      <c r="DJ347" s="163" t="s">
        <v>1172</v>
      </c>
      <c r="DK347" s="169">
        <v>4.054175293305728</v>
      </c>
    </row>
    <row r="348" spans="11:115" ht="11.1" customHeight="1">
      <c r="K348" s="2"/>
      <c r="CX348" s="120">
        <v>10</v>
      </c>
      <c r="CY348" s="120">
        <v>6110</v>
      </c>
      <c r="CZ348" s="121" t="s">
        <v>394</v>
      </c>
      <c r="DA348" s="181">
        <f t="shared" si="43"/>
        <v>0.94755003450655628</v>
      </c>
      <c r="DC348" s="162">
        <v>11</v>
      </c>
      <c r="DD348" s="162">
        <v>9414</v>
      </c>
      <c r="DE348" s="163" t="s">
        <v>1158</v>
      </c>
      <c r="DF348" s="169">
        <v>1.557367149758454</v>
      </c>
      <c r="DG348" s="161"/>
      <c r="DH348" s="162">
        <v>26</v>
      </c>
      <c r="DI348" s="162">
        <v>9434</v>
      </c>
      <c r="DJ348" s="163" t="s">
        <v>1173</v>
      </c>
      <c r="DK348" s="169">
        <v>1.8071946169772257</v>
      </c>
    </row>
    <row r="349" spans="11:115" ht="11.1" customHeight="1">
      <c r="K349" s="2"/>
      <c r="CX349" s="120">
        <v>11</v>
      </c>
      <c r="CY349" s="120">
        <v>6111</v>
      </c>
      <c r="CZ349" s="121" t="s">
        <v>418</v>
      </c>
      <c r="DA349" s="181">
        <f t="shared" si="43"/>
        <v>0.91934092477570728</v>
      </c>
      <c r="DC349" s="162">
        <v>12</v>
      </c>
      <c r="DD349" s="162">
        <v>9415</v>
      </c>
      <c r="DE349" s="163" t="s">
        <v>1159</v>
      </c>
      <c r="DF349" s="169">
        <v>1.9955141476880607</v>
      </c>
      <c r="DG349" s="161"/>
      <c r="DH349" s="162">
        <v>27</v>
      </c>
      <c r="DI349" s="162">
        <v>9435</v>
      </c>
      <c r="DJ349" s="163" t="s">
        <v>1174</v>
      </c>
      <c r="DK349" s="169">
        <v>3.5586611456176671</v>
      </c>
    </row>
    <row r="350" spans="11:115" ht="11.1" customHeight="1">
      <c r="K350" s="2"/>
      <c r="CX350" s="120">
        <v>12</v>
      </c>
      <c r="CY350" s="120">
        <v>6112</v>
      </c>
      <c r="CZ350" s="121" t="s">
        <v>439</v>
      </c>
      <c r="DA350" s="181">
        <f t="shared" si="43"/>
        <v>0.93564527260179431</v>
      </c>
      <c r="DC350" s="162">
        <v>13</v>
      </c>
      <c r="DD350" s="162">
        <v>9416</v>
      </c>
      <c r="DE350" s="163" t="s">
        <v>1160</v>
      </c>
      <c r="DF350" s="169">
        <v>2.0943754313319531</v>
      </c>
      <c r="DG350" s="161"/>
      <c r="DH350" s="162">
        <v>28</v>
      </c>
      <c r="DI350" s="162">
        <v>9436</v>
      </c>
      <c r="DJ350" s="163" t="s">
        <v>1175</v>
      </c>
      <c r="DK350" s="169">
        <v>1.9780020703933747</v>
      </c>
    </row>
    <row r="351" spans="11:115" ht="11.1" customHeight="1">
      <c r="K351" s="2"/>
      <c r="CX351" s="120">
        <v>13</v>
      </c>
      <c r="CY351" s="120">
        <v>6171</v>
      </c>
      <c r="CZ351" s="121" t="s">
        <v>458</v>
      </c>
      <c r="DA351" s="181">
        <f t="shared" si="43"/>
        <v>0.8358350586611456</v>
      </c>
      <c r="DC351" s="162">
        <v>14</v>
      </c>
      <c r="DD351" s="162">
        <v>9417</v>
      </c>
      <c r="DE351" s="163" t="s">
        <v>1161</v>
      </c>
      <c r="DF351" s="169">
        <v>3.3768115942028984</v>
      </c>
      <c r="DG351" s="161"/>
      <c r="DH351" s="162">
        <v>29</v>
      </c>
      <c r="DI351" s="162">
        <v>9471</v>
      </c>
      <c r="DJ351" s="163" t="s">
        <v>1176</v>
      </c>
      <c r="DK351" s="169">
        <v>1.2686335403726707</v>
      </c>
    </row>
    <row r="352" spans="11:115" ht="11.1" customHeight="1">
      <c r="K352" s="2"/>
      <c r="CX352" s="120">
        <v>14</v>
      </c>
      <c r="CY352" s="120">
        <v>6172</v>
      </c>
      <c r="CZ352" s="121" t="s">
        <v>477</v>
      </c>
      <c r="DA352" s="181">
        <f t="shared" si="43"/>
        <v>0.907263630089717</v>
      </c>
    </row>
    <row r="353" spans="11:105" ht="11.1" customHeight="1">
      <c r="K353" s="2"/>
      <c r="CX353" s="118" t="s">
        <v>1546</v>
      </c>
      <c r="CY353" s="118">
        <v>6200</v>
      </c>
      <c r="CZ353" s="119" t="s">
        <v>33</v>
      </c>
      <c r="DA353" s="180">
        <f t="shared" ref="DA353:DA360" si="44">DF223</f>
        <v>0.84083850931677018</v>
      </c>
    </row>
    <row r="354" spans="11:105" ht="11.1" customHeight="1">
      <c r="K354" s="2"/>
      <c r="CX354" s="120">
        <v>1</v>
      </c>
      <c r="CY354" s="120">
        <v>6201</v>
      </c>
      <c r="CZ354" s="121" t="s">
        <v>111</v>
      </c>
      <c r="DA354" s="181">
        <f t="shared" si="44"/>
        <v>0.77096273291925466</v>
      </c>
    </row>
    <row r="355" spans="11:105" ht="11.1" customHeight="1">
      <c r="K355" s="2"/>
      <c r="CX355" s="120">
        <v>2</v>
      </c>
      <c r="CY355" s="120">
        <v>6202</v>
      </c>
      <c r="CZ355" s="121" t="s">
        <v>146</v>
      </c>
      <c r="DA355" s="181">
        <f t="shared" si="44"/>
        <v>0.81375086266390606</v>
      </c>
    </row>
    <row r="356" spans="11:105" ht="11.1" customHeight="1">
      <c r="K356" s="2"/>
      <c r="CX356" s="120">
        <v>3</v>
      </c>
      <c r="CY356" s="120">
        <v>6203</v>
      </c>
      <c r="CZ356" s="121" t="s">
        <v>180</v>
      </c>
      <c r="DA356" s="181">
        <f t="shared" si="44"/>
        <v>0.75284679089026907</v>
      </c>
    </row>
    <row r="357" spans="11:105" ht="11.1" customHeight="1">
      <c r="K357" s="2"/>
      <c r="CX357" s="120">
        <v>4</v>
      </c>
      <c r="CY357" s="120">
        <v>6204</v>
      </c>
      <c r="CZ357" s="121" t="s">
        <v>214</v>
      </c>
      <c r="DA357" s="181">
        <f t="shared" si="44"/>
        <v>0.84618702553485159</v>
      </c>
    </row>
    <row r="358" spans="11:105" ht="11.1" customHeight="1">
      <c r="K358" s="2"/>
      <c r="CX358" s="120">
        <v>5</v>
      </c>
      <c r="CY358" s="120">
        <v>6205</v>
      </c>
      <c r="CZ358" s="121" t="s">
        <v>249</v>
      </c>
      <c r="DA358" s="181">
        <f t="shared" si="44"/>
        <v>0.84765355417529331</v>
      </c>
    </row>
    <row r="359" spans="11:105" ht="11.1" customHeight="1">
      <c r="K359" s="2"/>
      <c r="CX359" s="120">
        <v>6</v>
      </c>
      <c r="CY359" s="120">
        <v>6206</v>
      </c>
      <c r="CZ359" s="121" t="s">
        <v>283</v>
      </c>
      <c r="DA359" s="181">
        <f t="shared" si="44"/>
        <v>0.88750862663906138</v>
      </c>
    </row>
    <row r="360" spans="11:105" ht="11.1" customHeight="1">
      <c r="K360" s="2"/>
      <c r="CX360" s="120">
        <v>7</v>
      </c>
      <c r="CY360" s="120">
        <v>6207</v>
      </c>
      <c r="CZ360" s="121" t="s">
        <v>315</v>
      </c>
      <c r="DA360" s="181">
        <f t="shared" si="44"/>
        <v>0.83385093167701863</v>
      </c>
    </row>
    <row r="361" spans="11:105" ht="11.1" customHeight="1">
      <c r="K361" s="2"/>
      <c r="CX361" s="120">
        <v>8</v>
      </c>
      <c r="CY361" s="120">
        <v>6208</v>
      </c>
      <c r="CZ361" s="121" t="s">
        <v>343</v>
      </c>
      <c r="DA361" s="181">
        <f t="shared" ref="DA361:DA367" si="45">DK223</f>
        <v>0.8253105590062112</v>
      </c>
    </row>
    <row r="362" spans="11:105" ht="11.1" customHeight="1">
      <c r="K362" s="2"/>
      <c r="CX362" s="120">
        <v>9</v>
      </c>
      <c r="CY362" s="120">
        <v>6209</v>
      </c>
      <c r="CZ362" s="121" t="s">
        <v>369</v>
      </c>
      <c r="DA362" s="181">
        <f t="shared" si="45"/>
        <v>0.81254313319530702</v>
      </c>
    </row>
    <row r="363" spans="11:105" ht="11.1" customHeight="1">
      <c r="K363" s="2"/>
      <c r="CX363" s="120">
        <v>10</v>
      </c>
      <c r="CY363" s="120">
        <v>6210</v>
      </c>
      <c r="CZ363" s="121" t="s">
        <v>395</v>
      </c>
      <c r="DA363" s="181">
        <f t="shared" si="45"/>
        <v>0.83385093167701863</v>
      </c>
    </row>
    <row r="364" spans="11:105" ht="11.1" customHeight="1">
      <c r="K364" s="2"/>
      <c r="CX364" s="120">
        <v>11</v>
      </c>
      <c r="CY364" s="120">
        <v>6211</v>
      </c>
      <c r="CZ364" s="121" t="s">
        <v>419</v>
      </c>
      <c r="DA364" s="181">
        <f t="shared" si="45"/>
        <v>0.85921325051759834</v>
      </c>
    </row>
    <row r="365" spans="11:105" ht="11.1" customHeight="1">
      <c r="K365" s="2"/>
      <c r="CX365" s="120">
        <v>12</v>
      </c>
      <c r="CY365" s="120">
        <v>6212</v>
      </c>
      <c r="CZ365" s="121" t="s">
        <v>440</v>
      </c>
      <c r="DA365" s="181">
        <f t="shared" si="45"/>
        <v>0.80978260869565222</v>
      </c>
    </row>
    <row r="366" spans="11:105" ht="11.1" customHeight="1">
      <c r="K366" s="2"/>
      <c r="CX366" s="120">
        <v>13</v>
      </c>
      <c r="CY366" s="120">
        <v>6213</v>
      </c>
      <c r="CZ366" s="121" t="s">
        <v>459</v>
      </c>
      <c r="DA366" s="181">
        <f t="shared" si="45"/>
        <v>0.98878536922015181</v>
      </c>
    </row>
    <row r="367" spans="11:105" ht="11.1" customHeight="1">
      <c r="K367" s="2"/>
      <c r="CX367" s="120">
        <v>14</v>
      </c>
      <c r="CY367" s="120">
        <v>6271</v>
      </c>
      <c r="CZ367" s="121" t="s">
        <v>478</v>
      </c>
      <c r="DA367" s="181">
        <f t="shared" si="45"/>
        <v>0.82134230503795713</v>
      </c>
    </row>
    <row r="368" spans="11:105" ht="11.1" customHeight="1">
      <c r="K368" s="2"/>
      <c r="CX368" s="118" t="s">
        <v>1547</v>
      </c>
      <c r="CY368" s="118">
        <v>6300</v>
      </c>
      <c r="CZ368" s="119" t="s">
        <v>32</v>
      </c>
      <c r="DA368" s="180">
        <f t="shared" ref="DA368:DA374" si="46">DF233</f>
        <v>0.87707039337474124</v>
      </c>
    </row>
    <row r="369" spans="11:105" ht="11.1" customHeight="1">
      <c r="K369" s="2"/>
      <c r="CX369" s="120">
        <v>1</v>
      </c>
      <c r="CY369" s="120">
        <v>6301</v>
      </c>
      <c r="CZ369" s="121" t="s">
        <v>112</v>
      </c>
      <c r="DA369" s="181">
        <f t="shared" si="46"/>
        <v>0.81978951000690126</v>
      </c>
    </row>
    <row r="370" spans="11:105" ht="11.1" customHeight="1">
      <c r="K370" s="2"/>
      <c r="CX370" s="120">
        <v>2</v>
      </c>
      <c r="CY370" s="120">
        <v>6302</v>
      </c>
      <c r="CZ370" s="121" t="s">
        <v>147</v>
      </c>
      <c r="DA370" s="181">
        <f t="shared" si="46"/>
        <v>0.87732919254658381</v>
      </c>
    </row>
    <row r="371" spans="11:105" ht="11.1" customHeight="1">
      <c r="K371" s="2"/>
      <c r="CX371" s="120">
        <v>3</v>
      </c>
      <c r="CY371" s="120">
        <v>6303</v>
      </c>
      <c r="CZ371" s="121" t="s">
        <v>181</v>
      </c>
      <c r="DA371" s="181">
        <f t="shared" si="46"/>
        <v>0.8511042097998619</v>
      </c>
    </row>
    <row r="372" spans="11:105" ht="11.1" customHeight="1">
      <c r="K372" s="2"/>
      <c r="CX372" s="120">
        <v>4</v>
      </c>
      <c r="CY372" s="120">
        <v>6304</v>
      </c>
      <c r="CZ372" s="121" t="s">
        <v>215</v>
      </c>
      <c r="DA372" s="181">
        <f t="shared" si="46"/>
        <v>0.87784679089026918</v>
      </c>
    </row>
    <row r="373" spans="11:105" ht="11.1" customHeight="1">
      <c r="K373" s="2"/>
      <c r="CX373" s="120">
        <v>5</v>
      </c>
      <c r="CY373" s="120">
        <v>6305</v>
      </c>
      <c r="CZ373" s="121" t="s">
        <v>250</v>
      </c>
      <c r="DA373" s="181">
        <f t="shared" si="46"/>
        <v>0.84239130434782616</v>
      </c>
    </row>
    <row r="374" spans="11:105" ht="11.1" customHeight="1">
      <c r="K374" s="2"/>
      <c r="CX374" s="120">
        <v>6</v>
      </c>
      <c r="CY374" s="120">
        <v>6306</v>
      </c>
      <c r="CZ374" s="121" t="s">
        <v>284</v>
      </c>
      <c r="DA374" s="181">
        <f t="shared" si="46"/>
        <v>0.87612146307798477</v>
      </c>
    </row>
    <row r="375" spans="11:105" ht="11.1" customHeight="1">
      <c r="K375" s="2"/>
      <c r="CX375" s="120">
        <v>7</v>
      </c>
      <c r="CY375" s="120">
        <v>6307</v>
      </c>
      <c r="CZ375" s="121" t="s">
        <v>316</v>
      </c>
      <c r="DA375" s="181">
        <f t="shared" ref="DA375:DA381" si="47">DK233</f>
        <v>0.86801242236024845</v>
      </c>
    </row>
    <row r="376" spans="11:105" ht="11.1" customHeight="1">
      <c r="K376" s="2"/>
      <c r="CX376" s="120">
        <v>8</v>
      </c>
      <c r="CY376" s="120">
        <v>6308</v>
      </c>
      <c r="CZ376" s="121" t="s">
        <v>344</v>
      </c>
      <c r="DA376" s="181">
        <f t="shared" si="47"/>
        <v>0.93357487922705307</v>
      </c>
    </row>
    <row r="377" spans="11:105" ht="11.1" customHeight="1">
      <c r="K377" s="2"/>
      <c r="CX377" s="120">
        <v>9</v>
      </c>
      <c r="CY377" s="120">
        <v>6309</v>
      </c>
      <c r="CZ377" s="121" t="s">
        <v>370</v>
      </c>
      <c r="DA377" s="181">
        <f t="shared" si="47"/>
        <v>0.88017598343685299</v>
      </c>
    </row>
    <row r="378" spans="11:105" ht="11.1" customHeight="1">
      <c r="K378" s="2"/>
      <c r="CX378" s="120">
        <v>10</v>
      </c>
      <c r="CY378" s="120">
        <v>6310</v>
      </c>
      <c r="CZ378" s="121" t="s">
        <v>396</v>
      </c>
      <c r="DA378" s="181">
        <f t="shared" si="47"/>
        <v>0.83902691511387162</v>
      </c>
    </row>
    <row r="379" spans="11:105" ht="11.1" customHeight="1">
      <c r="K379" s="2"/>
      <c r="CX379" s="120">
        <v>11</v>
      </c>
      <c r="CY379" s="120">
        <v>6311</v>
      </c>
      <c r="CZ379" s="121" t="s">
        <v>420</v>
      </c>
      <c r="DA379" s="181">
        <f t="shared" si="47"/>
        <v>0.91520013802622502</v>
      </c>
    </row>
    <row r="380" spans="11:105" ht="11.1" customHeight="1">
      <c r="K380" s="2"/>
      <c r="CX380" s="120">
        <v>12</v>
      </c>
      <c r="CY380" s="120">
        <v>6371</v>
      </c>
      <c r="CZ380" s="121" t="s">
        <v>441</v>
      </c>
      <c r="DA380" s="181">
        <f t="shared" si="47"/>
        <v>0.91796066252587982</v>
      </c>
    </row>
    <row r="381" spans="11:105" ht="11.1" customHeight="1">
      <c r="K381" s="2"/>
      <c r="CX381" s="120">
        <v>13</v>
      </c>
      <c r="CY381" s="120">
        <v>6372</v>
      </c>
      <c r="CZ381" s="121" t="s">
        <v>460</v>
      </c>
      <c r="DA381" s="181">
        <f t="shared" si="47"/>
        <v>0.91088681849551412</v>
      </c>
    </row>
    <row r="382" spans="11:105" ht="11.1" customHeight="1">
      <c r="K382" s="2"/>
      <c r="CX382" s="118" t="s">
        <v>1548</v>
      </c>
      <c r="CY382" s="118">
        <v>6400</v>
      </c>
      <c r="CZ382" s="119" t="s">
        <v>34</v>
      </c>
      <c r="DA382" s="180">
        <f t="shared" ref="DA382:DA387" si="48">DF242</f>
        <v>0.9421152518978605</v>
      </c>
    </row>
    <row r="383" spans="11:105" ht="11.1" customHeight="1">
      <c r="K383" s="2"/>
      <c r="CX383" s="120">
        <v>1</v>
      </c>
      <c r="CY383" s="120">
        <v>6401</v>
      </c>
      <c r="CZ383" s="121" t="s">
        <v>113</v>
      </c>
      <c r="DA383" s="181">
        <f t="shared" si="48"/>
        <v>0.85507246376811596</v>
      </c>
    </row>
    <row r="384" spans="11:105" ht="11.1" customHeight="1">
      <c r="K384" s="2"/>
      <c r="CX384" s="120">
        <v>2</v>
      </c>
      <c r="CY384" s="120">
        <v>6402</v>
      </c>
      <c r="CZ384" s="121" t="s">
        <v>148</v>
      </c>
      <c r="DA384" s="181">
        <f t="shared" si="48"/>
        <v>0.9922360248447204</v>
      </c>
    </row>
    <row r="385" spans="11:105" ht="11.1" customHeight="1">
      <c r="K385" s="2"/>
      <c r="CX385" s="120">
        <v>3</v>
      </c>
      <c r="CY385" s="120">
        <v>6403</v>
      </c>
      <c r="CZ385" s="121" t="s">
        <v>182</v>
      </c>
      <c r="DA385" s="181">
        <f t="shared" si="48"/>
        <v>0.86965148378191859</v>
      </c>
    </row>
    <row r="386" spans="11:105" ht="11.1" customHeight="1">
      <c r="K386" s="2"/>
      <c r="CX386" s="120">
        <v>4</v>
      </c>
      <c r="CY386" s="120">
        <v>6404</v>
      </c>
      <c r="CZ386" s="121" t="s">
        <v>216</v>
      </c>
      <c r="DA386" s="181">
        <f t="shared" si="48"/>
        <v>0.99749827467218766</v>
      </c>
    </row>
    <row r="387" spans="11:105" ht="11.1" customHeight="1">
      <c r="K387" s="2"/>
      <c r="CX387" s="120">
        <v>5</v>
      </c>
      <c r="CY387" s="120">
        <v>6405</v>
      </c>
      <c r="CZ387" s="121" t="s">
        <v>251</v>
      </c>
      <c r="DA387" s="181">
        <f t="shared" si="48"/>
        <v>0.89889579020013799</v>
      </c>
    </row>
    <row r="388" spans="11:105" ht="11.1" customHeight="1">
      <c r="K388" s="2"/>
      <c r="CX388" s="120">
        <v>6</v>
      </c>
      <c r="CY388" s="120">
        <v>6409</v>
      </c>
      <c r="CZ388" s="121" t="s">
        <v>285</v>
      </c>
      <c r="DA388" s="181">
        <f>DK242</f>
        <v>0.8907004830917874</v>
      </c>
    </row>
    <row r="389" spans="11:105" ht="11.1" customHeight="1">
      <c r="K389" s="2"/>
      <c r="CX389" s="120">
        <v>7</v>
      </c>
      <c r="CY389" s="120">
        <v>6411</v>
      </c>
      <c r="CZ389" s="121" t="s">
        <v>317</v>
      </c>
      <c r="DA389" s="181">
        <f>DK243</f>
        <v>1.2440476190476191</v>
      </c>
    </row>
    <row r="390" spans="11:105" ht="11.1" customHeight="1">
      <c r="K390" s="2"/>
      <c r="CX390" s="120">
        <v>8</v>
      </c>
      <c r="CY390" s="120">
        <v>6471</v>
      </c>
      <c r="CZ390" s="121" t="s">
        <v>345</v>
      </c>
      <c r="DA390" s="181">
        <f>DK244</f>
        <v>0.8719806763285024</v>
      </c>
    </row>
    <row r="391" spans="11:105" ht="11.1" customHeight="1">
      <c r="K391" s="2"/>
      <c r="CX391" s="120">
        <v>9</v>
      </c>
      <c r="CY391" s="120">
        <v>6472</v>
      </c>
      <c r="CZ391" s="121" t="s">
        <v>371</v>
      </c>
      <c r="DA391" s="181">
        <f>DK245</f>
        <v>0.9242581090407177</v>
      </c>
    </row>
    <row r="392" spans="11:105" ht="11.1" customHeight="1">
      <c r="K392" s="2"/>
      <c r="CX392" s="120">
        <v>10</v>
      </c>
      <c r="CY392" s="120">
        <v>6474</v>
      </c>
      <c r="CZ392" s="121" t="s">
        <v>397</v>
      </c>
      <c r="DA392" s="181">
        <f>DK246</f>
        <v>0.93210835058661146</v>
      </c>
    </row>
    <row r="393" spans="11:105" ht="11.1" customHeight="1">
      <c r="K393" s="2"/>
      <c r="CX393" s="118" t="s">
        <v>1549</v>
      </c>
      <c r="CY393" s="118">
        <v>6500</v>
      </c>
      <c r="CZ393" s="119" t="s">
        <v>35</v>
      </c>
      <c r="DA393" s="180">
        <f>DF250</f>
        <v>1.0202726017943409</v>
      </c>
    </row>
    <row r="394" spans="11:105" ht="11.1" customHeight="1">
      <c r="K394" s="2"/>
      <c r="CX394" s="120">
        <v>1</v>
      </c>
      <c r="CY394" s="120">
        <v>6501</v>
      </c>
      <c r="CZ394" s="121" t="s">
        <v>114</v>
      </c>
      <c r="DA394" s="181">
        <f>DF251</f>
        <v>0.96281918564527258</v>
      </c>
    </row>
    <row r="395" spans="11:105" ht="11.1" customHeight="1">
      <c r="K395" s="2"/>
      <c r="CX395" s="120">
        <v>2</v>
      </c>
      <c r="CY395" s="120">
        <v>6502</v>
      </c>
      <c r="CZ395" s="121" t="s">
        <v>149</v>
      </c>
      <c r="DA395" s="181">
        <f>DF252</f>
        <v>0.92744996549344383</v>
      </c>
    </row>
    <row r="396" spans="11:105" ht="11.1" customHeight="1">
      <c r="K396" s="2"/>
      <c r="CX396" s="120">
        <v>4</v>
      </c>
      <c r="CY396" s="120">
        <v>6504</v>
      </c>
      <c r="CZ396" s="121" t="s">
        <v>183</v>
      </c>
      <c r="DA396" s="181">
        <f>DK250</f>
        <v>1.2355935127674258</v>
      </c>
    </row>
    <row r="397" spans="11:105" ht="11.1" customHeight="1">
      <c r="K397" s="2"/>
      <c r="CX397" s="120">
        <v>3</v>
      </c>
      <c r="CY397" s="120">
        <v>6503</v>
      </c>
      <c r="CZ397" s="121" t="s">
        <v>217</v>
      </c>
      <c r="DA397" s="181">
        <f>DK251</f>
        <v>0.98628364389233947</v>
      </c>
    </row>
    <row r="398" spans="11:105" ht="11.1" customHeight="1">
      <c r="K398" s="2"/>
      <c r="CX398" s="120">
        <v>5</v>
      </c>
      <c r="CY398" s="120">
        <v>6571</v>
      </c>
      <c r="CZ398" s="121" t="s">
        <v>252</v>
      </c>
      <c r="DA398" s="181">
        <f>DK252</f>
        <v>0.89337474120082816</v>
      </c>
    </row>
    <row r="399" spans="11:105" ht="11.1" customHeight="1">
      <c r="K399" s="2"/>
      <c r="CX399" s="118" t="s">
        <v>1550</v>
      </c>
      <c r="CY399" s="118">
        <v>7100</v>
      </c>
      <c r="CZ399" s="119" t="s">
        <v>51</v>
      </c>
      <c r="DA399" s="180">
        <f t="shared" ref="DA399:DA406" si="49">DF255</f>
        <v>0.96661490683229812</v>
      </c>
    </row>
    <row r="400" spans="11:105" ht="11.1" customHeight="1">
      <c r="K400" s="2"/>
      <c r="CX400" s="120">
        <v>1</v>
      </c>
      <c r="CY400" s="120">
        <v>7101</v>
      </c>
      <c r="CZ400" s="121" t="s">
        <v>115</v>
      </c>
      <c r="DA400" s="181">
        <f t="shared" si="49"/>
        <v>0.88630089717046234</v>
      </c>
    </row>
    <row r="401" spans="11:105" ht="11.1" customHeight="1">
      <c r="K401" s="2"/>
      <c r="CX401" s="120">
        <v>2</v>
      </c>
      <c r="CY401" s="120">
        <v>7102</v>
      </c>
      <c r="CZ401" s="121" t="s">
        <v>150</v>
      </c>
      <c r="DA401" s="181">
        <f t="shared" si="49"/>
        <v>0.92883022774327118</v>
      </c>
    </row>
    <row r="402" spans="11:105" ht="11.1" customHeight="1">
      <c r="K402" s="2"/>
      <c r="CX402" s="120">
        <v>3</v>
      </c>
      <c r="CY402" s="120">
        <v>7103</v>
      </c>
      <c r="CZ402" s="121" t="s">
        <v>184</v>
      </c>
      <c r="DA402" s="181">
        <f t="shared" si="49"/>
        <v>1.0521048999309868</v>
      </c>
    </row>
    <row r="403" spans="11:105" ht="11.1" customHeight="1">
      <c r="K403" s="2"/>
      <c r="CX403" s="120">
        <v>4</v>
      </c>
      <c r="CY403" s="120">
        <v>7104</v>
      </c>
      <c r="CZ403" s="121" t="s">
        <v>218</v>
      </c>
      <c r="DA403" s="181">
        <f t="shared" si="49"/>
        <v>1.1056763285024154</v>
      </c>
    </row>
    <row r="404" spans="11:105" ht="11.1" customHeight="1">
      <c r="K404" s="2"/>
      <c r="CX404" s="120">
        <v>5</v>
      </c>
      <c r="CY404" s="120">
        <v>7105</v>
      </c>
      <c r="CZ404" s="121" t="s">
        <v>253</v>
      </c>
      <c r="DA404" s="181">
        <f t="shared" si="49"/>
        <v>0.95712560386473433</v>
      </c>
    </row>
    <row r="405" spans="11:105" ht="11.1" customHeight="1">
      <c r="K405" s="2"/>
      <c r="CX405" s="120">
        <v>6</v>
      </c>
      <c r="CY405" s="120">
        <v>7106</v>
      </c>
      <c r="CZ405" s="121" t="s">
        <v>286</v>
      </c>
      <c r="DA405" s="181">
        <f t="shared" si="49"/>
        <v>0.96747757073844032</v>
      </c>
    </row>
    <row r="406" spans="11:105" ht="11.1" customHeight="1">
      <c r="K406" s="2"/>
      <c r="CX406" s="120">
        <v>7</v>
      </c>
      <c r="CY406" s="120">
        <v>7107</v>
      </c>
      <c r="CZ406" s="121" t="s">
        <v>318</v>
      </c>
      <c r="DA406" s="181">
        <f t="shared" si="49"/>
        <v>0.92883022774327118</v>
      </c>
    </row>
    <row r="407" spans="11:105" ht="11.1" customHeight="1">
      <c r="K407" s="2"/>
      <c r="CX407" s="120">
        <v>8</v>
      </c>
      <c r="CY407" s="120">
        <v>7108</v>
      </c>
      <c r="CZ407" s="121" t="s">
        <v>1564</v>
      </c>
      <c r="DA407" s="181">
        <f t="shared" ref="DA407:DA414" si="50">DK255</f>
        <v>1.0372670807453415</v>
      </c>
    </row>
    <row r="408" spans="11:105" ht="11.1" customHeight="1">
      <c r="K408" s="2"/>
      <c r="CX408" s="120">
        <v>9</v>
      </c>
      <c r="CY408" s="120">
        <v>7109</v>
      </c>
      <c r="CZ408" s="121" t="s">
        <v>372</v>
      </c>
      <c r="DA408" s="181">
        <f t="shared" si="50"/>
        <v>0.9459972394755003</v>
      </c>
    </row>
    <row r="409" spans="11:105" ht="11.1" customHeight="1">
      <c r="K409" s="2"/>
      <c r="CX409" s="120">
        <v>10</v>
      </c>
      <c r="CY409" s="120">
        <v>7110</v>
      </c>
      <c r="CZ409" s="121" t="s">
        <v>398</v>
      </c>
      <c r="DA409" s="181">
        <f t="shared" si="50"/>
        <v>0.82876121463077979</v>
      </c>
    </row>
    <row r="410" spans="11:105" ht="11.1" customHeight="1">
      <c r="K410" s="2"/>
      <c r="CX410" s="120">
        <v>11</v>
      </c>
      <c r="CY410" s="120">
        <v>7111</v>
      </c>
      <c r="CZ410" s="121" t="s">
        <v>421</v>
      </c>
      <c r="DA410" s="181">
        <f t="shared" si="50"/>
        <v>0.97644927536231885</v>
      </c>
    </row>
    <row r="411" spans="11:105" ht="11.1" customHeight="1">
      <c r="K411" s="2"/>
      <c r="CX411" s="120">
        <v>12</v>
      </c>
      <c r="CY411" s="120">
        <v>7171</v>
      </c>
      <c r="CZ411" s="121" t="s">
        <v>442</v>
      </c>
      <c r="DA411" s="181">
        <f t="shared" si="50"/>
        <v>0.92960662525879922</v>
      </c>
    </row>
    <row r="412" spans="11:105" ht="11.1" customHeight="1">
      <c r="K412" s="2"/>
      <c r="CX412" s="120">
        <v>13</v>
      </c>
      <c r="CY412" s="120">
        <v>7172</v>
      </c>
      <c r="CZ412" s="121" t="s">
        <v>461</v>
      </c>
      <c r="DA412" s="181">
        <f t="shared" si="50"/>
        <v>1.0124223602484472</v>
      </c>
    </row>
    <row r="413" spans="11:105" ht="11.1" customHeight="1">
      <c r="K413" s="2"/>
      <c r="CX413" s="120">
        <v>14</v>
      </c>
      <c r="CY413" s="120">
        <v>7173</v>
      </c>
      <c r="CZ413" s="121" t="s">
        <v>479</v>
      </c>
      <c r="DA413" s="181">
        <f t="shared" si="50"/>
        <v>0.9795548654244306</v>
      </c>
    </row>
    <row r="414" spans="11:105" ht="11.1" customHeight="1">
      <c r="K414" s="2"/>
      <c r="CX414" s="120">
        <v>15</v>
      </c>
      <c r="CY414" s="120">
        <v>7174</v>
      </c>
      <c r="CZ414" s="121" t="s">
        <v>493</v>
      </c>
      <c r="DA414" s="181">
        <f t="shared" si="50"/>
        <v>0.99637681159420288</v>
      </c>
    </row>
    <row r="415" spans="11:105" ht="11.1" customHeight="1">
      <c r="K415" s="2"/>
      <c r="CX415" s="118" t="s">
        <v>1551</v>
      </c>
      <c r="CY415" s="118">
        <v>7200</v>
      </c>
      <c r="CZ415" s="119" t="s">
        <v>49</v>
      </c>
      <c r="DA415" s="180">
        <f t="shared" ref="DA415:DA421" si="51">DF265</f>
        <v>0.76026570048309172</v>
      </c>
    </row>
    <row r="416" spans="11:105" ht="11.1" customHeight="1">
      <c r="K416" s="2"/>
      <c r="CX416" s="120">
        <v>1</v>
      </c>
      <c r="CY416" s="120">
        <v>7201</v>
      </c>
      <c r="CZ416" s="121" t="s">
        <v>116</v>
      </c>
      <c r="DA416" s="181">
        <f t="shared" si="51"/>
        <v>0.85464113181504475</v>
      </c>
    </row>
    <row r="417" spans="11:105" ht="11.1" customHeight="1">
      <c r="K417" s="2"/>
      <c r="CX417" s="120">
        <v>2</v>
      </c>
      <c r="CY417" s="120">
        <v>7202</v>
      </c>
      <c r="CZ417" s="121" t="s">
        <v>151</v>
      </c>
      <c r="DA417" s="181">
        <f t="shared" si="51"/>
        <v>0.76199102829537613</v>
      </c>
    </row>
    <row r="418" spans="11:105" ht="11.1" customHeight="1">
      <c r="K418" s="2"/>
      <c r="CX418" s="120">
        <v>3</v>
      </c>
      <c r="CY418" s="120">
        <v>7203</v>
      </c>
      <c r="CZ418" s="121" t="s">
        <v>185</v>
      </c>
      <c r="DA418" s="181">
        <f t="shared" si="51"/>
        <v>0.78674948240165632</v>
      </c>
    </row>
    <row r="419" spans="11:105" ht="11.1" customHeight="1">
      <c r="K419" s="2"/>
      <c r="CX419" s="120">
        <v>4</v>
      </c>
      <c r="CY419" s="120">
        <v>7204</v>
      </c>
      <c r="CZ419" s="121" t="s">
        <v>219</v>
      </c>
      <c r="DA419" s="181">
        <f t="shared" si="51"/>
        <v>0.72593167701863359</v>
      </c>
    </row>
    <row r="420" spans="11:105" ht="11.1" customHeight="1">
      <c r="K420" s="2"/>
      <c r="CX420" s="120">
        <v>5</v>
      </c>
      <c r="CY420" s="120">
        <v>7205</v>
      </c>
      <c r="CZ420" s="121" t="s">
        <v>254</v>
      </c>
      <c r="DA420" s="181">
        <f t="shared" si="51"/>
        <v>0.65993788819875776</v>
      </c>
    </row>
    <row r="421" spans="11:105" ht="11.1" customHeight="1">
      <c r="K421" s="2"/>
      <c r="CX421" s="120">
        <v>6</v>
      </c>
      <c r="CY421" s="120">
        <v>7206</v>
      </c>
      <c r="CZ421" s="121" t="s">
        <v>287</v>
      </c>
      <c r="DA421" s="181">
        <f t="shared" si="51"/>
        <v>0.78580055210489996</v>
      </c>
    </row>
    <row r="422" spans="11:105" ht="11.1" customHeight="1">
      <c r="K422" s="2"/>
      <c r="CX422" s="120">
        <v>7</v>
      </c>
      <c r="CY422" s="120">
        <v>7207</v>
      </c>
      <c r="CZ422" s="121" t="s">
        <v>319</v>
      </c>
      <c r="DA422" s="181">
        <f t="shared" ref="DA422:DA428" si="52">DK265</f>
        <v>0.79252933057280883</v>
      </c>
    </row>
    <row r="423" spans="11:105" ht="11.1" customHeight="1">
      <c r="K423" s="2"/>
      <c r="CX423" s="120">
        <v>8</v>
      </c>
      <c r="CY423" s="120">
        <v>7208</v>
      </c>
      <c r="CZ423" s="121" t="s">
        <v>346</v>
      </c>
      <c r="DA423" s="181">
        <f t="shared" si="52"/>
        <v>0.72066942719116633</v>
      </c>
    </row>
    <row r="424" spans="11:105" ht="11.1" customHeight="1">
      <c r="K424" s="2"/>
      <c r="CX424" s="120">
        <v>9</v>
      </c>
      <c r="CY424" s="120">
        <v>7209</v>
      </c>
      <c r="CZ424" s="121" t="s">
        <v>373</v>
      </c>
      <c r="DA424" s="181">
        <f t="shared" si="52"/>
        <v>0.78847481021394072</v>
      </c>
    </row>
    <row r="425" spans="11:105" ht="11.1" customHeight="1">
      <c r="K425" s="2"/>
      <c r="CX425" s="120">
        <v>10</v>
      </c>
      <c r="CY425" s="120">
        <v>7210</v>
      </c>
      <c r="CZ425" s="121" t="s">
        <v>399</v>
      </c>
      <c r="DA425" s="181">
        <f t="shared" si="52"/>
        <v>0.70203588681849549</v>
      </c>
    </row>
    <row r="426" spans="11:105" ht="11.1" customHeight="1">
      <c r="K426" s="2"/>
      <c r="CX426" s="120">
        <v>11</v>
      </c>
      <c r="CY426" s="120">
        <v>7211</v>
      </c>
      <c r="CZ426" s="121" t="s">
        <v>422</v>
      </c>
      <c r="DA426" s="181">
        <f t="shared" si="52"/>
        <v>0.82781228433402343</v>
      </c>
    </row>
    <row r="427" spans="11:105" ht="11.1" customHeight="1">
      <c r="K427" s="2"/>
      <c r="CX427" s="120">
        <v>12</v>
      </c>
      <c r="CY427" s="120">
        <v>7212</v>
      </c>
      <c r="CZ427" s="121" t="s">
        <v>443</v>
      </c>
      <c r="DA427" s="181">
        <f t="shared" si="52"/>
        <v>0.79994824016563149</v>
      </c>
    </row>
    <row r="428" spans="11:105" ht="11.1" customHeight="1">
      <c r="K428" s="2"/>
      <c r="CX428" s="120">
        <v>13</v>
      </c>
      <c r="CY428" s="120">
        <v>7271</v>
      </c>
      <c r="CZ428" s="121" t="s">
        <v>462</v>
      </c>
      <c r="DA428" s="181">
        <f t="shared" si="52"/>
        <v>0.70194962042788134</v>
      </c>
    </row>
    <row r="429" spans="11:105" ht="11.1" customHeight="1">
      <c r="K429" s="2"/>
      <c r="CX429" s="118" t="s">
        <v>1552</v>
      </c>
      <c r="CY429" s="118">
        <v>7300</v>
      </c>
      <c r="CZ429" s="119" t="s">
        <v>48</v>
      </c>
      <c r="DA429" s="180">
        <f t="shared" ref="DA429:DA441" si="53">DF274</f>
        <v>0.82444789510006899</v>
      </c>
    </row>
    <row r="430" spans="11:105" ht="11.1" customHeight="1">
      <c r="K430" s="2"/>
      <c r="CX430" s="120">
        <v>1</v>
      </c>
      <c r="CY430" s="120">
        <v>7301</v>
      </c>
      <c r="CZ430" s="121" t="s">
        <v>117</v>
      </c>
      <c r="DA430" s="181">
        <f t="shared" si="53"/>
        <v>0.82263630089717044</v>
      </c>
    </row>
    <row r="431" spans="11:105" ht="11.1" customHeight="1">
      <c r="K431" s="2"/>
      <c r="CX431" s="120">
        <v>2</v>
      </c>
      <c r="CY431" s="120">
        <v>7302</v>
      </c>
      <c r="CZ431" s="121" t="s">
        <v>152</v>
      </c>
      <c r="DA431" s="181">
        <f t="shared" si="53"/>
        <v>0.79615251897860595</v>
      </c>
    </row>
    <row r="432" spans="11:105" ht="11.1" customHeight="1">
      <c r="K432" s="2"/>
      <c r="CX432" s="120">
        <v>3</v>
      </c>
      <c r="CY432" s="120">
        <v>7303</v>
      </c>
      <c r="CZ432" s="121" t="s">
        <v>186</v>
      </c>
      <c r="DA432" s="181">
        <f t="shared" si="53"/>
        <v>0.77639751552795033</v>
      </c>
    </row>
    <row r="433" spans="11:105" ht="11.1" customHeight="1">
      <c r="K433" s="2"/>
      <c r="CX433" s="120">
        <v>4</v>
      </c>
      <c r="CY433" s="120">
        <v>7304</v>
      </c>
      <c r="CZ433" s="121" t="s">
        <v>220</v>
      </c>
      <c r="DA433" s="181">
        <f t="shared" si="53"/>
        <v>0.8248792270531401</v>
      </c>
    </row>
    <row r="434" spans="11:105" ht="11.1" customHeight="1">
      <c r="K434" s="2"/>
      <c r="CX434" s="120">
        <v>5</v>
      </c>
      <c r="CY434" s="120">
        <v>7305</v>
      </c>
      <c r="CZ434" s="121" t="s">
        <v>255</v>
      </c>
      <c r="DA434" s="181">
        <f t="shared" si="53"/>
        <v>0.76958247066942709</v>
      </c>
    </row>
    <row r="435" spans="11:105" ht="11.1" customHeight="1">
      <c r="K435" s="2"/>
      <c r="CX435" s="120">
        <v>6</v>
      </c>
      <c r="CY435" s="120">
        <v>7306</v>
      </c>
      <c r="CZ435" s="121" t="s">
        <v>288</v>
      </c>
      <c r="DA435" s="181">
        <f t="shared" si="53"/>
        <v>0.72325741890959283</v>
      </c>
    </row>
    <row r="436" spans="11:105" ht="11.1" customHeight="1">
      <c r="K436" s="2"/>
      <c r="CX436" s="120">
        <v>7</v>
      </c>
      <c r="CY436" s="120">
        <v>7307</v>
      </c>
      <c r="CZ436" s="121" t="s">
        <v>320</v>
      </c>
      <c r="DA436" s="181">
        <f t="shared" si="53"/>
        <v>0.8087474120082816</v>
      </c>
    </row>
    <row r="437" spans="11:105" ht="11.1" customHeight="1">
      <c r="K437" s="2"/>
      <c r="CX437" s="120">
        <v>8</v>
      </c>
      <c r="CY437" s="120">
        <v>7308</v>
      </c>
      <c r="CZ437" s="121" t="s">
        <v>347</v>
      </c>
      <c r="DA437" s="181">
        <f t="shared" si="53"/>
        <v>0.80822981366459623</v>
      </c>
    </row>
    <row r="438" spans="11:105" ht="11.1" customHeight="1">
      <c r="K438" s="2"/>
      <c r="CX438" s="120">
        <v>9</v>
      </c>
      <c r="CY438" s="120">
        <v>7309</v>
      </c>
      <c r="CZ438" s="121" t="s">
        <v>374</v>
      </c>
      <c r="DA438" s="181">
        <f t="shared" si="53"/>
        <v>0.81961697722567295</v>
      </c>
    </row>
    <row r="439" spans="11:105" ht="11.1" customHeight="1">
      <c r="K439" s="2"/>
      <c r="CX439" s="120">
        <v>10</v>
      </c>
      <c r="CY439" s="120">
        <v>7310</v>
      </c>
      <c r="CZ439" s="121" t="s">
        <v>400</v>
      </c>
      <c r="DA439" s="181">
        <f t="shared" si="53"/>
        <v>0.7665631469979296</v>
      </c>
    </row>
    <row r="440" spans="11:105" ht="11.1" customHeight="1">
      <c r="K440" s="2"/>
      <c r="CX440" s="120">
        <v>11</v>
      </c>
      <c r="CY440" s="120">
        <v>7311</v>
      </c>
      <c r="CZ440" s="121" t="s">
        <v>423</v>
      </c>
      <c r="DA440" s="181">
        <f t="shared" si="53"/>
        <v>0.84541062801932365</v>
      </c>
    </row>
    <row r="441" spans="11:105" ht="11.1" customHeight="1">
      <c r="K441" s="2"/>
      <c r="CX441" s="120">
        <v>12</v>
      </c>
      <c r="CY441" s="120">
        <v>7312</v>
      </c>
      <c r="CZ441" s="121" t="s">
        <v>444</v>
      </c>
      <c r="DA441" s="181">
        <f t="shared" si="53"/>
        <v>0.83988957902001382</v>
      </c>
    </row>
    <row r="442" spans="11:105" ht="11.1" customHeight="1">
      <c r="K442" s="2"/>
      <c r="CX442" s="120">
        <v>13</v>
      </c>
      <c r="CY442" s="120">
        <v>7313</v>
      </c>
      <c r="CZ442" s="121" t="s">
        <v>463</v>
      </c>
      <c r="DA442" s="181">
        <f t="shared" ref="DA442:DA453" si="54">DK274</f>
        <v>0.83471359558316083</v>
      </c>
    </row>
    <row r="443" spans="11:105" ht="11.1" customHeight="1">
      <c r="K443" s="2"/>
      <c r="CX443" s="120">
        <v>14</v>
      </c>
      <c r="CY443" s="120">
        <v>7314</v>
      </c>
      <c r="CZ443" s="121" t="s">
        <v>480</v>
      </c>
      <c r="DA443" s="181">
        <f t="shared" si="54"/>
        <v>0.84782608695652173</v>
      </c>
    </row>
    <row r="444" spans="11:105" ht="11.1" customHeight="1">
      <c r="K444" s="2"/>
      <c r="CX444" s="120">
        <v>15</v>
      </c>
      <c r="CY444" s="120">
        <v>7315</v>
      </c>
      <c r="CZ444" s="121" t="s">
        <v>494</v>
      </c>
      <c r="DA444" s="181">
        <f t="shared" si="54"/>
        <v>0.84273636991028289</v>
      </c>
    </row>
    <row r="445" spans="11:105" ht="11.1" customHeight="1">
      <c r="K445" s="2"/>
      <c r="CX445" s="120">
        <v>16</v>
      </c>
      <c r="CY445" s="120">
        <v>7316</v>
      </c>
      <c r="CZ445" s="121" t="s">
        <v>506</v>
      </c>
      <c r="DA445" s="181">
        <f t="shared" si="54"/>
        <v>0.85274327122153204</v>
      </c>
    </row>
    <row r="446" spans="11:105" ht="11.1" customHeight="1">
      <c r="K446" s="2"/>
      <c r="CX446" s="120">
        <v>17</v>
      </c>
      <c r="CY446" s="120">
        <v>7317</v>
      </c>
      <c r="CZ446" s="121" t="s">
        <v>518</v>
      </c>
      <c r="DA446" s="181">
        <f t="shared" si="54"/>
        <v>0.86387163561076608</v>
      </c>
    </row>
    <row r="447" spans="11:105" ht="11.1" customHeight="1">
      <c r="K447" s="2"/>
      <c r="CX447" s="120">
        <v>18</v>
      </c>
      <c r="CY447" s="120">
        <v>7318</v>
      </c>
      <c r="CZ447" s="121" t="s">
        <v>529</v>
      </c>
      <c r="DA447" s="181">
        <f t="shared" si="54"/>
        <v>0.89742926155969638</v>
      </c>
    </row>
    <row r="448" spans="11:105" ht="11.1" customHeight="1">
      <c r="K448" s="2"/>
      <c r="CX448" s="120">
        <v>21</v>
      </c>
      <c r="CY448" s="120">
        <v>7326</v>
      </c>
      <c r="CZ448" s="121" t="s">
        <v>539</v>
      </c>
      <c r="DA448" s="181">
        <f t="shared" si="54"/>
        <v>0.83048654244306419</v>
      </c>
    </row>
    <row r="449" spans="11:105" ht="11.1" customHeight="1">
      <c r="K449" s="2"/>
      <c r="CX449" s="120">
        <v>19</v>
      </c>
      <c r="CY449" s="120">
        <v>7322</v>
      </c>
      <c r="CZ449" s="121" t="s">
        <v>548</v>
      </c>
      <c r="DA449" s="181">
        <f t="shared" si="54"/>
        <v>0.88630089717046234</v>
      </c>
    </row>
    <row r="450" spans="11:105" ht="11.1" customHeight="1">
      <c r="K450" s="2"/>
      <c r="CX450" s="120">
        <v>20</v>
      </c>
      <c r="CY450" s="120">
        <v>7325</v>
      </c>
      <c r="CZ450" s="121" t="s">
        <v>557</v>
      </c>
      <c r="DA450" s="181">
        <f t="shared" si="54"/>
        <v>0.87914078674948237</v>
      </c>
    </row>
    <row r="451" spans="11:105" ht="11.1" customHeight="1">
      <c r="K451" s="2"/>
      <c r="CX451" s="120">
        <v>22</v>
      </c>
      <c r="CY451" s="120">
        <v>7371</v>
      </c>
      <c r="CZ451" s="121" t="s">
        <v>566</v>
      </c>
      <c r="DA451" s="181">
        <f t="shared" si="54"/>
        <v>0.81392339544513448</v>
      </c>
    </row>
    <row r="452" spans="11:105" ht="11.1" customHeight="1">
      <c r="K452" s="2"/>
      <c r="CX452" s="120">
        <v>23</v>
      </c>
      <c r="CY452" s="120">
        <v>7372</v>
      </c>
      <c r="CZ452" s="121" t="s">
        <v>574</v>
      </c>
      <c r="DA452" s="181">
        <f t="shared" si="54"/>
        <v>0.8231538992408558</v>
      </c>
    </row>
    <row r="453" spans="11:105" ht="11.1" customHeight="1">
      <c r="K453" s="2"/>
      <c r="CX453" s="120">
        <v>24</v>
      </c>
      <c r="CY453" s="120">
        <v>7373</v>
      </c>
      <c r="CZ453" s="121" t="s">
        <v>581</v>
      </c>
      <c r="DA453" s="181">
        <f t="shared" si="54"/>
        <v>0.83566252587991718</v>
      </c>
    </row>
    <row r="454" spans="11:105" ht="11.1" customHeight="1">
      <c r="K454" s="2"/>
      <c r="CX454" s="118" t="s">
        <v>1553</v>
      </c>
      <c r="CY454" s="118">
        <v>7400</v>
      </c>
      <c r="CZ454" s="119" t="s">
        <v>50</v>
      </c>
      <c r="DA454" s="180">
        <f t="shared" ref="DA454:DA462" si="55">DF289</f>
        <v>0.86050724637681153</v>
      </c>
    </row>
    <row r="455" spans="11:105" ht="11.1" customHeight="1">
      <c r="K455" s="2"/>
      <c r="CX455" s="120">
        <v>1</v>
      </c>
      <c r="CY455" s="120">
        <v>7401</v>
      </c>
      <c r="CZ455" s="121" t="s">
        <v>118</v>
      </c>
      <c r="DA455" s="181">
        <f t="shared" si="55"/>
        <v>0.83876811594202905</v>
      </c>
    </row>
    <row r="456" spans="11:105" ht="11.1" customHeight="1">
      <c r="K456" s="2"/>
      <c r="CX456" s="120">
        <v>2</v>
      </c>
      <c r="CY456" s="120">
        <v>7402</v>
      </c>
      <c r="CZ456" s="121" t="s">
        <v>153</v>
      </c>
      <c r="DA456" s="181">
        <f t="shared" si="55"/>
        <v>0.8793133195307109</v>
      </c>
    </row>
    <row r="457" spans="11:105" ht="11.1" customHeight="1">
      <c r="K457" s="2"/>
      <c r="CX457" s="120">
        <v>3</v>
      </c>
      <c r="CY457" s="120">
        <v>7403</v>
      </c>
      <c r="CZ457" s="121" t="s">
        <v>187</v>
      </c>
      <c r="DA457" s="181">
        <f t="shared" si="55"/>
        <v>0.83531746031746024</v>
      </c>
    </row>
    <row r="458" spans="11:105" ht="11.1" customHeight="1">
      <c r="K458" s="2"/>
      <c r="CX458" s="120">
        <v>4</v>
      </c>
      <c r="CY458" s="120">
        <v>7404</v>
      </c>
      <c r="CZ458" s="121" t="s">
        <v>221</v>
      </c>
      <c r="DA458" s="181">
        <f t="shared" si="55"/>
        <v>0.78761214630779841</v>
      </c>
    </row>
    <row r="459" spans="11:105" ht="11.1" customHeight="1">
      <c r="K459" s="2"/>
      <c r="CX459" s="120">
        <v>5</v>
      </c>
      <c r="CY459" s="120">
        <v>7405</v>
      </c>
      <c r="CZ459" s="121" t="s">
        <v>256</v>
      </c>
      <c r="DA459" s="181">
        <f t="shared" si="55"/>
        <v>0.78605935127674265</v>
      </c>
    </row>
    <row r="460" spans="11:105" ht="11.1" customHeight="1">
      <c r="K460" s="2"/>
      <c r="CX460" s="120">
        <v>6</v>
      </c>
      <c r="CY460" s="120">
        <v>7406</v>
      </c>
      <c r="CZ460" s="121" t="s">
        <v>289</v>
      </c>
      <c r="DA460" s="181">
        <f t="shared" si="55"/>
        <v>0.83264320220841959</v>
      </c>
    </row>
    <row r="461" spans="11:105" ht="11.1" customHeight="1">
      <c r="K461" s="2"/>
      <c r="CX461" s="120">
        <v>7</v>
      </c>
      <c r="CY461" s="120">
        <v>7407</v>
      </c>
      <c r="CZ461" s="121" t="s">
        <v>321</v>
      </c>
      <c r="DA461" s="181">
        <f t="shared" si="55"/>
        <v>0.94530710835058662</v>
      </c>
    </row>
    <row r="462" spans="11:105" ht="11.1" customHeight="1">
      <c r="K462" s="2"/>
      <c r="CX462" s="120">
        <v>8</v>
      </c>
      <c r="CY462" s="120">
        <v>7408</v>
      </c>
      <c r="CZ462" s="121" t="s">
        <v>348</v>
      </c>
      <c r="DA462" s="181">
        <f t="shared" si="55"/>
        <v>0.87491373360938574</v>
      </c>
    </row>
    <row r="463" spans="11:105" ht="11.1" customHeight="1">
      <c r="K463" s="2"/>
      <c r="CX463" s="120">
        <v>9</v>
      </c>
      <c r="CY463" s="120">
        <v>7409</v>
      </c>
      <c r="CZ463" s="121" t="s">
        <v>375</v>
      </c>
      <c r="DA463" s="181">
        <f t="shared" ref="DA463:DA471" si="56">DK289</f>
        <v>0.98628364389233947</v>
      </c>
    </row>
    <row r="464" spans="11:105" ht="11.1" customHeight="1">
      <c r="K464" s="2"/>
      <c r="CX464" s="120">
        <v>10</v>
      </c>
      <c r="CY464" s="120">
        <v>7410</v>
      </c>
      <c r="CZ464" s="121" t="s">
        <v>401</v>
      </c>
      <c r="DA464" s="181">
        <f t="shared" si="56"/>
        <v>0.76716701173222912</v>
      </c>
    </row>
    <row r="465" spans="11:105" ht="11.1" customHeight="1">
      <c r="K465" s="2"/>
      <c r="CX465" s="120">
        <v>12</v>
      </c>
      <c r="CY465" s="120">
        <v>7412</v>
      </c>
      <c r="CZ465" s="121" t="s">
        <v>424</v>
      </c>
      <c r="DA465" s="181">
        <f t="shared" si="56"/>
        <v>0.7895962732919255</v>
      </c>
    </row>
    <row r="466" spans="11:105" ht="11.1" customHeight="1">
      <c r="K466" s="2"/>
      <c r="CX466" s="120">
        <v>11</v>
      </c>
      <c r="CY466" s="120">
        <v>7411</v>
      </c>
      <c r="CZ466" s="121" t="s">
        <v>445</v>
      </c>
      <c r="DA466" s="181">
        <f t="shared" si="56"/>
        <v>0.91571773636991027</v>
      </c>
    </row>
    <row r="467" spans="11:105" ht="11.1" customHeight="1">
      <c r="K467" s="2"/>
      <c r="CX467" s="120">
        <v>13</v>
      </c>
      <c r="CY467" s="120">
        <v>7413</v>
      </c>
      <c r="CZ467" s="121" t="s">
        <v>464</v>
      </c>
      <c r="DA467" s="181">
        <f t="shared" si="56"/>
        <v>0.91166321601104217</v>
      </c>
    </row>
    <row r="468" spans="11:105" ht="11.1" customHeight="1">
      <c r="K468" s="2"/>
      <c r="CX468" s="120">
        <v>14</v>
      </c>
      <c r="CY468" s="120">
        <v>7414</v>
      </c>
      <c r="CZ468" s="121" t="s">
        <v>481</v>
      </c>
      <c r="DA468" s="181">
        <f t="shared" si="56"/>
        <v>0.91692546583850931</v>
      </c>
    </row>
    <row r="469" spans="11:105" ht="11.1" customHeight="1">
      <c r="K469" s="2"/>
      <c r="CX469" s="120">
        <v>15</v>
      </c>
      <c r="CY469" s="120">
        <v>7415</v>
      </c>
      <c r="CZ469" s="121" t="s">
        <v>495</v>
      </c>
      <c r="DA469" s="181">
        <f t="shared" si="56"/>
        <v>0.88992408557625946</v>
      </c>
    </row>
    <row r="470" spans="11:105" ht="11.1" customHeight="1">
      <c r="K470" s="2"/>
      <c r="CX470" s="120">
        <v>16</v>
      </c>
      <c r="CY470" s="120">
        <v>7471</v>
      </c>
      <c r="CZ470" s="121" t="s">
        <v>507</v>
      </c>
      <c r="DA470" s="181">
        <f t="shared" si="56"/>
        <v>0.79925810904071781</v>
      </c>
    </row>
    <row r="471" spans="11:105" ht="11.1" customHeight="1">
      <c r="K471" s="2"/>
      <c r="CX471" s="120">
        <v>17</v>
      </c>
      <c r="CY471" s="120">
        <v>7472</v>
      </c>
      <c r="CZ471" s="121" t="s">
        <v>519</v>
      </c>
      <c r="DA471" s="181">
        <f t="shared" si="56"/>
        <v>0.9098516218081435</v>
      </c>
    </row>
    <row r="472" spans="11:105" ht="11.1" customHeight="1">
      <c r="K472" s="2"/>
      <c r="CX472" s="118" t="s">
        <v>1554</v>
      </c>
      <c r="CY472" s="118">
        <v>7500</v>
      </c>
      <c r="CZ472" s="119" t="s">
        <v>26</v>
      </c>
      <c r="DA472" s="180">
        <f>DF300</f>
        <v>0.80020703933747417</v>
      </c>
    </row>
    <row r="473" spans="11:105" ht="11.1" customHeight="1">
      <c r="K473" s="2"/>
      <c r="CX473" s="120">
        <v>1</v>
      </c>
      <c r="CY473" s="120">
        <v>7501</v>
      </c>
      <c r="CZ473" s="121" t="s">
        <v>119</v>
      </c>
      <c r="DA473" s="181">
        <f>DF301</f>
        <v>0.76216356107660455</v>
      </c>
    </row>
    <row r="474" spans="11:105" ht="11.1" customHeight="1">
      <c r="K474" s="2"/>
      <c r="CX474" s="120">
        <v>2</v>
      </c>
      <c r="CY474" s="120">
        <v>7502</v>
      </c>
      <c r="CZ474" s="121" t="s">
        <v>154</v>
      </c>
      <c r="DA474" s="181">
        <f>DF302</f>
        <v>0.80728088336783987</v>
      </c>
    </row>
    <row r="475" spans="11:105" ht="11.1" customHeight="1">
      <c r="K475" s="2"/>
      <c r="CX475" s="120">
        <v>3</v>
      </c>
      <c r="CY475" s="120">
        <v>7503</v>
      </c>
      <c r="CZ475" s="121" t="s">
        <v>188</v>
      </c>
      <c r="DA475" s="181">
        <f>DF303</f>
        <v>0.82496549344375425</v>
      </c>
    </row>
    <row r="476" spans="11:105" ht="11.1" customHeight="1">
      <c r="K476" s="2"/>
      <c r="CX476" s="120">
        <v>4</v>
      </c>
      <c r="CY476" s="120">
        <v>7504</v>
      </c>
      <c r="CZ476" s="121" t="s">
        <v>222</v>
      </c>
      <c r="DA476" s="181">
        <f>DK300</f>
        <v>0.76147342995169076</v>
      </c>
    </row>
    <row r="477" spans="11:105" ht="11.1" customHeight="1">
      <c r="K477" s="2"/>
      <c r="CX477" s="120">
        <v>5</v>
      </c>
      <c r="CY477" s="120">
        <v>7505</v>
      </c>
      <c r="CZ477" s="121" t="s">
        <v>257</v>
      </c>
      <c r="DA477" s="181">
        <f>DK301</f>
        <v>0.84679089026915111</v>
      </c>
    </row>
    <row r="478" spans="11:105" ht="11.1" customHeight="1">
      <c r="K478" s="2"/>
      <c r="CX478" s="120">
        <v>6</v>
      </c>
      <c r="CY478" s="120">
        <v>7571</v>
      </c>
      <c r="CZ478" s="121" t="s">
        <v>290</v>
      </c>
      <c r="DA478" s="181">
        <f>DK302</f>
        <v>0.80219116632160103</v>
      </c>
    </row>
    <row r="479" spans="11:105" ht="11.1" customHeight="1">
      <c r="K479" s="2"/>
      <c r="CX479" s="118" t="s">
        <v>1555</v>
      </c>
      <c r="CY479" s="118">
        <v>7600</v>
      </c>
      <c r="CZ479" s="119" t="s">
        <v>47</v>
      </c>
      <c r="DA479" s="180">
        <f>DF306</f>
        <v>0.76440648723257421</v>
      </c>
    </row>
    <row r="480" spans="11:105" ht="11.1" customHeight="1">
      <c r="K480" s="2"/>
      <c r="CX480" s="120">
        <v>1</v>
      </c>
      <c r="CY480" s="120">
        <v>7601</v>
      </c>
      <c r="CZ480" s="121" t="s">
        <v>120</v>
      </c>
      <c r="DA480" s="181">
        <f>DF307</f>
        <v>0.69573844030365772</v>
      </c>
    </row>
    <row r="481" spans="11:105" ht="11.1" customHeight="1">
      <c r="K481" s="2"/>
      <c r="CX481" s="120">
        <v>2</v>
      </c>
      <c r="CY481" s="120">
        <v>7602</v>
      </c>
      <c r="CZ481" s="121" t="s">
        <v>155</v>
      </c>
      <c r="DA481" s="181">
        <f>DF308</f>
        <v>0.71635610766045554</v>
      </c>
    </row>
    <row r="482" spans="11:105" ht="11.1" customHeight="1">
      <c r="K482" s="2"/>
      <c r="CX482" s="120">
        <v>3</v>
      </c>
      <c r="CY482" s="120">
        <v>7603</v>
      </c>
      <c r="CZ482" s="121" t="s">
        <v>189</v>
      </c>
      <c r="DA482" s="181">
        <f>DF309</f>
        <v>0.8218599033816425</v>
      </c>
    </row>
    <row r="483" spans="11:105" ht="11.1" customHeight="1">
      <c r="K483" s="2"/>
      <c r="CX483" s="120">
        <v>4</v>
      </c>
      <c r="CY483" s="120">
        <v>7604</v>
      </c>
      <c r="CZ483" s="121" t="s">
        <v>223</v>
      </c>
      <c r="DA483" s="181">
        <f>DK306</f>
        <v>0.74137336093857831</v>
      </c>
    </row>
    <row r="484" spans="11:105" ht="11.1" customHeight="1">
      <c r="K484" s="2"/>
      <c r="CX484" s="120">
        <v>5</v>
      </c>
      <c r="CY484" s="120">
        <v>7605</v>
      </c>
      <c r="CZ484" s="121" t="s">
        <v>258</v>
      </c>
      <c r="DA484" s="181">
        <f>DK307</f>
        <v>0.71928916494133877</v>
      </c>
    </row>
    <row r="485" spans="11:105" ht="11.1" customHeight="1">
      <c r="K485" s="2"/>
      <c r="CX485" s="120">
        <v>6</v>
      </c>
      <c r="CY485" s="120">
        <v>7606</v>
      </c>
      <c r="CZ485" s="121" t="s">
        <v>291</v>
      </c>
      <c r="DA485" s="181">
        <f>DK308</f>
        <v>0.74258109040717735</v>
      </c>
    </row>
    <row r="486" spans="11:105" ht="11.1" customHeight="1">
      <c r="K486" s="2"/>
      <c r="CX486" s="118" t="s">
        <v>1556</v>
      </c>
      <c r="CY486" s="118">
        <v>8100</v>
      </c>
      <c r="CZ486" s="119" t="s">
        <v>39</v>
      </c>
      <c r="DA486" s="180">
        <f t="shared" ref="DA486:DA491" si="57">DF312</f>
        <v>1.0443409247757074</v>
      </c>
    </row>
    <row r="487" spans="11:105" ht="11.1" customHeight="1">
      <c r="K487" s="2"/>
      <c r="CX487" s="120">
        <v>1</v>
      </c>
      <c r="CY487" s="120">
        <v>8101</v>
      </c>
      <c r="CZ487" s="121" t="s">
        <v>121</v>
      </c>
      <c r="DA487" s="181">
        <f t="shared" si="57"/>
        <v>1.0221704623878536</v>
      </c>
    </row>
    <row r="488" spans="11:105" ht="11.1" customHeight="1">
      <c r="K488" s="2"/>
      <c r="CX488" s="120">
        <v>2</v>
      </c>
      <c r="CY488" s="120">
        <v>8102</v>
      </c>
      <c r="CZ488" s="121" t="s">
        <v>156</v>
      </c>
      <c r="DA488" s="181">
        <f t="shared" si="57"/>
        <v>1.1272429261559695</v>
      </c>
    </row>
    <row r="489" spans="11:105" ht="11.1" customHeight="1">
      <c r="K489" s="2"/>
      <c r="CX489" s="120">
        <v>3</v>
      </c>
      <c r="CY489" s="120">
        <v>8103</v>
      </c>
      <c r="CZ489" s="121" t="s">
        <v>190</v>
      </c>
      <c r="DA489" s="181">
        <f t="shared" si="57"/>
        <v>0.92399930986887502</v>
      </c>
    </row>
    <row r="490" spans="11:105" ht="11.1" customHeight="1">
      <c r="K490" s="2"/>
      <c r="CX490" s="120">
        <v>4</v>
      </c>
      <c r="CY490" s="120">
        <v>8104</v>
      </c>
      <c r="CZ490" s="121" t="s">
        <v>224</v>
      </c>
      <c r="DA490" s="181">
        <f t="shared" si="57"/>
        <v>1.0401138716356106</v>
      </c>
    </row>
    <row r="491" spans="11:105" ht="11.1" customHeight="1">
      <c r="K491" s="2"/>
      <c r="CX491" s="120">
        <v>5</v>
      </c>
      <c r="CY491" s="120">
        <v>8105</v>
      </c>
      <c r="CZ491" s="121" t="s">
        <v>259</v>
      </c>
      <c r="DA491" s="181">
        <f t="shared" si="57"/>
        <v>1.0682367149758454</v>
      </c>
    </row>
    <row r="492" spans="11:105" ht="11.1" customHeight="1">
      <c r="K492" s="2"/>
      <c r="CX492" s="120">
        <v>6</v>
      </c>
      <c r="CY492" s="120">
        <v>8106</v>
      </c>
      <c r="CZ492" s="121" t="s">
        <v>292</v>
      </c>
      <c r="DA492" s="181">
        <f t="shared" ref="DA492:DA497" si="58">DK312</f>
        <v>0.92710489993098688</v>
      </c>
    </row>
    <row r="493" spans="11:105" ht="11.1" customHeight="1">
      <c r="K493" s="2"/>
      <c r="CX493" s="120">
        <v>7</v>
      </c>
      <c r="CY493" s="120">
        <v>8107</v>
      </c>
      <c r="CZ493" s="121" t="s">
        <v>322</v>
      </c>
      <c r="DA493" s="181">
        <f t="shared" si="58"/>
        <v>0.97601794340924775</v>
      </c>
    </row>
    <row r="494" spans="11:105" ht="11.1" customHeight="1">
      <c r="K494" s="2"/>
      <c r="CX494" s="120">
        <v>9</v>
      </c>
      <c r="CY494" s="120">
        <v>8109</v>
      </c>
      <c r="CZ494" s="121" t="s">
        <v>349</v>
      </c>
      <c r="DA494" s="181">
        <f t="shared" si="58"/>
        <v>1.2537957211870256</v>
      </c>
    </row>
    <row r="495" spans="11:105" ht="11.1" customHeight="1">
      <c r="K495" s="2"/>
      <c r="CX495" s="120">
        <v>8</v>
      </c>
      <c r="CY495" s="120">
        <v>8108</v>
      </c>
      <c r="CZ495" s="121" t="s">
        <v>376</v>
      </c>
      <c r="DA495" s="181">
        <f t="shared" si="58"/>
        <v>1.1563146997929605</v>
      </c>
    </row>
    <row r="496" spans="11:105" ht="11.1" customHeight="1">
      <c r="K496" s="2"/>
      <c r="CX496" s="120">
        <v>10</v>
      </c>
      <c r="CY496" s="120">
        <v>8171</v>
      </c>
      <c r="CZ496" s="121" t="s">
        <v>402</v>
      </c>
      <c r="DA496" s="181">
        <f t="shared" si="58"/>
        <v>0.90536576949620429</v>
      </c>
    </row>
    <row r="497" spans="11:105" ht="11.1" customHeight="1">
      <c r="K497" s="2"/>
      <c r="CX497" s="120">
        <v>11</v>
      </c>
      <c r="CY497" s="120">
        <v>8172</v>
      </c>
      <c r="CZ497" s="121" t="s">
        <v>425</v>
      </c>
      <c r="DA497" s="181">
        <f t="shared" si="58"/>
        <v>1.1465665976535542</v>
      </c>
    </row>
    <row r="498" spans="11:105" ht="11.1" customHeight="1">
      <c r="K498" s="2"/>
      <c r="CX498" s="118" t="s">
        <v>1557</v>
      </c>
      <c r="CY498" s="118">
        <v>8200</v>
      </c>
      <c r="CZ498" s="119" t="s">
        <v>40</v>
      </c>
      <c r="DA498" s="180">
        <f t="shared" ref="DA498:DA503" si="59">DF320</f>
        <v>1.0431331953071084</v>
      </c>
    </row>
    <row r="499" spans="11:105" ht="11.1" customHeight="1">
      <c r="K499" s="2"/>
      <c r="CX499" s="120">
        <v>1</v>
      </c>
      <c r="CY499" s="120">
        <v>8201</v>
      </c>
      <c r="CZ499" s="121" t="s">
        <v>122</v>
      </c>
      <c r="DA499" s="181">
        <f t="shared" si="59"/>
        <v>1.0648723257418908</v>
      </c>
    </row>
    <row r="500" spans="11:105" ht="11.1" customHeight="1">
      <c r="K500" s="2"/>
      <c r="CX500" s="120">
        <v>2</v>
      </c>
      <c r="CY500" s="120">
        <v>8202</v>
      </c>
      <c r="CZ500" s="121" t="s">
        <v>157</v>
      </c>
      <c r="DA500" s="181">
        <f t="shared" si="59"/>
        <v>1.1042960662525878</v>
      </c>
    </row>
    <row r="501" spans="11:105" ht="11.1" customHeight="1">
      <c r="K501" s="2"/>
      <c r="CX501" s="120">
        <v>3</v>
      </c>
      <c r="CY501" s="120">
        <v>8203</v>
      </c>
      <c r="CZ501" s="121" t="s">
        <v>191</v>
      </c>
      <c r="DA501" s="181">
        <f t="shared" si="59"/>
        <v>1.0742753623188406</v>
      </c>
    </row>
    <row r="502" spans="11:105" ht="11.1" customHeight="1">
      <c r="K502" s="2"/>
      <c r="CX502" s="120">
        <v>4</v>
      </c>
      <c r="CY502" s="120">
        <v>8204</v>
      </c>
      <c r="CZ502" s="121" t="s">
        <v>225</v>
      </c>
      <c r="DA502" s="181">
        <f t="shared" si="59"/>
        <v>0.94297791580400281</v>
      </c>
    </row>
    <row r="503" spans="11:105" ht="11.1" customHeight="1">
      <c r="K503" s="2"/>
      <c r="CX503" s="120">
        <v>5</v>
      </c>
      <c r="CY503" s="120">
        <v>8205</v>
      </c>
      <c r="CZ503" s="121" t="s">
        <v>260</v>
      </c>
      <c r="DA503" s="181">
        <f t="shared" si="59"/>
        <v>1.0722912353347136</v>
      </c>
    </row>
    <row r="504" spans="11:105" ht="11.1" customHeight="1">
      <c r="K504" s="2"/>
      <c r="CX504" s="120">
        <v>6</v>
      </c>
      <c r="CY504" s="120">
        <v>8206</v>
      </c>
      <c r="CZ504" s="121" t="s">
        <v>293</v>
      </c>
      <c r="DA504" s="181">
        <f>DK320</f>
        <v>1.0224292615596964</v>
      </c>
    </row>
    <row r="505" spans="11:105" ht="11.1" customHeight="1">
      <c r="K505" s="2"/>
      <c r="CX505" s="120">
        <v>7</v>
      </c>
      <c r="CY505" s="120">
        <v>8207</v>
      </c>
      <c r="CZ505" s="121" t="s">
        <v>323</v>
      </c>
      <c r="DA505" s="181">
        <f>DK321</f>
        <v>0.94755003450655628</v>
      </c>
    </row>
    <row r="506" spans="11:105" ht="11.1" customHeight="1">
      <c r="K506" s="2"/>
      <c r="CX506" s="120">
        <v>8</v>
      </c>
      <c r="CY506" s="120">
        <v>8208</v>
      </c>
      <c r="CZ506" s="121" t="s">
        <v>350</v>
      </c>
      <c r="DA506" s="181">
        <f>DK322</f>
        <v>1.0368357487922706</v>
      </c>
    </row>
    <row r="507" spans="11:105" ht="11.1" customHeight="1">
      <c r="K507" s="2"/>
      <c r="CX507" s="120">
        <v>9</v>
      </c>
      <c r="CY507" s="120">
        <v>8271</v>
      </c>
      <c r="CZ507" s="121" t="s">
        <v>377</v>
      </c>
      <c r="DA507" s="181">
        <f>DK323</f>
        <v>1.1168046928916495</v>
      </c>
    </row>
    <row r="508" spans="11:105" ht="11.1" customHeight="1">
      <c r="K508" s="2"/>
      <c r="CX508" s="120">
        <v>10</v>
      </c>
      <c r="CY508" s="120">
        <v>8272</v>
      </c>
      <c r="CZ508" s="121" t="s">
        <v>403</v>
      </c>
      <c r="DA508" s="181">
        <f>DK324</f>
        <v>1.06444099378882</v>
      </c>
    </row>
    <row r="509" spans="11:105" ht="11.1" customHeight="1">
      <c r="K509" s="2"/>
      <c r="CX509" s="118" t="s">
        <v>1558</v>
      </c>
      <c r="CY509" s="118">
        <v>9100</v>
      </c>
      <c r="CZ509" s="119" t="s">
        <v>45</v>
      </c>
      <c r="DA509" s="180">
        <f t="shared" ref="DA509:DA515" si="60">DF328</f>
        <v>1.2080745341614907</v>
      </c>
    </row>
    <row r="510" spans="11:105" ht="11.1" customHeight="1">
      <c r="K510" s="2"/>
      <c r="CX510" s="120">
        <v>1</v>
      </c>
      <c r="CY510" s="120">
        <v>9101</v>
      </c>
      <c r="CZ510" s="121" t="s">
        <v>123</v>
      </c>
      <c r="DA510" s="181">
        <f t="shared" si="60"/>
        <v>1.1689095928226363</v>
      </c>
    </row>
    <row r="511" spans="11:105" ht="11.1" customHeight="1">
      <c r="K511" s="2"/>
      <c r="CX511" s="120">
        <v>2</v>
      </c>
      <c r="CY511" s="120">
        <v>9102</v>
      </c>
      <c r="CZ511" s="121" t="s">
        <v>158</v>
      </c>
      <c r="DA511" s="181">
        <f t="shared" si="60"/>
        <v>1.1528640441683919</v>
      </c>
    </row>
    <row r="512" spans="11:105" ht="11.1" customHeight="1">
      <c r="K512" s="2"/>
      <c r="CX512" s="120">
        <v>3</v>
      </c>
      <c r="CY512" s="120">
        <v>9103</v>
      </c>
      <c r="CZ512" s="121" t="s">
        <v>192</v>
      </c>
      <c r="DA512" s="181">
        <f t="shared" si="60"/>
        <v>1.138543823326432</v>
      </c>
    </row>
    <row r="513" spans="11:105" ht="11.1" customHeight="1">
      <c r="K513" s="2"/>
      <c r="CX513" s="120">
        <v>4</v>
      </c>
      <c r="CY513" s="120">
        <v>9104</v>
      </c>
      <c r="CZ513" s="121" t="s">
        <v>226</v>
      </c>
      <c r="DA513" s="181">
        <f t="shared" si="60"/>
        <v>1.2735507246376812</v>
      </c>
    </row>
    <row r="514" spans="11:105" ht="11.1" customHeight="1">
      <c r="K514" s="2"/>
      <c r="CX514" s="120">
        <v>5</v>
      </c>
      <c r="CY514" s="120">
        <v>9105</v>
      </c>
      <c r="CZ514" s="121" t="s">
        <v>261</v>
      </c>
      <c r="DA514" s="181">
        <f t="shared" si="60"/>
        <v>1.1323326432022083</v>
      </c>
    </row>
    <row r="515" spans="11:105" ht="11.1" customHeight="1">
      <c r="K515" s="2"/>
      <c r="CX515" s="120">
        <v>6</v>
      </c>
      <c r="CY515" s="120">
        <v>9106</v>
      </c>
      <c r="CZ515" s="121" t="s">
        <v>294</v>
      </c>
      <c r="DA515" s="181">
        <f t="shared" si="60"/>
        <v>1.0851449275362319</v>
      </c>
    </row>
    <row r="516" spans="11:105" ht="11.1" customHeight="1">
      <c r="K516" s="2"/>
      <c r="CX516" s="120">
        <v>7</v>
      </c>
      <c r="CY516" s="120">
        <v>9107</v>
      </c>
      <c r="CZ516" s="121" t="s">
        <v>324</v>
      </c>
      <c r="DA516" s="181">
        <f t="shared" ref="DA516:DA522" si="61">DK328</f>
        <v>1.0244996549344376</v>
      </c>
    </row>
    <row r="517" spans="11:105" ht="11.1" customHeight="1">
      <c r="K517" s="2"/>
      <c r="CX517" s="120">
        <v>8</v>
      </c>
      <c r="CY517" s="120">
        <v>9108</v>
      </c>
      <c r="CZ517" s="121" t="s">
        <v>351</v>
      </c>
      <c r="DA517" s="181">
        <f t="shared" si="61"/>
        <v>1.2328329882677709</v>
      </c>
    </row>
    <row r="518" spans="11:105" ht="11.1" customHeight="1">
      <c r="K518" s="2"/>
      <c r="CX518" s="120">
        <v>10</v>
      </c>
      <c r="CY518" s="120">
        <v>9110</v>
      </c>
      <c r="CZ518" s="121" t="s">
        <v>378</v>
      </c>
      <c r="DA518" s="181">
        <f t="shared" si="61"/>
        <v>1.3979468599033817</v>
      </c>
    </row>
    <row r="519" spans="11:105" ht="11.1" customHeight="1">
      <c r="K519" s="2"/>
      <c r="CX519" s="120">
        <v>9</v>
      </c>
      <c r="CY519" s="120">
        <v>9109</v>
      </c>
      <c r="CZ519" s="121" t="s">
        <v>404</v>
      </c>
      <c r="DA519" s="181">
        <f t="shared" si="61"/>
        <v>1.186680469289165</v>
      </c>
    </row>
    <row r="520" spans="11:105" ht="11.1" customHeight="1">
      <c r="K520" s="2"/>
      <c r="CX520" s="120">
        <v>11</v>
      </c>
      <c r="CY520" s="120">
        <v>9111</v>
      </c>
      <c r="CZ520" s="121" t="s">
        <v>426</v>
      </c>
      <c r="DA520" s="181">
        <f t="shared" si="61"/>
        <v>1.2346445824706695</v>
      </c>
    </row>
    <row r="521" spans="11:105" ht="11.1" customHeight="1">
      <c r="K521" s="2"/>
      <c r="CX521" s="120">
        <v>12</v>
      </c>
      <c r="CY521" s="120">
        <v>9112</v>
      </c>
      <c r="CZ521" s="121" t="s">
        <v>446</v>
      </c>
      <c r="DA521" s="181">
        <f t="shared" si="61"/>
        <v>1.8376466528640443</v>
      </c>
    </row>
    <row r="522" spans="11:105" ht="11.1" customHeight="1">
      <c r="K522" s="2"/>
      <c r="CX522" s="120">
        <v>13</v>
      </c>
      <c r="CY522" s="120">
        <v>9171</v>
      </c>
      <c r="CZ522" s="121" t="s">
        <v>465</v>
      </c>
      <c r="DA522" s="181">
        <f t="shared" si="61"/>
        <v>1.0227743271221532</v>
      </c>
    </row>
    <row r="523" spans="11:105" ht="11.1" customHeight="1">
      <c r="K523" s="2"/>
      <c r="CX523" s="118" t="s">
        <v>1559</v>
      </c>
      <c r="CY523" s="118">
        <v>9400</v>
      </c>
      <c r="CZ523" s="119" t="s">
        <v>44</v>
      </c>
      <c r="DA523" s="180">
        <f t="shared" ref="DA523:DA537" si="62">DF337</f>
        <v>1.9825741890959281</v>
      </c>
    </row>
    <row r="524" spans="11:105" ht="11.1" customHeight="1">
      <c r="K524" s="2"/>
      <c r="CX524" s="120">
        <v>1</v>
      </c>
      <c r="CY524" s="120">
        <v>9401</v>
      </c>
      <c r="CZ524" s="121" t="s">
        <v>124</v>
      </c>
      <c r="DA524" s="181">
        <f t="shared" si="62"/>
        <v>1.4519496204278812</v>
      </c>
    </row>
    <row r="525" spans="11:105" ht="11.1" customHeight="1">
      <c r="K525" s="2"/>
      <c r="CX525" s="120">
        <v>2</v>
      </c>
      <c r="CY525" s="120">
        <v>9402</v>
      </c>
      <c r="CZ525" s="121" t="s">
        <v>159</v>
      </c>
      <c r="DA525" s="181">
        <f t="shared" si="62"/>
        <v>2.5049171842650102</v>
      </c>
    </row>
    <row r="526" spans="11:105" ht="11.1" customHeight="1">
      <c r="K526" s="2"/>
      <c r="CX526" s="120">
        <v>3</v>
      </c>
      <c r="CY526" s="120">
        <v>9403</v>
      </c>
      <c r="CZ526" s="121" t="s">
        <v>193</v>
      </c>
      <c r="DA526" s="181">
        <f t="shared" si="62"/>
        <v>1.1865079365079365</v>
      </c>
    </row>
    <row r="527" spans="11:105" ht="11.1" customHeight="1">
      <c r="K527" s="2"/>
      <c r="CX527" s="120">
        <v>4</v>
      </c>
      <c r="CY527" s="120">
        <v>9404</v>
      </c>
      <c r="CZ527" s="121" t="s">
        <v>227</v>
      </c>
      <c r="DA527" s="181">
        <f t="shared" si="62"/>
        <v>1.272688060731539</v>
      </c>
    </row>
    <row r="528" spans="11:105" ht="11.1" customHeight="1">
      <c r="K528" s="2"/>
      <c r="CX528" s="120">
        <v>5</v>
      </c>
      <c r="CY528" s="120">
        <v>9408</v>
      </c>
      <c r="CZ528" s="121" t="s">
        <v>262</v>
      </c>
      <c r="DA528" s="181">
        <f t="shared" si="62"/>
        <v>1.2505175983436854</v>
      </c>
    </row>
    <row r="529" spans="11:105" ht="11.1" customHeight="1">
      <c r="K529" s="2"/>
      <c r="CX529" s="120">
        <v>6</v>
      </c>
      <c r="CY529" s="120">
        <v>9409</v>
      </c>
      <c r="CZ529" s="121" t="s">
        <v>295</v>
      </c>
      <c r="DA529" s="181">
        <f t="shared" si="62"/>
        <v>1.2267943409247757</v>
      </c>
    </row>
    <row r="530" spans="11:105" ht="11.1" customHeight="1">
      <c r="K530" s="2"/>
      <c r="CX530" s="120">
        <v>7</v>
      </c>
      <c r="CY530" s="120">
        <v>9410</v>
      </c>
      <c r="CZ530" s="121" t="s">
        <v>325</v>
      </c>
      <c r="DA530" s="181">
        <f t="shared" si="62"/>
        <v>1.9436680469289165</v>
      </c>
    </row>
    <row r="531" spans="11:105" ht="11.1" customHeight="1">
      <c r="K531" s="2"/>
      <c r="CX531" s="120">
        <v>8</v>
      </c>
      <c r="CY531" s="120">
        <v>9411</v>
      </c>
      <c r="CZ531" s="121" t="s">
        <v>352</v>
      </c>
      <c r="DA531" s="181">
        <f t="shared" si="62"/>
        <v>3.7693236714975846</v>
      </c>
    </row>
    <row r="532" spans="11:105" ht="11.1" customHeight="1">
      <c r="K532" s="2"/>
      <c r="CX532" s="120">
        <v>9</v>
      </c>
      <c r="CY532" s="120">
        <v>9412</v>
      </c>
      <c r="CZ532" s="121" t="s">
        <v>379</v>
      </c>
      <c r="DA532" s="181">
        <f t="shared" si="62"/>
        <v>1.2767425810904072</v>
      </c>
    </row>
    <row r="533" spans="11:105" ht="11.1" customHeight="1">
      <c r="K533" s="2"/>
      <c r="CX533" s="120">
        <v>10</v>
      </c>
      <c r="CY533" s="120">
        <v>9413</v>
      </c>
      <c r="CZ533" s="121" t="s">
        <v>405</v>
      </c>
      <c r="DA533" s="181">
        <f t="shared" si="62"/>
        <v>1.4776570048309179</v>
      </c>
    </row>
    <row r="534" spans="11:105" ht="11.1" customHeight="1">
      <c r="K534" s="2"/>
      <c r="CX534" s="120">
        <v>11</v>
      </c>
      <c r="CY534" s="120">
        <v>9414</v>
      </c>
      <c r="CZ534" s="121" t="s">
        <v>427</v>
      </c>
      <c r="DA534" s="181">
        <f t="shared" si="62"/>
        <v>1.557367149758454</v>
      </c>
    </row>
    <row r="535" spans="11:105" ht="11.1" customHeight="1">
      <c r="K535" s="2"/>
      <c r="CX535" s="120">
        <v>12</v>
      </c>
      <c r="CY535" s="120">
        <v>9415</v>
      </c>
      <c r="CZ535" s="121" t="s">
        <v>447</v>
      </c>
      <c r="DA535" s="181">
        <f t="shared" si="62"/>
        <v>1.9955141476880607</v>
      </c>
    </row>
    <row r="536" spans="11:105" ht="11.1" customHeight="1">
      <c r="K536" s="2"/>
      <c r="CX536" s="120">
        <v>13</v>
      </c>
      <c r="CY536" s="120">
        <v>9416</v>
      </c>
      <c r="CZ536" s="121" t="s">
        <v>466</v>
      </c>
      <c r="DA536" s="181">
        <f t="shared" si="62"/>
        <v>2.0943754313319531</v>
      </c>
    </row>
    <row r="537" spans="11:105" ht="11.1" customHeight="1">
      <c r="K537" s="2"/>
      <c r="CX537" s="120">
        <v>14</v>
      </c>
      <c r="CY537" s="120">
        <v>9417</v>
      </c>
      <c r="CZ537" s="121" t="s">
        <v>482</v>
      </c>
      <c r="DA537" s="181">
        <f t="shared" si="62"/>
        <v>3.3768115942028984</v>
      </c>
    </row>
    <row r="538" spans="11:105" ht="11.1" customHeight="1">
      <c r="K538" s="2"/>
      <c r="CX538" s="120">
        <v>15</v>
      </c>
      <c r="CY538" s="120">
        <v>9418</v>
      </c>
      <c r="CZ538" s="121" t="s">
        <v>496</v>
      </c>
      <c r="DA538" s="181">
        <f t="shared" ref="DA538:DA552" si="63">DK337</f>
        <v>3.0299344375431332</v>
      </c>
    </row>
    <row r="539" spans="11:105" ht="11.1" customHeight="1">
      <c r="K539" s="2"/>
      <c r="CX539" s="120">
        <v>16</v>
      </c>
      <c r="CY539" s="120">
        <v>9419</v>
      </c>
      <c r="CZ539" s="121" t="s">
        <v>508</v>
      </c>
      <c r="DA539" s="181">
        <f t="shared" si="63"/>
        <v>1.6296583850931676</v>
      </c>
    </row>
    <row r="540" spans="11:105" ht="11.1" customHeight="1">
      <c r="K540" s="2"/>
      <c r="CX540" s="120">
        <v>17</v>
      </c>
      <c r="CY540" s="120">
        <v>9420</v>
      </c>
      <c r="CZ540" s="121" t="s">
        <v>520</v>
      </c>
      <c r="DA540" s="181">
        <f t="shared" si="63"/>
        <v>1.3883712905452035</v>
      </c>
    </row>
    <row r="541" spans="11:105" ht="11.1" customHeight="1">
      <c r="K541" s="2"/>
      <c r="CX541" s="120">
        <v>18</v>
      </c>
      <c r="CY541" s="120">
        <v>9426</v>
      </c>
      <c r="CZ541" s="121" t="s">
        <v>530</v>
      </c>
      <c r="DA541" s="181">
        <f t="shared" si="63"/>
        <v>1.4062284334023463</v>
      </c>
    </row>
    <row r="542" spans="11:105" ht="11.1" customHeight="1">
      <c r="K542" s="2"/>
      <c r="CX542" s="120">
        <v>19</v>
      </c>
      <c r="CY542" s="120">
        <v>9427</v>
      </c>
      <c r="CZ542" s="121" t="s">
        <v>540</v>
      </c>
      <c r="DA542" s="181">
        <f t="shared" si="63"/>
        <v>1.3008109040717735</v>
      </c>
    </row>
    <row r="543" spans="11:105" ht="11.1" customHeight="1">
      <c r="K543" s="2"/>
      <c r="CX543" s="120">
        <v>20</v>
      </c>
      <c r="CY543" s="120">
        <v>9428</v>
      </c>
      <c r="CZ543" s="121" t="s">
        <v>549</v>
      </c>
      <c r="DA543" s="181">
        <f t="shared" si="63"/>
        <v>1.6628709454796411</v>
      </c>
    </row>
    <row r="544" spans="11:105" ht="11.1" customHeight="1">
      <c r="K544" s="2"/>
      <c r="CX544" s="120">
        <v>21</v>
      </c>
      <c r="CY544" s="120">
        <v>9429</v>
      </c>
      <c r="CZ544" s="121" t="s">
        <v>558</v>
      </c>
      <c r="DA544" s="181">
        <f t="shared" si="63"/>
        <v>2.7462042788129741</v>
      </c>
    </row>
    <row r="545" spans="11:105" ht="11.1" customHeight="1">
      <c r="K545" s="2"/>
      <c r="CX545" s="120">
        <v>22</v>
      </c>
      <c r="CY545" s="120">
        <v>9430</v>
      </c>
      <c r="CZ545" s="121" t="s">
        <v>567</v>
      </c>
      <c r="DA545" s="181">
        <f t="shared" si="63"/>
        <v>2.8719806763285023</v>
      </c>
    </row>
    <row r="546" spans="11:105" ht="11.1" customHeight="1">
      <c r="K546" s="2"/>
      <c r="CX546" s="120">
        <v>23</v>
      </c>
      <c r="CY546" s="120">
        <v>9431</v>
      </c>
      <c r="CZ546" s="121" t="s">
        <v>575</v>
      </c>
      <c r="DA546" s="181">
        <f t="shared" si="63"/>
        <v>3.4829192546583849</v>
      </c>
    </row>
    <row r="547" spans="11:105" ht="11.1" customHeight="1">
      <c r="K547" s="2"/>
      <c r="CX547" s="120">
        <v>24</v>
      </c>
      <c r="CY547" s="120">
        <v>9432</v>
      </c>
      <c r="CZ547" s="121" t="s">
        <v>582</v>
      </c>
      <c r="DA547" s="181">
        <f t="shared" si="63"/>
        <v>2.966701173222912</v>
      </c>
    </row>
    <row r="548" spans="11:105" ht="11.1" customHeight="1">
      <c r="K548" s="2"/>
      <c r="CX548" s="120">
        <v>25</v>
      </c>
      <c r="CY548" s="120">
        <v>9433</v>
      </c>
      <c r="CZ548" s="121" t="s">
        <v>588</v>
      </c>
      <c r="DA548" s="181">
        <f t="shared" si="63"/>
        <v>4.054175293305728</v>
      </c>
    </row>
    <row r="549" spans="11:105" ht="11.1" customHeight="1">
      <c r="K549" s="2"/>
      <c r="CX549" s="120">
        <v>26</v>
      </c>
      <c r="CY549" s="120">
        <v>9434</v>
      </c>
      <c r="CZ549" s="121" t="s">
        <v>594</v>
      </c>
      <c r="DA549" s="181">
        <f t="shared" si="63"/>
        <v>1.8071946169772257</v>
      </c>
    </row>
    <row r="550" spans="11:105" ht="11.1" customHeight="1">
      <c r="K550" s="2"/>
      <c r="CX550" s="120">
        <v>27</v>
      </c>
      <c r="CY550" s="120">
        <v>9435</v>
      </c>
      <c r="CZ550" s="121" t="s">
        <v>600</v>
      </c>
      <c r="DA550" s="181">
        <f t="shared" si="63"/>
        <v>3.5586611456176671</v>
      </c>
    </row>
    <row r="551" spans="11:105" ht="11.1" customHeight="1">
      <c r="K551" s="2"/>
      <c r="CX551" s="120">
        <v>28</v>
      </c>
      <c r="CY551" s="120">
        <v>9436</v>
      </c>
      <c r="CZ551" s="121" t="s">
        <v>605</v>
      </c>
      <c r="DA551" s="181">
        <f t="shared" si="63"/>
        <v>1.9780020703933747</v>
      </c>
    </row>
    <row r="552" spans="11:105" ht="11.1" customHeight="1">
      <c r="K552" s="2"/>
      <c r="CX552" s="120">
        <v>29</v>
      </c>
      <c r="CY552" s="120">
        <v>9471</v>
      </c>
      <c r="CZ552" s="121" t="s">
        <v>610</v>
      </c>
      <c r="DA552" s="181">
        <f t="shared" si="63"/>
        <v>1.2686335403726707</v>
      </c>
    </row>
    <row r="553" spans="11:105" ht="11.1" customHeight="1">
      <c r="K553" s="2"/>
    </row>
    <row r="554" spans="11:105" ht="11.1" customHeight="1">
      <c r="K554" s="2"/>
    </row>
    <row r="555" spans="11:105" ht="11.1" customHeight="1">
      <c r="K555" s="2"/>
    </row>
    <row r="556" spans="11:105" ht="11.1" customHeight="1">
      <c r="K556" s="2"/>
    </row>
    <row r="557" spans="11:105" ht="11.1" customHeight="1">
      <c r="K557" s="2"/>
    </row>
    <row r="558" spans="11:105" ht="11.1" customHeight="1">
      <c r="K558" s="2"/>
    </row>
    <row r="559" spans="11:105" ht="11.1" customHeight="1">
      <c r="K559" s="2"/>
    </row>
    <row r="560" spans="11:105" ht="11.1" customHeight="1">
      <c r="K560" s="2"/>
    </row>
    <row r="561" spans="11:11" ht="11.1" customHeight="1">
      <c r="K561" s="2"/>
    </row>
    <row r="562" spans="11:11" ht="11.1" customHeight="1">
      <c r="K562" s="2"/>
    </row>
    <row r="563" spans="11:11" ht="11.1" customHeight="1">
      <c r="K563" s="2"/>
    </row>
    <row r="564" spans="11:11" ht="11.1" customHeight="1">
      <c r="K564" s="2"/>
    </row>
    <row r="565" spans="11:11" ht="11.1" customHeight="1">
      <c r="K565" s="2"/>
    </row>
    <row r="566" spans="11:11" ht="11.1" customHeight="1">
      <c r="K566" s="2"/>
    </row>
    <row r="567" spans="11:11" ht="11.1" customHeight="1">
      <c r="K567" s="2"/>
    </row>
    <row r="568" spans="11:11" ht="11.1" customHeight="1">
      <c r="K568" s="2"/>
    </row>
    <row r="569" spans="11:11" ht="11.1" customHeight="1">
      <c r="K569" s="2"/>
    </row>
    <row r="570" spans="11:11" ht="11.1" customHeight="1">
      <c r="K570" s="2"/>
    </row>
    <row r="571" spans="11:11" ht="11.1" customHeight="1">
      <c r="K571" s="2"/>
    </row>
    <row r="572" spans="11:11" ht="11.1" customHeight="1">
      <c r="K572" s="2"/>
    </row>
    <row r="573" spans="11:11" ht="11.1" customHeight="1">
      <c r="K573" s="2"/>
    </row>
    <row r="574" spans="11:11" ht="11.1" customHeight="1">
      <c r="K574" s="2"/>
    </row>
    <row r="575" spans="11:11" ht="11.1" customHeight="1">
      <c r="K575" s="2"/>
    </row>
    <row r="576" spans="11:11" ht="11.1" customHeight="1">
      <c r="K576" s="2"/>
    </row>
    <row r="577" spans="11:11" ht="11.1" customHeight="1">
      <c r="K577" s="2"/>
    </row>
    <row r="578" spans="11:11" ht="11.1" customHeight="1">
      <c r="K578" s="2"/>
    </row>
    <row r="579" spans="11:11" ht="11.1" customHeight="1">
      <c r="K579" s="2"/>
    </row>
    <row r="580" spans="11:11" ht="11.1" customHeight="1">
      <c r="K580" s="2"/>
    </row>
    <row r="581" spans="11:11" ht="11.1" customHeight="1">
      <c r="K581" s="2"/>
    </row>
    <row r="582" spans="11:11" ht="11.1" customHeight="1">
      <c r="K582" s="2"/>
    </row>
    <row r="583" spans="11:11" ht="11.1" customHeight="1">
      <c r="K583" s="2"/>
    </row>
    <row r="584" spans="11:11" ht="11.1" customHeight="1">
      <c r="K584" s="2"/>
    </row>
    <row r="585" spans="11:11" ht="11.1" customHeight="1">
      <c r="K585" s="2"/>
    </row>
    <row r="586" spans="11:11" ht="11.1" customHeight="1">
      <c r="K586" s="2"/>
    </row>
    <row r="587" spans="11:11" ht="11.1" customHeight="1">
      <c r="K587" s="2"/>
    </row>
    <row r="588" spans="11:11" ht="11.1" customHeight="1">
      <c r="K588" s="2"/>
    </row>
    <row r="589" spans="11:11" ht="11.1" customHeight="1">
      <c r="K589" s="2"/>
    </row>
    <row r="590" spans="11:11" ht="11.1" customHeight="1">
      <c r="K590" s="2"/>
    </row>
    <row r="591" spans="11:11" ht="11.1" customHeight="1">
      <c r="K591" s="2"/>
    </row>
    <row r="592" spans="11:11" ht="11.1" customHeight="1">
      <c r="K592" s="2"/>
    </row>
    <row r="593" spans="11:11" ht="11.1" customHeight="1">
      <c r="K593" s="2"/>
    </row>
    <row r="594" spans="11:11" ht="11.1" customHeight="1">
      <c r="K594" s="2"/>
    </row>
    <row r="595" spans="11:11" ht="11.1" customHeight="1">
      <c r="K595" s="2"/>
    </row>
    <row r="596" spans="11:11" ht="11.1" customHeight="1">
      <c r="K596" s="2"/>
    </row>
    <row r="597" spans="11:11" ht="11.1" customHeight="1">
      <c r="K597" s="2"/>
    </row>
    <row r="598" spans="11:11" ht="11.1" customHeight="1">
      <c r="K598" s="2"/>
    </row>
    <row r="599" spans="11:11" ht="11.1" customHeight="1">
      <c r="K599" s="2"/>
    </row>
    <row r="600" spans="11:11" ht="11.1" customHeight="1">
      <c r="K600" s="2"/>
    </row>
    <row r="601" spans="11:11" ht="11.1" customHeight="1">
      <c r="K601" s="2"/>
    </row>
    <row r="602" spans="11:11" ht="11.1" customHeight="1">
      <c r="K602" s="2"/>
    </row>
    <row r="603" spans="11:11" ht="11.1" customHeight="1">
      <c r="K603" s="2"/>
    </row>
    <row r="604" spans="11:11" ht="11.1" customHeight="1">
      <c r="K604" s="2"/>
    </row>
    <row r="605" spans="11:11" ht="11.1" customHeight="1">
      <c r="K605" s="2"/>
    </row>
    <row r="606" spans="11:11" ht="11.1" customHeight="1">
      <c r="K606" s="2"/>
    </row>
    <row r="607" spans="11:11" ht="11.1" customHeight="1">
      <c r="K607" s="2"/>
    </row>
    <row r="608" spans="11:11" ht="11.1" customHeight="1">
      <c r="K608" s="2"/>
    </row>
    <row r="609" spans="11:11" ht="11.1" customHeight="1">
      <c r="K609" s="2"/>
    </row>
    <row r="610" spans="11:11" ht="11.1" customHeight="1">
      <c r="K610" s="2"/>
    </row>
    <row r="611" spans="11:11" ht="11.1" customHeight="1">
      <c r="K611" s="2"/>
    </row>
    <row r="612" spans="11:11" ht="11.1" customHeight="1">
      <c r="K612" s="2"/>
    </row>
    <row r="613" spans="11:11" ht="11.1" customHeight="1">
      <c r="K613" s="2"/>
    </row>
    <row r="614" spans="11:11" ht="11.1" customHeight="1">
      <c r="K614" s="2"/>
    </row>
    <row r="615" spans="11:11" ht="11.1" customHeight="1">
      <c r="K615" s="2"/>
    </row>
    <row r="616" spans="11:11" ht="11.1" customHeight="1">
      <c r="K616" s="2"/>
    </row>
    <row r="617" spans="11:11" ht="11.1" customHeight="1">
      <c r="K617" s="2"/>
    </row>
    <row r="618" spans="11:11" ht="11.1" customHeight="1">
      <c r="K618" s="2"/>
    </row>
    <row r="619" spans="11:11" ht="11.1" customHeight="1">
      <c r="K619" s="2"/>
    </row>
    <row r="620" spans="11:11" ht="11.1" customHeight="1">
      <c r="K620" s="2"/>
    </row>
    <row r="621" spans="11:11" ht="11.1" customHeight="1">
      <c r="K621" s="2"/>
    </row>
    <row r="622" spans="11:11" ht="11.1" customHeight="1">
      <c r="K622" s="2"/>
    </row>
    <row r="623" spans="11:11" ht="11.1" customHeight="1">
      <c r="K623" s="2"/>
    </row>
    <row r="624" spans="11:11" ht="11.1" customHeight="1">
      <c r="K624" s="2"/>
    </row>
    <row r="625" spans="11:11" ht="11.1" customHeight="1">
      <c r="K625" s="2"/>
    </row>
    <row r="626" spans="11:11" ht="11.1" customHeight="1">
      <c r="K626" s="2"/>
    </row>
    <row r="627" spans="11:11" ht="11.1" customHeight="1">
      <c r="K627" s="2"/>
    </row>
    <row r="628" spans="11:11" ht="11.1" customHeight="1">
      <c r="K628" s="2"/>
    </row>
    <row r="629" spans="11:11" ht="11.1" customHeight="1">
      <c r="K629" s="2"/>
    </row>
    <row r="630" spans="11:11" ht="11.1" customHeight="1">
      <c r="K630" s="2"/>
    </row>
    <row r="631" spans="11:11" ht="11.1" customHeight="1">
      <c r="K631" s="2"/>
    </row>
    <row r="632" spans="11:11" ht="11.1" customHeight="1">
      <c r="K632" s="2"/>
    </row>
    <row r="633" spans="11:11" ht="11.1" customHeight="1">
      <c r="K633" s="2"/>
    </row>
    <row r="634" spans="11:11" ht="11.1" customHeight="1">
      <c r="K634" s="2"/>
    </row>
    <row r="635" spans="11:11" ht="11.1" customHeight="1">
      <c r="K635" s="2"/>
    </row>
    <row r="636" spans="11:11" ht="11.1" customHeight="1">
      <c r="K636" s="2"/>
    </row>
    <row r="637" spans="11:11" ht="11.1" customHeight="1">
      <c r="K637" s="2"/>
    </row>
    <row r="638" spans="11:11" ht="11.1" customHeight="1">
      <c r="K638" s="2"/>
    </row>
    <row r="639" spans="11:11" ht="11.1" customHeight="1">
      <c r="K639" s="2"/>
    </row>
    <row r="640" spans="11:11" ht="11.1" customHeight="1">
      <c r="K640" s="2"/>
    </row>
    <row r="641" spans="11:11" ht="11.1" customHeight="1">
      <c r="K641" s="2"/>
    </row>
    <row r="642" spans="11:11" ht="11.1" customHeight="1">
      <c r="K642" s="2"/>
    </row>
    <row r="643" spans="11:11" ht="11.1" customHeight="1">
      <c r="K643" s="2"/>
    </row>
    <row r="644" spans="11:11" ht="11.1" customHeight="1">
      <c r="K644" s="2"/>
    </row>
    <row r="645" spans="11:11" ht="11.1" customHeight="1">
      <c r="K645" s="2"/>
    </row>
    <row r="646" spans="11:11" ht="11.1" customHeight="1">
      <c r="K646" s="2"/>
    </row>
    <row r="647" spans="11:11" ht="11.1" customHeight="1">
      <c r="K647" s="2"/>
    </row>
    <row r="648" spans="11:11" ht="11.1" customHeight="1">
      <c r="K648" s="2"/>
    </row>
    <row r="649" spans="11:11" ht="11.1" customHeight="1">
      <c r="K649" s="2"/>
    </row>
    <row r="650" spans="11:11" ht="11.1" customHeight="1">
      <c r="K650" s="2"/>
    </row>
    <row r="651" spans="11:11" ht="11.1" customHeight="1">
      <c r="K651" s="2"/>
    </row>
    <row r="652" spans="11:11" ht="11.1" customHeight="1">
      <c r="K652" s="2"/>
    </row>
    <row r="653" spans="11:11" ht="11.1" customHeight="1">
      <c r="K653" s="2"/>
    </row>
    <row r="654" spans="11:11" ht="11.1" customHeight="1">
      <c r="K654" s="2"/>
    </row>
    <row r="655" spans="11:11" ht="11.1" customHeight="1">
      <c r="K655" s="2"/>
    </row>
    <row r="656" spans="11:11" ht="11.1" customHeight="1">
      <c r="K656" s="2"/>
    </row>
    <row r="657" spans="11:11" ht="11.1" customHeight="1">
      <c r="K657" s="2"/>
    </row>
    <row r="658" spans="11:11" ht="11.1" customHeight="1">
      <c r="K658" s="2"/>
    </row>
    <row r="659" spans="11:11" ht="11.1" customHeight="1">
      <c r="K659" s="2"/>
    </row>
    <row r="660" spans="11:11" ht="11.1" customHeight="1">
      <c r="K660" s="2"/>
    </row>
    <row r="661" spans="11:11" ht="11.1" customHeight="1">
      <c r="K661" s="2"/>
    </row>
    <row r="662" spans="11:11" ht="11.1" customHeight="1">
      <c r="K662" s="2"/>
    </row>
    <row r="663" spans="11:11" ht="11.1" customHeight="1">
      <c r="K663" s="2"/>
    </row>
    <row r="664" spans="11:11" ht="11.1" customHeight="1">
      <c r="K664" s="2"/>
    </row>
    <row r="665" spans="11:11" ht="11.1" customHeight="1">
      <c r="K665" s="2"/>
    </row>
    <row r="666" spans="11:11" ht="11.1" customHeight="1">
      <c r="K666" s="2"/>
    </row>
    <row r="667" spans="11:11" ht="11.1" customHeight="1">
      <c r="K667" s="2"/>
    </row>
    <row r="668" spans="11:11" ht="11.1" customHeight="1">
      <c r="K668" s="2"/>
    </row>
    <row r="669" spans="11:11" ht="11.1" customHeight="1">
      <c r="K669" s="2"/>
    </row>
    <row r="670" spans="11:11" ht="11.1" customHeight="1">
      <c r="K670" s="2"/>
    </row>
    <row r="671" spans="11:11" ht="11.1" customHeight="1">
      <c r="K671" s="2"/>
    </row>
    <row r="672" spans="11:11" ht="11.1" customHeight="1">
      <c r="K672" s="2"/>
    </row>
    <row r="673" spans="11:11" ht="11.1" customHeight="1">
      <c r="K673" s="2"/>
    </row>
    <row r="674" spans="11:11" ht="11.1" customHeight="1">
      <c r="K674" s="2"/>
    </row>
    <row r="675" spans="11:11" ht="11.1" customHeight="1">
      <c r="K675" s="2"/>
    </row>
    <row r="676" spans="11:11" ht="11.1" customHeight="1">
      <c r="K676" s="2"/>
    </row>
    <row r="677" spans="11:11" ht="11.1" customHeight="1">
      <c r="K677" s="2"/>
    </row>
    <row r="678" spans="11:11" ht="11.1" customHeight="1">
      <c r="K678" s="2"/>
    </row>
    <row r="679" spans="11:11" ht="11.1" customHeight="1">
      <c r="K679" s="2"/>
    </row>
    <row r="680" spans="11:11" ht="11.1" customHeight="1">
      <c r="K680" s="2"/>
    </row>
    <row r="681" spans="11:11" ht="11.1" customHeight="1">
      <c r="K681" s="2"/>
    </row>
    <row r="682" spans="11:11" ht="11.1" customHeight="1">
      <c r="K682" s="2"/>
    </row>
    <row r="683" spans="11:11" ht="11.1" customHeight="1">
      <c r="K683" s="2"/>
    </row>
    <row r="684" spans="11:11" ht="11.1" customHeight="1">
      <c r="K684" s="2"/>
    </row>
    <row r="685" spans="11:11" ht="11.1" customHeight="1">
      <c r="K685" s="2"/>
    </row>
    <row r="686" spans="11:11" ht="11.1" customHeight="1">
      <c r="K686" s="2"/>
    </row>
    <row r="687" spans="11:11" ht="11.1" customHeight="1">
      <c r="K687" s="2"/>
    </row>
    <row r="688" spans="11:11" ht="11.1" customHeight="1">
      <c r="K688" s="2"/>
    </row>
    <row r="689" spans="11:11" ht="11.1" customHeight="1">
      <c r="K689" s="2"/>
    </row>
    <row r="690" spans="11:11" ht="11.1" customHeight="1">
      <c r="K690" s="2"/>
    </row>
    <row r="691" spans="11:11" ht="11.1" customHeight="1">
      <c r="K691" s="2"/>
    </row>
    <row r="692" spans="11:11" ht="11.1" customHeight="1">
      <c r="K692" s="2"/>
    </row>
    <row r="693" spans="11:11" ht="11.1" customHeight="1">
      <c r="K693" s="2"/>
    </row>
    <row r="694" spans="11:11" ht="11.1" customHeight="1">
      <c r="K694" s="2"/>
    </row>
    <row r="695" spans="11:11" ht="11.1" customHeight="1">
      <c r="K695" s="2"/>
    </row>
    <row r="696" spans="11:11" ht="11.1" customHeight="1">
      <c r="K696" s="2"/>
    </row>
    <row r="697" spans="11:11" ht="11.1" customHeight="1">
      <c r="K697" s="2"/>
    </row>
    <row r="698" spans="11:11" ht="11.1" customHeight="1">
      <c r="K698" s="2"/>
    </row>
    <row r="699" spans="11:11" ht="11.1" customHeight="1">
      <c r="K699" s="2"/>
    </row>
    <row r="700" spans="11:11" ht="11.1" customHeight="1">
      <c r="K700" s="2"/>
    </row>
    <row r="701" spans="11:11" ht="11.1" customHeight="1">
      <c r="K701" s="2"/>
    </row>
    <row r="702" spans="11:11" ht="11.1" customHeight="1">
      <c r="K702" s="2"/>
    </row>
    <row r="703" spans="11:11" ht="11.1" customHeight="1">
      <c r="K703" s="2"/>
    </row>
    <row r="704" spans="11:11" ht="11.1" customHeight="1">
      <c r="K704" s="2"/>
    </row>
    <row r="705" spans="11:11" ht="11.1" customHeight="1">
      <c r="K705" s="2"/>
    </row>
    <row r="706" spans="11:11" ht="11.1" customHeight="1">
      <c r="K706" s="2"/>
    </row>
    <row r="707" spans="11:11" ht="11.1" customHeight="1">
      <c r="K707" s="2"/>
    </row>
    <row r="708" spans="11:11" ht="11.1" customHeight="1">
      <c r="K708" s="2"/>
    </row>
    <row r="709" spans="11:11" ht="11.1" customHeight="1">
      <c r="K709" s="2"/>
    </row>
    <row r="710" spans="11:11" ht="11.1" customHeight="1">
      <c r="K710" s="2"/>
    </row>
    <row r="711" spans="11:11" ht="11.1" customHeight="1">
      <c r="K711" s="2"/>
    </row>
    <row r="712" spans="11:11" ht="11.1" customHeight="1">
      <c r="K712" s="2"/>
    </row>
    <row r="713" spans="11:11" ht="11.1" customHeight="1">
      <c r="K713" s="2"/>
    </row>
    <row r="714" spans="11:11" ht="11.1" customHeight="1">
      <c r="K714" s="2"/>
    </row>
    <row r="715" spans="11:11" ht="11.1" customHeight="1">
      <c r="K715" s="2"/>
    </row>
    <row r="716" spans="11:11" ht="11.1" customHeight="1">
      <c r="K716" s="2"/>
    </row>
    <row r="717" spans="11:11" ht="11.1" customHeight="1">
      <c r="K717" s="2"/>
    </row>
    <row r="718" spans="11:11" ht="11.1" customHeight="1">
      <c r="K718" s="2"/>
    </row>
    <row r="719" spans="11:11" ht="11.1" customHeight="1">
      <c r="K719" s="2"/>
    </row>
    <row r="720" spans="11:11" ht="11.1" customHeight="1">
      <c r="K720" s="2"/>
    </row>
    <row r="721" spans="11:11" ht="11.1" customHeight="1">
      <c r="K721" s="2"/>
    </row>
    <row r="722" spans="11:11" ht="11.1" customHeight="1">
      <c r="K722" s="2"/>
    </row>
    <row r="723" spans="11:11" ht="11.1" customHeight="1">
      <c r="K723" s="2"/>
    </row>
    <row r="724" spans="11:11" ht="11.1" customHeight="1">
      <c r="K724" s="2"/>
    </row>
    <row r="725" spans="11:11" ht="11.1" customHeight="1">
      <c r="K725" s="2"/>
    </row>
    <row r="726" spans="11:11" ht="11.1" customHeight="1">
      <c r="K726" s="2"/>
    </row>
    <row r="727" spans="11:11" ht="11.1" customHeight="1">
      <c r="K727" s="2"/>
    </row>
    <row r="728" spans="11:11" ht="11.1" customHeight="1">
      <c r="K728" s="2"/>
    </row>
    <row r="729" spans="11:11" ht="11.1" customHeight="1">
      <c r="K729" s="2"/>
    </row>
    <row r="730" spans="11:11" ht="11.1" customHeight="1">
      <c r="K730" s="2"/>
    </row>
    <row r="731" spans="11:11" ht="11.1" customHeight="1">
      <c r="K731" s="2"/>
    </row>
    <row r="732" spans="11:11" ht="11.1" customHeight="1">
      <c r="K732" s="2"/>
    </row>
    <row r="733" spans="11:11" ht="11.1" customHeight="1">
      <c r="K733" s="2"/>
    </row>
    <row r="734" spans="11:11" ht="11.1" customHeight="1">
      <c r="K734" s="2"/>
    </row>
    <row r="735" spans="11:11" ht="11.1" customHeight="1">
      <c r="K735" s="2"/>
    </row>
    <row r="736" spans="11:11" ht="11.1" customHeight="1">
      <c r="K736" s="2"/>
    </row>
    <row r="737" spans="11:11" ht="11.1" customHeight="1">
      <c r="K737" s="2"/>
    </row>
    <row r="738" spans="11:11" ht="11.1" customHeight="1">
      <c r="K738" s="2"/>
    </row>
    <row r="739" spans="11:11" ht="11.1" customHeight="1">
      <c r="K739" s="2"/>
    </row>
    <row r="740" spans="11:11" ht="11.1" customHeight="1">
      <c r="K740" s="2"/>
    </row>
    <row r="741" spans="11:11" ht="11.1" customHeight="1">
      <c r="K741" s="2"/>
    </row>
    <row r="742" spans="11:11" ht="11.1" customHeight="1">
      <c r="K742" s="2"/>
    </row>
    <row r="743" spans="11:11" ht="11.1" customHeight="1">
      <c r="K743" s="2"/>
    </row>
    <row r="744" spans="11:11" ht="11.1" customHeight="1">
      <c r="K744" s="2"/>
    </row>
    <row r="745" spans="11:11" ht="11.1" customHeight="1">
      <c r="K745" s="2"/>
    </row>
    <row r="746" spans="11:11" ht="11.1" customHeight="1">
      <c r="K746" s="2"/>
    </row>
    <row r="747" spans="11:11" ht="11.1" customHeight="1">
      <c r="K747" s="2"/>
    </row>
    <row r="748" spans="11:11" ht="11.1" customHeight="1">
      <c r="K748" s="2"/>
    </row>
    <row r="749" spans="11:11" ht="11.1" customHeight="1">
      <c r="K749" s="2"/>
    </row>
    <row r="750" spans="11:11" ht="11.1" customHeight="1">
      <c r="K750" s="2"/>
    </row>
    <row r="751" spans="11:11" ht="11.1" customHeight="1">
      <c r="K751" s="2"/>
    </row>
    <row r="752" spans="11:11" ht="11.1" customHeight="1">
      <c r="K752" s="2"/>
    </row>
    <row r="753" spans="11:11" ht="11.1" customHeight="1">
      <c r="K753" s="2"/>
    </row>
    <row r="754" spans="11:11" ht="11.1" customHeight="1">
      <c r="K754" s="2"/>
    </row>
    <row r="755" spans="11:11" ht="11.1" customHeight="1">
      <c r="K755" s="2"/>
    </row>
    <row r="756" spans="11:11" ht="11.1" customHeight="1">
      <c r="K756" s="2"/>
    </row>
    <row r="757" spans="11:11" ht="11.1" customHeight="1">
      <c r="K757" s="2"/>
    </row>
    <row r="758" spans="11:11" ht="11.1" customHeight="1">
      <c r="K758" s="2"/>
    </row>
    <row r="759" spans="11:11" ht="11.1" customHeight="1">
      <c r="K759" s="2"/>
    </row>
    <row r="760" spans="11:11" ht="11.1" customHeight="1">
      <c r="K760" s="2"/>
    </row>
    <row r="761" spans="11:11" ht="11.1" customHeight="1">
      <c r="K761" s="2"/>
    </row>
    <row r="762" spans="11:11" ht="11.1" customHeight="1">
      <c r="K762" s="2"/>
    </row>
    <row r="763" spans="11:11" ht="11.1" customHeight="1">
      <c r="K763" s="2"/>
    </row>
    <row r="764" spans="11:11" ht="11.1" customHeight="1">
      <c r="K764" s="2"/>
    </row>
    <row r="765" spans="11:11" ht="11.1" customHeight="1">
      <c r="K765" s="2"/>
    </row>
    <row r="766" spans="11:11" ht="11.1" customHeight="1">
      <c r="K766" s="2"/>
    </row>
    <row r="767" spans="11:11" ht="11.1" customHeight="1">
      <c r="K767" s="2"/>
    </row>
    <row r="768" spans="11:11" ht="11.1" customHeight="1">
      <c r="K768" s="2"/>
    </row>
    <row r="769" spans="11:11" ht="11.1" customHeight="1">
      <c r="K769" s="2"/>
    </row>
    <row r="770" spans="11:11" ht="11.1" customHeight="1">
      <c r="K770" s="2"/>
    </row>
    <row r="771" spans="11:11" ht="11.1" customHeight="1">
      <c r="K771" s="2"/>
    </row>
    <row r="772" spans="11:11" ht="11.1" customHeight="1">
      <c r="K772" s="2"/>
    </row>
    <row r="773" spans="11:11" ht="11.1" customHeight="1">
      <c r="K773" s="2"/>
    </row>
    <row r="774" spans="11:11" ht="11.1" customHeight="1">
      <c r="K774" s="2"/>
    </row>
    <row r="775" spans="11:11" ht="11.1" customHeight="1">
      <c r="K775" s="2"/>
    </row>
    <row r="776" spans="11:11" ht="11.1" customHeight="1">
      <c r="K776" s="2"/>
    </row>
    <row r="777" spans="11:11" ht="11.1" customHeight="1">
      <c r="K777" s="2"/>
    </row>
    <row r="778" spans="11:11" ht="11.1" customHeight="1">
      <c r="K778" s="2"/>
    </row>
    <row r="779" spans="11:11" ht="11.1" customHeight="1">
      <c r="K779" s="2"/>
    </row>
    <row r="780" spans="11:11" ht="11.1" customHeight="1">
      <c r="K780" s="2"/>
    </row>
    <row r="781" spans="11:11" ht="11.1" customHeight="1">
      <c r="K781" s="2"/>
    </row>
    <row r="782" spans="11:11" ht="11.1" customHeight="1">
      <c r="K782" s="2"/>
    </row>
    <row r="783" spans="11:11" ht="11.1" customHeight="1">
      <c r="K783" s="2"/>
    </row>
    <row r="784" spans="11:11" ht="11.1" customHeight="1">
      <c r="K784" s="2"/>
    </row>
    <row r="785" spans="11:11" ht="11.1" customHeight="1">
      <c r="K785" s="2"/>
    </row>
    <row r="786" spans="11:11" ht="11.1" customHeight="1">
      <c r="K786" s="2"/>
    </row>
    <row r="787" spans="11:11" ht="11.1" customHeight="1">
      <c r="K787" s="2"/>
    </row>
    <row r="788" spans="11:11" ht="11.1" customHeight="1">
      <c r="K788" s="2"/>
    </row>
    <row r="789" spans="11:11" ht="11.1" customHeight="1">
      <c r="K789" s="2"/>
    </row>
    <row r="790" spans="11:11" ht="11.1" customHeight="1">
      <c r="K790" s="2"/>
    </row>
    <row r="791" spans="11:11" ht="11.1" customHeight="1">
      <c r="K791" s="2"/>
    </row>
    <row r="792" spans="11:11" ht="11.1" customHeight="1">
      <c r="K792" s="2"/>
    </row>
    <row r="793" spans="11:11" ht="11.1" customHeight="1">
      <c r="K793" s="2"/>
    </row>
    <row r="794" spans="11:11" ht="11.1" customHeight="1">
      <c r="K794" s="2"/>
    </row>
    <row r="795" spans="11:11" ht="11.1" customHeight="1">
      <c r="K795" s="2"/>
    </row>
    <row r="796" spans="11:11" ht="11.1" customHeight="1">
      <c r="K796" s="2"/>
    </row>
    <row r="797" spans="11:11" ht="11.1" customHeight="1">
      <c r="K797" s="2"/>
    </row>
    <row r="798" spans="11:11" ht="11.1" customHeight="1">
      <c r="K798" s="2"/>
    </row>
    <row r="799" spans="11:11" ht="11.1" customHeight="1">
      <c r="K799" s="2"/>
    </row>
    <row r="800" spans="11:11" ht="11.1" customHeight="1">
      <c r="K800" s="2"/>
    </row>
    <row r="801" spans="11:11" ht="11.1" customHeight="1">
      <c r="K801" s="2"/>
    </row>
    <row r="802" spans="11:11" ht="11.1" customHeight="1">
      <c r="K802" s="2"/>
    </row>
    <row r="803" spans="11:11" ht="11.1" customHeight="1">
      <c r="K803" s="2"/>
    </row>
    <row r="804" spans="11:11" ht="11.1" customHeight="1">
      <c r="K804" s="2"/>
    </row>
    <row r="805" spans="11:11" ht="11.1" customHeight="1">
      <c r="K805" s="2"/>
    </row>
    <row r="806" spans="11:11" ht="11.1" customHeight="1">
      <c r="K806" s="2"/>
    </row>
    <row r="807" spans="11:11" ht="11.1" customHeight="1">
      <c r="K807" s="2"/>
    </row>
    <row r="808" spans="11:11" ht="11.1" customHeight="1">
      <c r="K808" s="2"/>
    </row>
    <row r="809" spans="11:11" ht="11.1" customHeight="1">
      <c r="K809" s="2"/>
    </row>
    <row r="810" spans="11:11" ht="11.1" customHeight="1">
      <c r="K810" s="2"/>
    </row>
    <row r="811" spans="11:11" ht="11.1" customHeight="1">
      <c r="K811" s="2"/>
    </row>
    <row r="812" spans="11:11" ht="11.1" customHeight="1">
      <c r="K812" s="2"/>
    </row>
    <row r="813" spans="11:11" ht="11.1" customHeight="1">
      <c r="K813" s="2"/>
    </row>
    <row r="814" spans="11:11" ht="11.1" customHeight="1">
      <c r="K814" s="2"/>
    </row>
    <row r="815" spans="11:11" ht="11.1" customHeight="1">
      <c r="K815" s="2"/>
    </row>
    <row r="816" spans="11:11" ht="11.1" customHeight="1">
      <c r="K816" s="2"/>
    </row>
    <row r="817" spans="11:11" ht="11.1" customHeight="1">
      <c r="K817" s="2"/>
    </row>
    <row r="818" spans="11:11" ht="11.1" customHeight="1">
      <c r="K818" s="2"/>
    </row>
    <row r="819" spans="11:11" ht="11.1" customHeight="1">
      <c r="K819" s="2"/>
    </row>
    <row r="820" spans="11:11" ht="11.1" customHeight="1">
      <c r="K820" s="2"/>
    </row>
    <row r="821" spans="11:11" ht="11.1" customHeight="1">
      <c r="K821" s="2"/>
    </row>
    <row r="822" spans="11:11" ht="11.1" customHeight="1">
      <c r="K822" s="2"/>
    </row>
    <row r="823" spans="11:11" ht="11.1" customHeight="1">
      <c r="K823" s="2"/>
    </row>
    <row r="824" spans="11:11" ht="11.1" customHeight="1">
      <c r="K824" s="2"/>
    </row>
    <row r="825" spans="11:11" ht="11.1" customHeight="1">
      <c r="K825" s="2"/>
    </row>
    <row r="826" spans="11:11" ht="11.1" customHeight="1">
      <c r="K826" s="2"/>
    </row>
    <row r="827" spans="11:11" ht="11.1" customHeight="1">
      <c r="K827" s="2"/>
    </row>
    <row r="828" spans="11:11" ht="11.1" customHeight="1">
      <c r="K828" s="2"/>
    </row>
    <row r="829" spans="11:11" ht="11.1" customHeight="1">
      <c r="K829" s="2"/>
    </row>
    <row r="830" spans="11:11" ht="11.1" customHeight="1">
      <c r="K830" s="2"/>
    </row>
    <row r="831" spans="11:11" ht="11.1" customHeight="1">
      <c r="K831" s="2"/>
    </row>
    <row r="832" spans="11:11" ht="11.1" customHeight="1">
      <c r="K832" s="2"/>
    </row>
    <row r="833" spans="11:11" ht="11.1" customHeight="1">
      <c r="K833" s="2"/>
    </row>
    <row r="834" spans="11:11" ht="11.1" customHeight="1">
      <c r="K834" s="2"/>
    </row>
    <row r="835" spans="11:11" ht="11.1" customHeight="1">
      <c r="K835" s="2"/>
    </row>
    <row r="836" spans="11:11" ht="11.1" customHeight="1">
      <c r="K836" s="2"/>
    </row>
    <row r="837" spans="11:11" ht="11.1" customHeight="1">
      <c r="K837" s="2"/>
    </row>
    <row r="838" spans="11:11" ht="11.1" customHeight="1">
      <c r="K838" s="2"/>
    </row>
    <row r="839" spans="11:11" ht="11.1" customHeight="1">
      <c r="K839" s="2"/>
    </row>
    <row r="840" spans="11:11" ht="11.1" customHeight="1">
      <c r="K840" s="2"/>
    </row>
    <row r="841" spans="11:11" ht="11.1" customHeight="1">
      <c r="K841" s="2"/>
    </row>
    <row r="842" spans="11:11" ht="11.1" customHeight="1">
      <c r="K842" s="2"/>
    </row>
    <row r="843" spans="11:11" ht="11.1" customHeight="1">
      <c r="K843" s="2"/>
    </row>
    <row r="844" spans="11:11" ht="11.1" customHeight="1">
      <c r="K844" s="2"/>
    </row>
    <row r="845" spans="11:11" ht="11.1" customHeight="1">
      <c r="K845" s="2"/>
    </row>
    <row r="846" spans="11:11" ht="11.1" customHeight="1">
      <c r="K846" s="2"/>
    </row>
    <row r="847" spans="11:11" ht="11.1" customHeight="1">
      <c r="K847" s="2"/>
    </row>
    <row r="848" spans="11:11" ht="11.1" customHeight="1">
      <c r="K848" s="2"/>
    </row>
    <row r="849" spans="11:11" ht="11.1" customHeight="1">
      <c r="K849" s="2"/>
    </row>
    <row r="850" spans="11:11" ht="11.1" customHeight="1">
      <c r="K850" s="2"/>
    </row>
    <row r="851" spans="11:11" ht="11.1" customHeight="1">
      <c r="K851" s="2"/>
    </row>
    <row r="852" spans="11:11" ht="11.1" customHeight="1">
      <c r="K852" s="2"/>
    </row>
    <row r="853" spans="11:11" ht="11.1" customHeight="1">
      <c r="K853" s="2"/>
    </row>
    <row r="854" spans="11:11" ht="11.1" customHeight="1">
      <c r="K854" s="2"/>
    </row>
    <row r="855" spans="11:11" ht="11.1" customHeight="1">
      <c r="K855" s="2"/>
    </row>
    <row r="856" spans="11:11" ht="11.1" customHeight="1">
      <c r="K856" s="2"/>
    </row>
    <row r="857" spans="11:11" ht="11.1" customHeight="1">
      <c r="K857" s="2"/>
    </row>
    <row r="858" spans="11:11" ht="11.1" customHeight="1">
      <c r="K858" s="2"/>
    </row>
    <row r="859" spans="11:11" ht="11.1" customHeight="1">
      <c r="K859" s="2"/>
    </row>
    <row r="860" spans="11:11" ht="11.1" customHeight="1">
      <c r="K860" s="2"/>
    </row>
    <row r="861" spans="11:11" ht="11.1" customHeight="1">
      <c r="K861" s="2"/>
    </row>
    <row r="862" spans="11:11" ht="11.1" customHeight="1">
      <c r="K862" s="2"/>
    </row>
    <row r="863" spans="11:11" ht="11.1" customHeight="1">
      <c r="K863" s="2"/>
    </row>
    <row r="864" spans="11:11" ht="11.1" customHeight="1">
      <c r="K864" s="2"/>
    </row>
    <row r="865" spans="11:11" ht="11.1" customHeight="1">
      <c r="K865" s="2"/>
    </row>
    <row r="866" spans="11:11" ht="11.1" customHeight="1">
      <c r="K866" s="2"/>
    </row>
    <row r="867" spans="11:11" ht="11.1" customHeight="1">
      <c r="K867" s="2"/>
    </row>
    <row r="868" spans="11:11" ht="11.1" customHeight="1">
      <c r="K868" s="2"/>
    </row>
    <row r="869" spans="11:11" ht="11.1" customHeight="1">
      <c r="K869" s="2"/>
    </row>
    <row r="870" spans="11:11" ht="11.1" customHeight="1">
      <c r="K870" s="2"/>
    </row>
    <row r="871" spans="11:11" ht="11.1" customHeight="1">
      <c r="K871" s="2"/>
    </row>
    <row r="872" spans="11:11" ht="11.1" customHeight="1">
      <c r="K872" s="2"/>
    </row>
    <row r="873" spans="11:11" ht="11.1" customHeight="1">
      <c r="K873" s="2"/>
    </row>
    <row r="874" spans="11:11" ht="11.1" customHeight="1">
      <c r="K874" s="2"/>
    </row>
    <row r="875" spans="11:11" ht="11.1" customHeight="1">
      <c r="K875" s="2"/>
    </row>
    <row r="876" spans="11:11" ht="11.1" customHeight="1">
      <c r="K876" s="2"/>
    </row>
    <row r="877" spans="11:11" ht="11.1" customHeight="1">
      <c r="K877" s="2"/>
    </row>
    <row r="878" spans="11:11" ht="11.1" customHeight="1">
      <c r="K878" s="2"/>
    </row>
    <row r="879" spans="11:11" ht="11.1" customHeight="1">
      <c r="K879" s="2"/>
    </row>
    <row r="880" spans="11:11" ht="11.1" customHeight="1">
      <c r="K880" s="2"/>
    </row>
    <row r="881" spans="11:11" ht="11.1" customHeight="1">
      <c r="K881" s="2"/>
    </row>
    <row r="882" spans="11:11" ht="11.1" customHeight="1">
      <c r="K882" s="2"/>
    </row>
    <row r="883" spans="11:11" ht="11.1" customHeight="1">
      <c r="K883" s="2"/>
    </row>
    <row r="884" spans="11:11" ht="11.1" customHeight="1">
      <c r="K884" s="2"/>
    </row>
    <row r="885" spans="11:11" ht="11.1" customHeight="1">
      <c r="K885" s="2"/>
    </row>
    <row r="886" spans="11:11" ht="11.1" customHeight="1">
      <c r="K886" s="2"/>
    </row>
    <row r="887" spans="11:11" ht="11.1" customHeight="1">
      <c r="K887" s="2"/>
    </row>
    <row r="888" spans="11:11" ht="11.1" customHeight="1">
      <c r="K888" s="2"/>
    </row>
    <row r="889" spans="11:11" ht="11.1" customHeight="1">
      <c r="K889" s="2"/>
    </row>
    <row r="890" spans="11:11" ht="11.1" customHeight="1">
      <c r="K890" s="2"/>
    </row>
    <row r="891" spans="11:11" ht="11.1" customHeight="1">
      <c r="K891" s="2"/>
    </row>
    <row r="892" spans="11:11" ht="11.1" customHeight="1">
      <c r="K892" s="2"/>
    </row>
    <row r="893" spans="11:11" ht="11.1" customHeight="1">
      <c r="K893" s="2"/>
    </row>
    <row r="894" spans="11:11" ht="11.1" customHeight="1">
      <c r="K894" s="2"/>
    </row>
    <row r="895" spans="11:11" ht="11.1" customHeight="1">
      <c r="K895" s="2"/>
    </row>
    <row r="896" spans="11:11" ht="11.1" customHeight="1">
      <c r="K896" s="2"/>
    </row>
    <row r="897" spans="11:11" ht="11.1" customHeight="1">
      <c r="K897" s="2"/>
    </row>
    <row r="898" spans="11:11" ht="11.1" customHeight="1">
      <c r="K898" s="2"/>
    </row>
    <row r="899" spans="11:11" ht="11.1" customHeight="1">
      <c r="K899" s="2"/>
    </row>
    <row r="900" spans="11:11" ht="11.1" customHeight="1">
      <c r="K900" s="2"/>
    </row>
    <row r="901" spans="11:11" ht="11.1" customHeight="1">
      <c r="K901" s="2"/>
    </row>
    <row r="902" spans="11:11" ht="11.1" customHeight="1">
      <c r="K902" s="2"/>
    </row>
    <row r="903" spans="11:11" ht="11.1" customHeight="1">
      <c r="K903" s="2"/>
    </row>
    <row r="904" spans="11:11" ht="11.1" customHeight="1">
      <c r="K904" s="2"/>
    </row>
    <row r="905" spans="11:11" ht="11.1" customHeight="1">
      <c r="K905" s="2"/>
    </row>
    <row r="906" spans="11:11" ht="11.1" customHeight="1">
      <c r="K906" s="2"/>
    </row>
    <row r="907" spans="11:11" ht="11.1" customHeight="1">
      <c r="K907" s="2"/>
    </row>
    <row r="908" spans="11:11" ht="11.1" customHeight="1">
      <c r="K908" s="2"/>
    </row>
    <row r="909" spans="11:11" ht="11.1" customHeight="1">
      <c r="K909" s="2"/>
    </row>
    <row r="910" spans="11:11" ht="11.1" customHeight="1">
      <c r="K910" s="2"/>
    </row>
    <row r="911" spans="11:11" ht="11.1" customHeight="1">
      <c r="K911" s="2"/>
    </row>
    <row r="912" spans="11:11" ht="11.1" customHeight="1">
      <c r="K912" s="2"/>
    </row>
    <row r="913" spans="11:11" ht="11.1" customHeight="1">
      <c r="K913" s="2"/>
    </row>
    <row r="914" spans="11:11" ht="11.1" customHeight="1">
      <c r="K914" s="2"/>
    </row>
    <row r="915" spans="11:11" ht="11.1" customHeight="1">
      <c r="K915" s="2"/>
    </row>
    <row r="916" spans="11:11" ht="11.1" customHeight="1">
      <c r="K916" s="2"/>
    </row>
    <row r="917" spans="11:11" ht="11.1" customHeight="1">
      <c r="K917" s="2"/>
    </row>
    <row r="918" spans="11:11" ht="11.1" customHeight="1">
      <c r="K918" s="2"/>
    </row>
    <row r="919" spans="11:11" ht="11.1" customHeight="1">
      <c r="K919" s="2"/>
    </row>
    <row r="920" spans="11:11" ht="11.1" customHeight="1">
      <c r="K920" s="2"/>
    </row>
    <row r="921" spans="11:11" ht="11.1" customHeight="1">
      <c r="K921" s="2"/>
    </row>
    <row r="922" spans="11:11" ht="11.1" customHeight="1">
      <c r="K922" s="2"/>
    </row>
    <row r="923" spans="11:11" ht="11.1" customHeight="1">
      <c r="K923" s="2"/>
    </row>
    <row r="924" spans="11:11" ht="11.1" customHeight="1">
      <c r="K924" s="2"/>
    </row>
    <row r="925" spans="11:11" ht="11.1" customHeight="1">
      <c r="K925" s="2"/>
    </row>
    <row r="926" spans="11:11" ht="11.1" customHeight="1">
      <c r="K926" s="2"/>
    </row>
    <row r="927" spans="11:11" ht="11.1" customHeight="1">
      <c r="K927" s="2"/>
    </row>
    <row r="928" spans="11:11" ht="11.1" customHeight="1">
      <c r="K928" s="2"/>
    </row>
    <row r="929" spans="11:11" ht="11.1" customHeight="1">
      <c r="K929" s="2"/>
    </row>
    <row r="930" spans="11:11" ht="11.1" customHeight="1">
      <c r="K930" s="2"/>
    </row>
    <row r="931" spans="11:11" ht="11.1" customHeight="1">
      <c r="K931" s="2"/>
    </row>
    <row r="932" spans="11:11" ht="11.1" customHeight="1">
      <c r="K932" s="2"/>
    </row>
    <row r="933" spans="11:11" ht="11.1" customHeight="1">
      <c r="K933" s="2"/>
    </row>
    <row r="934" spans="11:11" ht="11.1" customHeight="1">
      <c r="K934" s="2"/>
    </row>
    <row r="935" spans="11:11" ht="11.1" customHeight="1">
      <c r="K935" s="2"/>
    </row>
    <row r="936" spans="11:11" ht="11.1" customHeight="1">
      <c r="K936" s="2"/>
    </row>
    <row r="937" spans="11:11" ht="11.1" customHeight="1">
      <c r="K937" s="2"/>
    </row>
    <row r="938" spans="11:11" ht="11.1" customHeight="1">
      <c r="K938" s="2"/>
    </row>
    <row r="939" spans="11:11" ht="11.1" customHeight="1">
      <c r="K939" s="2"/>
    </row>
    <row r="940" spans="11:11" ht="11.1" customHeight="1">
      <c r="K940" s="2"/>
    </row>
    <row r="941" spans="11:11" ht="11.1" customHeight="1">
      <c r="K941" s="2"/>
    </row>
    <row r="942" spans="11:11" ht="11.1" customHeight="1">
      <c r="K942" s="2"/>
    </row>
    <row r="943" spans="11:11" ht="11.1" customHeight="1">
      <c r="K943" s="2"/>
    </row>
    <row r="944" spans="11:11" ht="11.1" customHeight="1">
      <c r="K944" s="2"/>
    </row>
    <row r="945" spans="11:11" ht="11.1" customHeight="1">
      <c r="K945" s="2"/>
    </row>
    <row r="946" spans="11:11" ht="11.1" customHeight="1">
      <c r="K946" s="2"/>
    </row>
    <row r="947" spans="11:11" ht="11.1" customHeight="1">
      <c r="K947" s="2"/>
    </row>
    <row r="948" spans="11:11" ht="11.1" customHeight="1">
      <c r="K948" s="2"/>
    </row>
    <row r="949" spans="11:11" ht="11.1" customHeight="1">
      <c r="K949" s="2"/>
    </row>
    <row r="950" spans="11:11" ht="11.1" customHeight="1">
      <c r="K950" s="2"/>
    </row>
    <row r="951" spans="11:11" ht="11.1" customHeight="1">
      <c r="K951" s="2"/>
    </row>
    <row r="952" spans="11:11" ht="11.1" customHeight="1">
      <c r="K952" s="2"/>
    </row>
    <row r="953" spans="11:11" ht="11.1" customHeight="1">
      <c r="K953" s="2"/>
    </row>
    <row r="954" spans="11:11" ht="11.1" customHeight="1">
      <c r="K954" s="2"/>
    </row>
    <row r="955" spans="11:11" ht="11.1" customHeight="1">
      <c r="K955" s="2"/>
    </row>
    <row r="956" spans="11:11" ht="11.1" customHeight="1">
      <c r="K956" s="2"/>
    </row>
    <row r="957" spans="11:11" ht="11.1" customHeight="1">
      <c r="K957" s="2"/>
    </row>
    <row r="958" spans="11:11" ht="11.1" customHeight="1">
      <c r="K958" s="2"/>
    </row>
    <row r="959" spans="11:11" ht="11.1" customHeight="1">
      <c r="K959" s="2"/>
    </row>
    <row r="960" spans="11:11" ht="11.1" customHeight="1">
      <c r="K960" s="2"/>
    </row>
    <row r="961" spans="11:11" ht="11.1" customHeight="1">
      <c r="K961" s="2"/>
    </row>
    <row r="962" spans="11:11" ht="11.1" customHeight="1">
      <c r="K962" s="2"/>
    </row>
    <row r="963" spans="11:11" ht="11.1" customHeight="1">
      <c r="K963" s="2"/>
    </row>
    <row r="964" spans="11:11" ht="11.1" customHeight="1">
      <c r="K964" s="2"/>
    </row>
    <row r="965" spans="11:11" ht="11.1" customHeight="1">
      <c r="K965" s="2"/>
    </row>
    <row r="966" spans="11:11" ht="11.1" customHeight="1">
      <c r="K966" s="2"/>
    </row>
    <row r="967" spans="11:11" ht="11.1" customHeight="1">
      <c r="K967" s="2"/>
    </row>
    <row r="968" spans="11:11" ht="11.1" customHeight="1">
      <c r="K968" s="2"/>
    </row>
    <row r="969" spans="11:11" ht="11.1" customHeight="1">
      <c r="K969" s="2"/>
    </row>
    <row r="970" spans="11:11" ht="11.1" customHeight="1">
      <c r="K970" s="2"/>
    </row>
    <row r="971" spans="11:11" ht="11.1" customHeight="1">
      <c r="K971" s="2"/>
    </row>
    <row r="972" spans="11:11" ht="11.1" customHeight="1">
      <c r="K972" s="2"/>
    </row>
    <row r="973" spans="11:11" ht="11.1" customHeight="1">
      <c r="K973" s="2"/>
    </row>
    <row r="974" spans="11:11" ht="11.1" customHeight="1">
      <c r="K974" s="2"/>
    </row>
  </sheetData>
  <sheetCalcPr fullCalcOnLoad="1"/>
  <mergeCells count="20">
    <mergeCell ref="CL35:CN35"/>
    <mergeCell ref="CL26:CN26"/>
    <mergeCell ref="CL31:CN31"/>
    <mergeCell ref="CL32:CN32"/>
    <mergeCell ref="CV8:CV13"/>
    <mergeCell ref="CU8:CU13"/>
    <mergeCell ref="CT8:CT13"/>
    <mergeCell ref="CS8:CS13"/>
    <mergeCell ref="CR8:CR13"/>
    <mergeCell ref="CQ8:CQ13"/>
    <mergeCell ref="CL43:CN50"/>
    <mergeCell ref="CL61:CN61"/>
    <mergeCell ref="CL66:CN66"/>
    <mergeCell ref="CL67:CN67"/>
    <mergeCell ref="CL70:CN70"/>
    <mergeCell ref="CN4:CP4"/>
    <mergeCell ref="CN6:CP6"/>
    <mergeCell ref="CP8:CP13"/>
    <mergeCell ref="CO8:CO13"/>
    <mergeCell ref="CL8:CN1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CC"/>
  </sheetPr>
  <dimension ref="A2:BM159"/>
  <sheetViews>
    <sheetView showGridLines="0" view="pageBreakPreview" topLeftCell="B4" zoomScale="80" zoomScaleSheetLayoutView="80" workbookViewId="0">
      <selection activeCell="E105" sqref="E105:T105"/>
    </sheetView>
  </sheetViews>
  <sheetFormatPr defaultColWidth="2.7109375" defaultRowHeight="12.95" customHeight="1"/>
  <cols>
    <col min="1" max="1" width="5.7109375" style="299" customWidth="1"/>
    <col min="2" max="2" width="6.5703125" style="299" customWidth="1"/>
    <col min="3" max="3" width="2.7109375" style="298" customWidth="1"/>
    <col min="4" max="10" width="2.7109375" style="299" customWidth="1"/>
    <col min="11" max="11" width="4.28515625" style="299" customWidth="1"/>
    <col min="12" max="12" width="2" style="299" customWidth="1"/>
    <col min="13" max="14" width="2.42578125" style="299" customWidth="1"/>
    <col min="15" max="17" width="2.7109375" style="299" customWidth="1"/>
    <col min="18" max="20" width="2.42578125" style="299" customWidth="1"/>
    <col min="21" max="25" width="2.7109375" style="299" customWidth="1"/>
    <col min="26" max="26" width="1.28515625" style="299" customWidth="1"/>
    <col min="27" max="39" width="2.7109375" style="299" customWidth="1"/>
    <col min="40" max="40" width="1.7109375" style="299" customWidth="1"/>
    <col min="41" max="43" width="2.7109375" style="300" customWidth="1"/>
    <col min="44" max="16384" width="2.7109375" style="299"/>
  </cols>
  <sheetData>
    <row r="2" spans="3:56" ht="65.099999999999994" customHeight="1"/>
    <row r="3" spans="3:56" s="300" customFormat="1" ht="20.100000000000001" customHeight="1">
      <c r="C3" s="2168" t="s">
        <v>2209</v>
      </c>
      <c r="D3" s="2169"/>
      <c r="E3" s="2169"/>
      <c r="F3" s="2169"/>
      <c r="G3" s="2169"/>
      <c r="H3" s="2169"/>
      <c r="I3" s="2169"/>
      <c r="J3" s="2169"/>
      <c r="K3" s="2169"/>
      <c r="L3" s="1154"/>
      <c r="M3" s="1155"/>
      <c r="N3" s="1155"/>
      <c r="O3" s="1155"/>
      <c r="P3" s="1155"/>
      <c r="Q3" s="1155"/>
      <c r="R3" s="301"/>
      <c r="S3" s="301"/>
      <c r="T3" s="301"/>
      <c r="U3" s="301"/>
      <c r="V3" s="301"/>
      <c r="W3" s="301"/>
      <c r="X3" s="301"/>
      <c r="Y3" s="301"/>
      <c r="Z3" s="301"/>
      <c r="AA3" s="301"/>
      <c r="AB3" s="301"/>
      <c r="AC3" s="301"/>
    </row>
    <row r="4" spans="3:56" s="300" customFormat="1" ht="9" customHeight="1">
      <c r="C4" s="302"/>
      <c r="O4" s="303"/>
      <c r="P4" s="303"/>
      <c r="Q4" s="304"/>
      <c r="R4" s="304"/>
      <c r="S4" s="304"/>
      <c r="T4" s="304"/>
      <c r="U4" s="304"/>
      <c r="V4" s="304"/>
      <c r="W4" s="304"/>
      <c r="X4" s="305"/>
      <c r="Y4" s="304"/>
      <c r="AJ4" s="306"/>
      <c r="AK4" s="306"/>
      <c r="AL4" s="306"/>
      <c r="AM4" s="306"/>
      <c r="AO4" s="302"/>
      <c r="AP4" s="302"/>
    </row>
    <row r="5" spans="3:56" s="758" customFormat="1" ht="18" customHeight="1">
      <c r="C5" s="2054" t="s">
        <v>2210</v>
      </c>
      <c r="D5" s="2055"/>
      <c r="E5" s="2055"/>
      <c r="F5" s="2055"/>
      <c r="G5" s="2055"/>
      <c r="H5" s="2055"/>
      <c r="I5" s="2055"/>
      <c r="J5" s="2055"/>
      <c r="K5" s="2055"/>
      <c r="L5" s="2055"/>
      <c r="M5" s="2055"/>
      <c r="N5" s="2055"/>
      <c r="O5" s="2055"/>
      <c r="P5" s="2055"/>
      <c r="Q5" s="2055"/>
      <c r="R5" s="2055"/>
      <c r="S5" s="2055"/>
      <c r="T5" s="2055"/>
      <c r="U5" s="2055"/>
      <c r="V5" s="2055"/>
      <c r="W5" s="2055"/>
      <c r="X5" s="2055"/>
      <c r="Y5" s="2055"/>
      <c r="Z5" s="2055"/>
      <c r="AA5" s="2055"/>
      <c r="AB5" s="2055"/>
      <c r="AC5" s="2055"/>
      <c r="AD5" s="2055"/>
      <c r="AE5" s="2055"/>
      <c r="AF5" s="2055"/>
      <c r="AG5" s="2055"/>
      <c r="AH5" s="2055"/>
      <c r="AI5" s="2055"/>
      <c r="AJ5" s="2055"/>
      <c r="AK5" s="2055"/>
      <c r="AL5" s="2055"/>
      <c r="AM5" s="2055"/>
      <c r="AN5" s="2056"/>
      <c r="AO5" s="756"/>
      <c r="AP5" s="756"/>
      <c r="AQ5" s="757"/>
    </row>
    <row r="6" spans="3:56" s="300" customFormat="1" ht="3.95" customHeight="1">
      <c r="C6" s="310"/>
      <c r="D6" s="311"/>
      <c r="F6" s="307"/>
      <c r="G6" s="307"/>
      <c r="H6" s="307"/>
      <c r="I6" s="307"/>
      <c r="J6" s="307"/>
      <c r="K6" s="307"/>
      <c r="L6" s="312"/>
      <c r="O6" s="313"/>
      <c r="R6" s="314"/>
      <c r="S6" s="311"/>
      <c r="T6" s="311"/>
      <c r="X6" s="302"/>
      <c r="Y6" s="302"/>
      <c r="Z6" s="312"/>
      <c r="AE6" s="314"/>
      <c r="AF6" s="311"/>
      <c r="AG6" s="813"/>
      <c r="AH6" s="813"/>
      <c r="AI6" s="813"/>
      <c r="AJ6" s="813"/>
      <c r="AK6" s="304"/>
      <c r="AL6" s="304"/>
      <c r="AM6" s="377"/>
      <c r="AN6" s="835"/>
      <c r="AO6" s="302"/>
      <c r="AP6" s="302"/>
    </row>
    <row r="7" spans="3:56" s="319" customFormat="1" ht="14.1" customHeight="1">
      <c r="C7" s="354" t="s">
        <v>1770</v>
      </c>
      <c r="D7" s="318" t="str">
        <f>+Entry!B16</f>
        <v>Calon Debitur</v>
      </c>
      <c r="E7" s="759"/>
      <c r="F7" s="759"/>
      <c r="G7" s="759"/>
      <c r="H7" s="760"/>
      <c r="I7" s="760"/>
      <c r="J7" s="317"/>
      <c r="K7" s="760" t="s">
        <v>5</v>
      </c>
      <c r="L7" s="761" t="str">
        <f>+Entry!L16</f>
        <v>PT. XYZ</v>
      </c>
      <c r="N7" s="762"/>
      <c r="O7" s="762"/>
      <c r="P7" s="762"/>
      <c r="Q7" s="762"/>
      <c r="R7" s="762"/>
      <c r="S7" s="762"/>
      <c r="U7" s="762"/>
      <c r="V7" s="762"/>
      <c r="W7" s="762"/>
      <c r="X7" s="762"/>
      <c r="Y7" s="357"/>
      <c r="Z7" s="317"/>
      <c r="AB7" s="763" t="s">
        <v>2211</v>
      </c>
      <c r="AC7" s="317"/>
      <c r="AD7" s="307"/>
      <c r="AE7" s="301"/>
      <c r="AF7" s="764"/>
      <c r="AG7" s="764"/>
      <c r="AH7" s="764"/>
      <c r="AI7" s="301"/>
      <c r="AJ7" s="301"/>
      <c r="AK7" s="377"/>
      <c r="AL7" s="301"/>
      <c r="AM7" s="766"/>
      <c r="AN7" s="1120"/>
      <c r="AO7" s="422"/>
      <c r="AP7" s="422"/>
      <c r="AQ7" s="422"/>
    </row>
    <row r="8" spans="3:56" s="319" customFormat="1" ht="14.1" customHeight="1">
      <c r="C8" s="354" t="s">
        <v>1770</v>
      </c>
      <c r="D8" s="762" t="s">
        <v>2212</v>
      </c>
      <c r="E8" s="317"/>
      <c r="F8" s="317"/>
      <c r="G8" s="317"/>
      <c r="H8" s="317"/>
      <c r="I8" s="317"/>
      <c r="J8" s="762"/>
      <c r="K8" s="320" t="s">
        <v>5</v>
      </c>
      <c r="L8" s="960" t="str">
        <f>CONCATENATE(Entry!L19,", selaku ",Entry!L20)</f>
        <v>-, selaku -</v>
      </c>
      <c r="M8" s="762"/>
      <c r="N8" s="762"/>
      <c r="O8" s="317"/>
      <c r="P8" s="317"/>
      <c r="Q8" s="317"/>
      <c r="R8" s="317"/>
      <c r="S8" s="317"/>
      <c r="U8" s="317"/>
      <c r="V8" s="317"/>
      <c r="W8" s="317"/>
      <c r="X8" s="317"/>
      <c r="Y8" s="317"/>
      <c r="Z8" s="317"/>
      <c r="AB8" s="357" t="s">
        <v>1770</v>
      </c>
      <c r="AC8" s="305" t="s">
        <v>2509</v>
      </c>
      <c r="AD8" s="317"/>
      <c r="AE8" s="300"/>
      <c r="AF8" s="339" t="s">
        <v>5</v>
      </c>
      <c r="AG8" s="2174" t="s">
        <v>2510</v>
      </c>
      <c r="AH8" s="2175"/>
      <c r="AI8" s="2175"/>
      <c r="AJ8" s="2175"/>
      <c r="AK8" s="2175"/>
      <c r="AL8" s="2175"/>
      <c r="AM8" s="2175"/>
      <c r="AN8" s="2176"/>
      <c r="AO8" s="422"/>
      <c r="AP8" s="422"/>
      <c r="AQ8" s="422"/>
      <c r="AS8" s="762"/>
      <c r="AT8" s="762"/>
      <c r="AU8" s="762"/>
      <c r="AV8" s="762"/>
      <c r="AW8" s="762"/>
      <c r="AX8" s="762"/>
    </row>
    <row r="9" spans="3:56" s="319" customFormat="1" ht="14.1" customHeight="1">
      <c r="C9" s="354" t="s">
        <v>1770</v>
      </c>
      <c r="D9" s="763" t="s">
        <v>2213</v>
      </c>
      <c r="E9" s="317"/>
      <c r="F9" s="317"/>
      <c r="G9" s="317"/>
      <c r="H9" s="317"/>
      <c r="I9" s="317"/>
      <c r="J9" s="317"/>
      <c r="K9" s="320" t="s">
        <v>5</v>
      </c>
      <c r="L9" s="357" t="s">
        <v>1770</v>
      </c>
      <c r="M9" s="311" t="s">
        <v>1862</v>
      </c>
      <c r="N9" s="301"/>
      <c r="O9" s="307"/>
      <c r="P9" s="765"/>
      <c r="Q9" s="767"/>
      <c r="R9" s="313" t="s">
        <v>5</v>
      </c>
      <c r="S9" s="305" t="str">
        <f>Entry!L18</f>
        <v>Dihuni</v>
      </c>
      <c r="U9" s="317"/>
      <c r="V9" s="317"/>
      <c r="W9" s="317"/>
      <c r="X9" s="317"/>
      <c r="Y9" s="317"/>
      <c r="Z9" s="317"/>
      <c r="AB9" s="357" t="s">
        <v>1770</v>
      </c>
      <c r="AC9" s="305" t="s">
        <v>2511</v>
      </c>
      <c r="AD9" s="317"/>
      <c r="AE9" s="300"/>
      <c r="AF9" s="339" t="s">
        <v>5</v>
      </c>
      <c r="AG9" s="2174" t="s">
        <v>1177</v>
      </c>
      <c r="AH9" s="2175"/>
      <c r="AI9" s="2175"/>
      <c r="AJ9" s="2175"/>
      <c r="AK9" s="2175"/>
      <c r="AL9" s="2175"/>
      <c r="AM9" s="2175"/>
      <c r="AN9" s="2176"/>
      <c r="AO9" s="422"/>
      <c r="AP9" s="422"/>
    </row>
    <row r="10" spans="3:56" s="309" customFormat="1" ht="14.1" customHeight="1">
      <c r="C10" s="768"/>
      <c r="D10" s="307"/>
      <c r="E10" s="307"/>
      <c r="F10" s="307"/>
      <c r="G10" s="307"/>
      <c r="H10" s="307"/>
      <c r="I10" s="307"/>
      <c r="J10" s="307"/>
      <c r="K10" s="307"/>
      <c r="L10" s="357" t="s">
        <v>1770</v>
      </c>
      <c r="M10" s="311" t="s">
        <v>2214</v>
      </c>
      <c r="N10" s="314"/>
      <c r="O10" s="300"/>
      <c r="P10" s="304"/>
      <c r="Q10" s="339"/>
      <c r="R10" s="313" t="s">
        <v>5</v>
      </c>
      <c r="S10" s="305" t="str">
        <f>Entry!L21</f>
        <v>-</v>
      </c>
      <c r="U10" s="307"/>
      <c r="V10" s="307"/>
      <c r="W10" s="307"/>
      <c r="X10" s="307"/>
      <c r="Y10" s="307"/>
      <c r="Z10" s="307"/>
      <c r="AB10" s="357" t="s">
        <v>1770</v>
      </c>
      <c r="AC10" s="305" t="s">
        <v>2512</v>
      </c>
      <c r="AD10" s="307"/>
      <c r="AE10" s="304"/>
      <c r="AF10" s="339" t="s">
        <v>5</v>
      </c>
      <c r="AG10" s="2174" t="s">
        <v>2514</v>
      </c>
      <c r="AH10" s="2175"/>
      <c r="AI10" s="2175"/>
      <c r="AJ10" s="2175"/>
      <c r="AK10" s="2175"/>
      <c r="AL10" s="2175"/>
      <c r="AM10" s="2175"/>
      <c r="AN10" s="2176"/>
      <c r="AO10" s="422"/>
      <c r="AP10" s="422"/>
    </row>
    <row r="11" spans="3:56" ht="14.1" customHeight="1">
      <c r="C11" s="769"/>
      <c r="D11" s="300"/>
      <c r="E11" s="300"/>
      <c r="F11" s="300"/>
      <c r="G11" s="300"/>
      <c r="H11" s="300"/>
      <c r="I11" s="300"/>
      <c r="J11" s="300"/>
      <c r="K11" s="300"/>
      <c r="L11" s="357" t="s">
        <v>1770</v>
      </c>
      <c r="M11" s="305" t="s">
        <v>1866</v>
      </c>
      <c r="N11" s="314"/>
      <c r="O11" s="300"/>
      <c r="P11" s="304"/>
      <c r="Q11" s="339"/>
      <c r="R11" s="313" t="s">
        <v>5</v>
      </c>
      <c r="S11" s="305" t="str">
        <f>Entry!L22</f>
        <v>-</v>
      </c>
      <c r="U11" s="300"/>
      <c r="V11" s="300"/>
      <c r="W11" s="300"/>
      <c r="X11" s="300"/>
      <c r="Y11" s="300"/>
      <c r="Z11" s="300"/>
      <c r="AB11" s="357" t="s">
        <v>1770</v>
      </c>
      <c r="AC11" s="305" t="s">
        <v>2513</v>
      </c>
      <c r="AD11" s="300"/>
      <c r="AE11" s="304"/>
      <c r="AF11" s="339" t="s">
        <v>5</v>
      </c>
      <c r="AG11" s="2174" t="s">
        <v>1177</v>
      </c>
      <c r="AH11" s="2175"/>
      <c r="AI11" s="2175"/>
      <c r="AJ11" s="2175"/>
      <c r="AK11" s="2175"/>
      <c r="AL11" s="2175"/>
      <c r="AM11" s="2175"/>
      <c r="AN11" s="2176"/>
      <c r="AO11" s="422"/>
      <c r="AP11" s="422"/>
    </row>
    <row r="12" spans="3:56" ht="3.95" customHeight="1">
      <c r="C12" s="332"/>
      <c r="D12" s="333"/>
      <c r="E12" s="334"/>
      <c r="F12" s="334"/>
      <c r="G12" s="334"/>
      <c r="H12" s="334"/>
      <c r="I12" s="334"/>
      <c r="J12" s="335"/>
      <c r="K12" s="334"/>
      <c r="L12" s="334"/>
      <c r="M12" s="334"/>
      <c r="N12" s="334"/>
      <c r="O12" s="334"/>
      <c r="P12" s="334"/>
      <c r="Q12" s="334"/>
      <c r="R12" s="334"/>
      <c r="S12" s="334"/>
      <c r="T12" s="334"/>
      <c r="U12" s="334"/>
      <c r="V12" s="334"/>
      <c r="W12" s="334"/>
      <c r="X12" s="334"/>
      <c r="Y12" s="336"/>
      <c r="Z12" s="336"/>
      <c r="AA12" s="336"/>
      <c r="AB12" s="336"/>
      <c r="AC12" s="336"/>
      <c r="AD12" s="336"/>
      <c r="AE12" s="336"/>
      <c r="AF12" s="336"/>
      <c r="AG12" s="334"/>
      <c r="AH12" s="334"/>
      <c r="AI12" s="334"/>
      <c r="AJ12" s="334"/>
      <c r="AK12" s="334"/>
      <c r="AL12" s="334"/>
      <c r="AM12" s="334"/>
      <c r="AN12" s="1148"/>
      <c r="AO12" s="302"/>
      <c r="AP12" s="302"/>
    </row>
    <row r="13" spans="3:56" ht="8.1" customHeight="1">
      <c r="C13" s="302"/>
      <c r="D13" s="300"/>
      <c r="E13" s="300"/>
      <c r="F13" s="300"/>
      <c r="G13" s="300"/>
      <c r="H13" s="300"/>
      <c r="I13" s="300"/>
      <c r="J13" s="300"/>
      <c r="K13" s="300"/>
      <c r="L13" s="300"/>
      <c r="M13" s="300"/>
      <c r="N13" s="300"/>
      <c r="O13" s="300"/>
      <c r="P13" s="300"/>
      <c r="Q13" s="300"/>
      <c r="R13" s="300"/>
      <c r="S13" s="300"/>
      <c r="T13" s="300"/>
      <c r="U13" s="300"/>
      <c r="V13" s="300"/>
      <c r="W13" s="300"/>
      <c r="X13" s="300"/>
      <c r="Y13" s="300"/>
      <c r="Z13" s="300"/>
      <c r="AA13" s="770"/>
      <c r="AB13" s="770"/>
      <c r="AC13" s="770"/>
      <c r="AD13" s="770"/>
      <c r="AE13" s="770"/>
      <c r="AF13" s="770"/>
      <c r="AG13" s="770"/>
      <c r="AH13" s="770"/>
      <c r="AI13" s="770"/>
      <c r="AJ13" s="770"/>
      <c r="AK13" s="770"/>
      <c r="AL13" s="770"/>
      <c r="AM13" s="770"/>
      <c r="AN13" s="770"/>
      <c r="AO13" s="299"/>
      <c r="AP13" s="299"/>
      <c r="AQ13" s="299"/>
      <c r="AR13" s="771"/>
      <c r="AS13" s="772"/>
      <c r="AT13" s="772"/>
      <c r="AU13" s="772"/>
      <c r="AV13" s="772"/>
      <c r="AW13" s="772"/>
      <c r="AX13" s="772"/>
      <c r="AY13" s="772"/>
    </row>
    <row r="14" spans="3:56" s="304" customFormat="1" ht="8.1" customHeight="1">
      <c r="C14" s="2155" t="s">
        <v>2215</v>
      </c>
      <c r="D14" s="2156"/>
      <c r="E14" s="2156"/>
      <c r="F14" s="2156"/>
      <c r="G14" s="2156"/>
      <c r="H14" s="2156"/>
      <c r="I14" s="2156"/>
      <c r="J14" s="2156"/>
      <c r="K14" s="2156"/>
      <c r="L14" s="2156"/>
      <c r="M14" s="2156"/>
      <c r="N14" s="2156"/>
      <c r="O14" s="2156"/>
      <c r="P14" s="2156"/>
      <c r="Q14" s="2156"/>
      <c r="R14" s="2156"/>
      <c r="S14" s="2156"/>
      <c r="T14" s="2156"/>
      <c r="U14" s="2156"/>
      <c r="V14" s="2156"/>
      <c r="W14" s="2156"/>
      <c r="X14" s="2156"/>
      <c r="Y14" s="2157"/>
      <c r="Z14" s="773"/>
      <c r="AA14" s="2181" t="s">
        <v>2216</v>
      </c>
      <c r="AB14" s="2182"/>
      <c r="AC14" s="2182"/>
      <c r="AD14" s="2182"/>
      <c r="AE14" s="2182"/>
      <c r="AF14" s="2182"/>
      <c r="AG14" s="2182"/>
      <c r="AH14" s="2182"/>
      <c r="AI14" s="2182"/>
      <c r="AJ14" s="2182"/>
      <c r="AK14" s="2182"/>
      <c r="AL14" s="2182"/>
      <c r="AM14" s="2182"/>
      <c r="AN14" s="2183"/>
      <c r="AO14" s="302"/>
      <c r="AP14" s="302"/>
      <c r="AQ14" s="340"/>
      <c r="AR14" s="774"/>
      <c r="AS14" s="774"/>
      <c r="AT14" s="774"/>
      <c r="AU14" s="774"/>
      <c r="AV14" s="774"/>
      <c r="AW14" s="774"/>
      <c r="AX14" s="774"/>
      <c r="AY14" s="774"/>
      <c r="AZ14" s="774"/>
      <c r="BA14" s="774"/>
      <c r="BB14" s="774"/>
      <c r="BC14" s="774"/>
      <c r="BD14" s="774"/>
    </row>
    <row r="15" spans="3:56" s="304" customFormat="1" ht="9" customHeight="1">
      <c r="C15" s="2178"/>
      <c r="D15" s="2179"/>
      <c r="E15" s="2179"/>
      <c r="F15" s="2179"/>
      <c r="G15" s="2179"/>
      <c r="H15" s="2179"/>
      <c r="I15" s="2179"/>
      <c r="J15" s="2179"/>
      <c r="K15" s="2179"/>
      <c r="L15" s="2179"/>
      <c r="M15" s="2179"/>
      <c r="N15" s="2179"/>
      <c r="O15" s="2179"/>
      <c r="P15" s="2179"/>
      <c r="Q15" s="2179"/>
      <c r="R15" s="2179"/>
      <c r="S15" s="2179"/>
      <c r="T15" s="2179"/>
      <c r="U15" s="2179"/>
      <c r="V15" s="2179"/>
      <c r="W15" s="2179"/>
      <c r="X15" s="2179"/>
      <c r="Y15" s="2180"/>
      <c r="Z15" s="773"/>
      <c r="AA15" s="2184"/>
      <c r="AB15" s="2185"/>
      <c r="AC15" s="2185"/>
      <c r="AD15" s="2185"/>
      <c r="AE15" s="2185"/>
      <c r="AF15" s="2185"/>
      <c r="AG15" s="2185"/>
      <c r="AH15" s="2185"/>
      <c r="AI15" s="2185"/>
      <c r="AJ15" s="2185"/>
      <c r="AK15" s="2185"/>
      <c r="AL15" s="2185"/>
      <c r="AM15" s="2185"/>
      <c r="AN15" s="2186"/>
      <c r="AO15" s="302"/>
      <c r="AP15" s="302"/>
      <c r="AQ15" s="340"/>
      <c r="AR15" s="774"/>
      <c r="AS15" s="774"/>
      <c r="AT15" s="774"/>
      <c r="AU15" s="774"/>
      <c r="AV15" s="774"/>
      <c r="AW15" s="774"/>
      <c r="AX15" s="774"/>
      <c r="AY15" s="774"/>
      <c r="AZ15" s="774"/>
      <c r="BA15" s="774"/>
      <c r="BB15" s="774"/>
      <c r="BC15" s="774"/>
      <c r="BD15" s="774"/>
    </row>
    <row r="16" spans="3:56" s="788" customFormat="1" ht="14.1" customHeight="1">
      <c r="C16" s="775"/>
      <c r="D16" s="776"/>
      <c r="E16" s="777"/>
      <c r="F16" s="777"/>
      <c r="G16" s="777"/>
      <c r="H16" s="776"/>
      <c r="I16" s="776"/>
      <c r="J16" s="776"/>
      <c r="K16" s="776"/>
      <c r="L16" s="778"/>
      <c r="M16" s="779"/>
      <c r="N16" s="780"/>
      <c r="O16" s="780"/>
      <c r="P16" s="780"/>
      <c r="Q16" s="780"/>
      <c r="R16" s="780"/>
      <c r="S16" s="776"/>
      <c r="T16" s="776"/>
      <c r="U16" s="776"/>
      <c r="V16" s="776"/>
      <c r="W16" s="776"/>
      <c r="X16" s="776"/>
      <c r="Y16" s="781"/>
      <c r="Z16" s="773"/>
      <c r="AA16" s="782"/>
      <c r="AB16" s="783"/>
      <c r="AC16" s="783"/>
      <c r="AD16" s="783"/>
      <c r="AE16" s="783"/>
      <c r="AF16" s="783"/>
      <c r="AG16" s="783"/>
      <c r="AH16" s="783"/>
      <c r="AI16" s="784" t="s">
        <v>2217</v>
      </c>
      <c r="AJ16" s="785"/>
      <c r="AK16" s="784" t="s">
        <v>2218</v>
      </c>
      <c r="AL16" s="786"/>
      <c r="AM16" s="784" t="s">
        <v>2219</v>
      </c>
      <c r="AN16" s="787"/>
      <c r="AR16" s="774"/>
      <c r="AS16" s="774"/>
      <c r="AT16" s="774"/>
      <c r="AU16" s="774"/>
      <c r="AV16" s="774"/>
      <c r="AW16" s="774"/>
      <c r="AX16" s="774"/>
      <c r="AY16" s="774"/>
      <c r="AZ16" s="774"/>
      <c r="BA16" s="774"/>
      <c r="BB16" s="774"/>
      <c r="BC16" s="774"/>
      <c r="BD16" s="774"/>
    </row>
    <row r="17" spans="3:56" s="788" customFormat="1" ht="6.95" customHeight="1">
      <c r="C17" s="2164" t="s">
        <v>2220</v>
      </c>
      <c r="D17" s="2165"/>
      <c r="E17" s="2165"/>
      <c r="F17" s="2165"/>
      <c r="G17" s="2165"/>
      <c r="H17" s="2128" t="s">
        <v>2499</v>
      </c>
      <c r="I17" s="2166" t="s">
        <v>2221</v>
      </c>
      <c r="J17" s="2166"/>
      <c r="K17" s="2166"/>
      <c r="L17" s="2166"/>
      <c r="M17" s="2166"/>
      <c r="N17" s="2166"/>
      <c r="O17" s="2128" t="s">
        <v>3</v>
      </c>
      <c r="P17" s="2166" t="s">
        <v>2222</v>
      </c>
      <c r="Q17" s="2166"/>
      <c r="R17" s="2166"/>
      <c r="S17" s="2166"/>
      <c r="T17" s="2166"/>
      <c r="U17" s="2128" t="s">
        <v>3</v>
      </c>
      <c r="V17" s="2166" t="s">
        <v>2223</v>
      </c>
      <c r="W17" s="2166"/>
      <c r="X17" s="2166"/>
      <c r="Y17" s="2167"/>
      <c r="Z17" s="773"/>
      <c r="AA17" s="782"/>
      <c r="AB17" s="783"/>
      <c r="AC17" s="783"/>
      <c r="AD17" s="783"/>
      <c r="AE17" s="783"/>
      <c r="AF17" s="783"/>
      <c r="AG17" s="783"/>
      <c r="AH17" s="783"/>
      <c r="AI17" s="774"/>
      <c r="AJ17" s="774"/>
      <c r="AK17" s="774"/>
      <c r="AL17" s="774"/>
      <c r="AM17" s="774"/>
      <c r="AN17" s="1165"/>
      <c r="AR17" s="774"/>
      <c r="AS17" s="774"/>
      <c r="AT17" s="774"/>
      <c r="AU17" s="774"/>
      <c r="AV17" s="774"/>
      <c r="AW17" s="774"/>
      <c r="AX17" s="774"/>
      <c r="AY17" s="774"/>
      <c r="AZ17" s="774"/>
      <c r="BA17" s="774"/>
      <c r="BB17" s="774"/>
      <c r="BC17" s="774"/>
      <c r="BD17" s="774"/>
    </row>
    <row r="18" spans="3:56" s="788" customFormat="1" ht="6.95" customHeight="1">
      <c r="C18" s="2164"/>
      <c r="D18" s="2165"/>
      <c r="E18" s="2165"/>
      <c r="F18" s="2165"/>
      <c r="G18" s="2165"/>
      <c r="H18" s="2129"/>
      <c r="I18" s="2166"/>
      <c r="J18" s="2166"/>
      <c r="K18" s="2166"/>
      <c r="L18" s="2166"/>
      <c r="M18" s="2166"/>
      <c r="N18" s="2166"/>
      <c r="O18" s="2129"/>
      <c r="P18" s="2166"/>
      <c r="Q18" s="2166"/>
      <c r="R18" s="2166"/>
      <c r="S18" s="2166"/>
      <c r="T18" s="2166"/>
      <c r="U18" s="2129"/>
      <c r="V18" s="2166"/>
      <c r="W18" s="2166"/>
      <c r="X18" s="2166"/>
      <c r="Y18" s="2167"/>
      <c r="Z18" s="773"/>
      <c r="AA18" s="782"/>
      <c r="AB18" s="2140" t="s">
        <v>2224</v>
      </c>
      <c r="AC18" s="2140"/>
      <c r="AD18" s="2140"/>
      <c r="AE18" s="2140"/>
      <c r="AF18" s="2140"/>
      <c r="AG18" s="2140"/>
      <c r="AH18" s="2163"/>
      <c r="AI18" s="2128" t="s">
        <v>2499</v>
      </c>
      <c r="AJ18" s="300"/>
      <c r="AK18" s="2128" t="s">
        <v>3</v>
      </c>
      <c r="AL18" s="300"/>
      <c r="AM18" s="2128" t="s">
        <v>3</v>
      </c>
      <c r="AN18" s="787"/>
      <c r="AR18" s="774"/>
      <c r="AS18" s="774"/>
      <c r="AT18" s="774"/>
      <c r="AU18" s="774"/>
      <c r="AV18" s="774"/>
      <c r="AW18" s="774"/>
      <c r="AX18" s="774"/>
      <c r="AY18" s="774"/>
      <c r="AZ18" s="774"/>
      <c r="BA18" s="774"/>
      <c r="BB18" s="774"/>
      <c r="BC18" s="774"/>
      <c r="BD18" s="774"/>
    </row>
    <row r="19" spans="3:56" s="788" customFormat="1" ht="6.95" customHeight="1">
      <c r="C19" s="2172" t="s">
        <v>2225</v>
      </c>
      <c r="D19" s="2173"/>
      <c r="E19" s="2173"/>
      <c r="F19" s="2173"/>
      <c r="G19" s="2173"/>
      <c r="H19" s="776"/>
      <c r="I19" s="776"/>
      <c r="J19" s="776"/>
      <c r="K19" s="778"/>
      <c r="L19" s="778"/>
      <c r="M19" s="779"/>
      <c r="N19" s="780"/>
      <c r="O19" s="780"/>
      <c r="P19" s="780"/>
      <c r="Q19" s="780"/>
      <c r="R19" s="780"/>
      <c r="S19" s="776"/>
      <c r="T19" s="776"/>
      <c r="U19" s="776"/>
      <c r="V19" s="776"/>
      <c r="W19" s="776"/>
      <c r="X19" s="776"/>
      <c r="Y19" s="781"/>
      <c r="Z19" s="773"/>
      <c r="AA19" s="782"/>
      <c r="AB19" s="2140"/>
      <c r="AC19" s="2140"/>
      <c r="AD19" s="2140"/>
      <c r="AE19" s="2140"/>
      <c r="AF19" s="2140"/>
      <c r="AG19" s="2140"/>
      <c r="AH19" s="2163"/>
      <c r="AI19" s="2129"/>
      <c r="AJ19" s="300"/>
      <c r="AK19" s="2129"/>
      <c r="AL19" s="300"/>
      <c r="AM19" s="2129"/>
      <c r="AN19" s="787"/>
      <c r="AR19" s="774"/>
      <c r="AW19" s="774"/>
      <c r="AX19" s="774"/>
      <c r="AY19" s="774"/>
      <c r="AZ19" s="774"/>
      <c r="BA19" s="774"/>
      <c r="BB19" s="774"/>
      <c r="BC19" s="774"/>
      <c r="BD19" s="774"/>
    </row>
    <row r="20" spans="3:56" s="788" customFormat="1" ht="6.95" customHeight="1">
      <c r="C20" s="2172"/>
      <c r="D20" s="2173"/>
      <c r="E20" s="2173"/>
      <c r="F20" s="2173"/>
      <c r="G20" s="2173"/>
      <c r="Y20" s="787"/>
      <c r="Z20" s="773"/>
      <c r="AA20" s="782"/>
      <c r="AB20" s="2125" t="s">
        <v>2226</v>
      </c>
      <c r="AC20" s="2125"/>
      <c r="AD20" s="2125"/>
      <c r="AE20" s="2125"/>
      <c r="AF20" s="2125"/>
      <c r="AG20" s="2125"/>
      <c r="AH20" s="2125"/>
      <c r="AI20" s="300"/>
      <c r="AJ20" s="300"/>
      <c r="AK20" s="300"/>
      <c r="AL20" s="300"/>
      <c r="AM20" s="300"/>
      <c r="AN20" s="1166"/>
      <c r="AR20" s="774"/>
      <c r="BC20" s="774"/>
      <c r="BD20" s="774"/>
    </row>
    <row r="21" spans="3:56" s="788" customFormat="1" ht="6.95" customHeight="1">
      <c r="C21" s="2172" t="s">
        <v>2227</v>
      </c>
      <c r="D21" s="2173"/>
      <c r="E21" s="2173"/>
      <c r="F21" s="2173"/>
      <c r="G21" s="2177"/>
      <c r="H21" s="2128" t="s">
        <v>3</v>
      </c>
      <c r="I21" s="2170" t="s">
        <v>2228</v>
      </c>
      <c r="J21" s="2014"/>
      <c r="K21" s="2014"/>
      <c r="L21" s="2014"/>
      <c r="M21" s="2014"/>
      <c r="N21" s="2171"/>
      <c r="O21" s="2128" t="s">
        <v>2499</v>
      </c>
      <c r="P21" s="2170" t="s">
        <v>2229</v>
      </c>
      <c r="Q21" s="2014"/>
      <c r="R21" s="2014"/>
      <c r="S21" s="2014"/>
      <c r="T21" s="2171"/>
      <c r="U21" s="2128" t="s">
        <v>3</v>
      </c>
      <c r="V21" s="2170" t="s">
        <v>2230</v>
      </c>
      <c r="W21" s="2014"/>
      <c r="X21" s="2014"/>
      <c r="Y21" s="2171"/>
      <c r="Z21" s="773"/>
      <c r="AA21" s="782"/>
      <c r="AB21" s="2125"/>
      <c r="AC21" s="2125"/>
      <c r="AD21" s="2125"/>
      <c r="AE21" s="2125"/>
      <c r="AF21" s="2125"/>
      <c r="AG21" s="2125"/>
      <c r="AH21" s="2125"/>
      <c r="AI21" s="774"/>
      <c r="AJ21" s="774"/>
      <c r="AK21" s="774"/>
      <c r="AL21" s="774"/>
      <c r="AM21" s="774"/>
      <c r="AN21" s="787"/>
      <c r="AR21" s="774"/>
      <c r="BC21" s="774"/>
      <c r="BD21" s="774"/>
    </row>
    <row r="22" spans="3:56" s="788" customFormat="1" ht="6.95" customHeight="1">
      <c r="C22" s="2172"/>
      <c r="D22" s="2173"/>
      <c r="E22" s="2173"/>
      <c r="F22" s="2173"/>
      <c r="G22" s="2177"/>
      <c r="H22" s="2129"/>
      <c r="I22" s="2170"/>
      <c r="J22" s="2014"/>
      <c r="K22" s="2014"/>
      <c r="L22" s="2014"/>
      <c r="M22" s="2014"/>
      <c r="N22" s="2171"/>
      <c r="O22" s="2129"/>
      <c r="P22" s="2170"/>
      <c r="Q22" s="2014"/>
      <c r="R22" s="2014"/>
      <c r="S22" s="2014"/>
      <c r="T22" s="2171"/>
      <c r="U22" s="2129"/>
      <c r="V22" s="2170"/>
      <c r="W22" s="2014"/>
      <c r="X22" s="2014"/>
      <c r="Y22" s="2171"/>
      <c r="Z22" s="773"/>
      <c r="AA22" s="782"/>
      <c r="AI22" s="774"/>
      <c r="AJ22" s="774"/>
      <c r="AK22" s="774"/>
      <c r="AL22" s="774"/>
      <c r="AM22" s="774"/>
      <c r="AN22" s="787"/>
      <c r="AR22" s="774"/>
      <c r="BC22" s="774"/>
      <c r="BD22" s="774"/>
    </row>
    <row r="23" spans="3:56" s="788" customFormat="1" ht="6.95" customHeight="1">
      <c r="C23" s="2172" t="s">
        <v>2231</v>
      </c>
      <c r="D23" s="2173"/>
      <c r="E23" s="2173"/>
      <c r="F23" s="2173"/>
      <c r="G23" s="2173"/>
      <c r="H23" s="789"/>
      <c r="I23" s="790"/>
      <c r="J23" s="790"/>
      <c r="K23" s="790"/>
      <c r="L23" s="790"/>
      <c r="M23" s="790"/>
      <c r="N23" s="790"/>
      <c r="O23" s="791"/>
      <c r="P23" s="790"/>
      <c r="Q23" s="790"/>
      <c r="R23" s="790"/>
      <c r="S23" s="790"/>
      <c r="T23" s="790"/>
      <c r="U23" s="791"/>
      <c r="V23" s="790"/>
      <c r="W23" s="792"/>
      <c r="X23" s="776"/>
      <c r="Y23" s="781"/>
      <c r="Z23" s="773"/>
      <c r="AA23" s="782"/>
      <c r="AB23" s="2140" t="s">
        <v>2232</v>
      </c>
      <c r="AC23" s="2140"/>
      <c r="AD23" s="2140"/>
      <c r="AE23" s="2140"/>
      <c r="AF23" s="2140"/>
      <c r="AG23" s="2140"/>
      <c r="AH23" s="2163"/>
      <c r="AI23" s="2128" t="s">
        <v>2499</v>
      </c>
      <c r="AJ23" s="300"/>
      <c r="AK23" s="2128" t="s">
        <v>3</v>
      </c>
      <c r="AL23" s="300"/>
      <c r="AM23" s="2128" t="s">
        <v>3</v>
      </c>
      <c r="AN23" s="787"/>
      <c r="AR23" s="774"/>
      <c r="BC23" s="774"/>
      <c r="BD23" s="774"/>
    </row>
    <row r="24" spans="3:56" s="788" customFormat="1" ht="6.95" customHeight="1">
      <c r="C24" s="2172"/>
      <c r="D24" s="2173"/>
      <c r="E24" s="2173"/>
      <c r="F24" s="2173"/>
      <c r="G24" s="2173"/>
      <c r="H24" s="789"/>
      <c r="I24" s="790"/>
      <c r="J24" s="790"/>
      <c r="K24" s="790"/>
      <c r="L24" s="790"/>
      <c r="M24" s="790"/>
      <c r="N24" s="790"/>
      <c r="O24" s="791"/>
      <c r="P24" s="790"/>
      <c r="Q24" s="790"/>
      <c r="R24" s="790"/>
      <c r="S24" s="790"/>
      <c r="T24" s="790"/>
      <c r="U24" s="791"/>
      <c r="V24" s="790"/>
      <c r="W24" s="792"/>
      <c r="X24" s="776"/>
      <c r="Y24" s="781"/>
      <c r="Z24" s="773"/>
      <c r="AA24" s="782"/>
      <c r="AB24" s="2140"/>
      <c r="AC24" s="2140"/>
      <c r="AD24" s="2140"/>
      <c r="AE24" s="2140"/>
      <c r="AF24" s="2140"/>
      <c r="AG24" s="2140"/>
      <c r="AH24" s="2163"/>
      <c r="AI24" s="2129"/>
      <c r="AJ24" s="300"/>
      <c r="AK24" s="2129"/>
      <c r="AL24" s="300"/>
      <c r="AM24" s="2129"/>
      <c r="AN24" s="787"/>
      <c r="AR24" s="774"/>
      <c r="BC24" s="774"/>
      <c r="BD24" s="774"/>
    </row>
    <row r="25" spans="3:56" s="788" customFormat="1" ht="6.95" customHeight="1">
      <c r="C25" s="2164" t="s">
        <v>2233</v>
      </c>
      <c r="D25" s="2165"/>
      <c r="E25" s="2165"/>
      <c r="F25" s="2165"/>
      <c r="G25" s="2165"/>
      <c r="H25" s="2128" t="s">
        <v>3</v>
      </c>
      <c r="I25" s="2166" t="s">
        <v>2234</v>
      </c>
      <c r="J25" s="2166"/>
      <c r="K25" s="2166"/>
      <c r="L25" s="2166"/>
      <c r="M25" s="2166"/>
      <c r="N25" s="2166"/>
      <c r="O25" s="2128" t="s">
        <v>2499</v>
      </c>
      <c r="P25" s="2166" t="s">
        <v>2235</v>
      </c>
      <c r="Q25" s="2166"/>
      <c r="R25" s="2166"/>
      <c r="S25" s="2166"/>
      <c r="T25" s="2166"/>
      <c r="U25" s="2128" t="s">
        <v>3</v>
      </c>
      <c r="V25" s="2166" t="s">
        <v>2236</v>
      </c>
      <c r="W25" s="2166"/>
      <c r="X25" s="2166"/>
      <c r="Y25" s="2167"/>
      <c r="Z25" s="773"/>
      <c r="AA25" s="782"/>
      <c r="AB25" s="2125" t="s">
        <v>2237</v>
      </c>
      <c r="AC25" s="2125"/>
      <c r="AD25" s="2125"/>
      <c r="AE25" s="2125"/>
      <c r="AF25" s="2125"/>
      <c r="AG25" s="2125"/>
      <c r="AH25" s="2125"/>
      <c r="AI25" s="300"/>
      <c r="AJ25" s="300"/>
      <c r="AK25" s="300"/>
      <c r="AL25" s="300"/>
      <c r="AM25" s="300"/>
      <c r="AN25" s="787"/>
      <c r="AR25" s="774"/>
      <c r="BC25" s="774"/>
      <c r="BD25" s="774"/>
    </row>
    <row r="26" spans="3:56" s="788" customFormat="1" ht="6.95" customHeight="1">
      <c r="C26" s="2164"/>
      <c r="D26" s="2165"/>
      <c r="E26" s="2165"/>
      <c r="F26" s="2165"/>
      <c r="G26" s="2165"/>
      <c r="H26" s="2129"/>
      <c r="I26" s="2166"/>
      <c r="J26" s="2166"/>
      <c r="K26" s="2166"/>
      <c r="L26" s="2166"/>
      <c r="M26" s="2166"/>
      <c r="N26" s="2166"/>
      <c r="O26" s="2129"/>
      <c r="P26" s="2166"/>
      <c r="Q26" s="2166"/>
      <c r="R26" s="2166"/>
      <c r="S26" s="2166"/>
      <c r="T26" s="2166"/>
      <c r="U26" s="2129"/>
      <c r="V26" s="2166"/>
      <c r="W26" s="2166"/>
      <c r="X26" s="2166"/>
      <c r="Y26" s="2167"/>
      <c r="Z26" s="773"/>
      <c r="AA26" s="782"/>
      <c r="AB26" s="2125"/>
      <c r="AC26" s="2125"/>
      <c r="AD26" s="2125"/>
      <c r="AE26" s="2125"/>
      <c r="AF26" s="2125"/>
      <c r="AG26" s="2125"/>
      <c r="AH26" s="2125"/>
      <c r="AI26" s="300"/>
      <c r="AJ26" s="300"/>
      <c r="AK26" s="300"/>
      <c r="AL26" s="300"/>
      <c r="AM26" s="300"/>
      <c r="AN26" s="787"/>
      <c r="AR26" s="774"/>
      <c r="BC26" s="774"/>
      <c r="BD26" s="774"/>
    </row>
    <row r="27" spans="3:56" s="788" customFormat="1" ht="6.95" customHeight="1">
      <c r="C27" s="2172" t="s">
        <v>2231</v>
      </c>
      <c r="D27" s="2173"/>
      <c r="E27" s="2173"/>
      <c r="F27" s="2173"/>
      <c r="G27" s="2173"/>
      <c r="H27" s="789"/>
      <c r="I27" s="790"/>
      <c r="J27" s="790"/>
      <c r="K27" s="790"/>
      <c r="L27" s="790"/>
      <c r="M27" s="790"/>
      <c r="N27" s="790"/>
      <c r="O27" s="791"/>
      <c r="P27" s="790"/>
      <c r="Q27" s="790"/>
      <c r="R27" s="790"/>
      <c r="S27" s="790"/>
      <c r="T27" s="790"/>
      <c r="U27" s="791"/>
      <c r="V27" s="790"/>
      <c r="W27" s="792"/>
      <c r="X27" s="776"/>
      <c r="Y27" s="781"/>
      <c r="Z27" s="773"/>
      <c r="AA27" s="782"/>
      <c r="AI27" s="300"/>
      <c r="AJ27" s="300"/>
      <c r="AK27" s="300"/>
      <c r="AL27" s="300"/>
      <c r="AM27" s="300"/>
      <c r="AN27" s="787"/>
      <c r="AR27" s="774"/>
      <c r="BC27" s="774"/>
      <c r="BD27" s="774"/>
    </row>
    <row r="28" spans="3:56" s="788" customFormat="1" ht="6.95" customHeight="1">
      <c r="C28" s="2172"/>
      <c r="D28" s="2173"/>
      <c r="E28" s="2173"/>
      <c r="F28" s="2173"/>
      <c r="G28" s="2173"/>
      <c r="H28" s="789"/>
      <c r="I28" s="790"/>
      <c r="J28" s="790"/>
      <c r="K28" s="790"/>
      <c r="L28" s="790"/>
      <c r="M28" s="790"/>
      <c r="N28" s="790"/>
      <c r="O28" s="791"/>
      <c r="P28" s="790"/>
      <c r="Q28" s="790"/>
      <c r="R28" s="790"/>
      <c r="S28" s="790"/>
      <c r="T28" s="790"/>
      <c r="U28" s="791"/>
      <c r="V28" s="790"/>
      <c r="W28" s="792"/>
      <c r="X28" s="776"/>
      <c r="Y28" s="781"/>
      <c r="Z28" s="773"/>
      <c r="AA28" s="782"/>
      <c r="AB28" s="2140" t="s">
        <v>2238</v>
      </c>
      <c r="AC28" s="2140"/>
      <c r="AD28" s="2140"/>
      <c r="AE28" s="2140"/>
      <c r="AF28" s="2140"/>
      <c r="AG28" s="2140"/>
      <c r="AH28" s="2163"/>
      <c r="AI28" s="2128" t="s">
        <v>2499</v>
      </c>
      <c r="AJ28" s="300"/>
      <c r="AK28" s="2128" t="s">
        <v>3</v>
      </c>
      <c r="AL28" s="300"/>
      <c r="AM28" s="2128" t="s">
        <v>3</v>
      </c>
      <c r="AN28" s="787"/>
      <c r="AR28" s="774"/>
      <c r="BC28" s="774"/>
      <c r="BD28" s="774"/>
    </row>
    <row r="29" spans="3:56" s="788" customFormat="1" ht="6.95" customHeight="1">
      <c r="C29" s="2172" t="s">
        <v>2239</v>
      </c>
      <c r="D29" s="2173"/>
      <c r="E29" s="2173"/>
      <c r="F29" s="2173"/>
      <c r="G29" s="2173"/>
      <c r="H29" s="2128" t="s">
        <v>3</v>
      </c>
      <c r="I29" s="2014" t="s">
        <v>2240</v>
      </c>
      <c r="J29" s="2014"/>
      <c r="K29" s="2014"/>
      <c r="L29" s="2014"/>
      <c r="M29" s="2014"/>
      <c r="N29" s="2014"/>
      <c r="O29" s="2128" t="s">
        <v>2499</v>
      </c>
      <c r="P29" s="2014" t="s">
        <v>2235</v>
      </c>
      <c r="Q29" s="2014"/>
      <c r="R29" s="2014"/>
      <c r="S29" s="2014"/>
      <c r="T29" s="2014"/>
      <c r="U29" s="2128" t="s">
        <v>3</v>
      </c>
      <c r="V29" s="2014" t="s">
        <v>2241</v>
      </c>
      <c r="W29" s="2014"/>
      <c r="X29" s="2014"/>
      <c r="Y29" s="2171"/>
      <c r="Z29" s="773"/>
      <c r="AA29" s="782"/>
      <c r="AB29" s="2140"/>
      <c r="AC29" s="2140"/>
      <c r="AD29" s="2140"/>
      <c r="AE29" s="2140"/>
      <c r="AF29" s="2140"/>
      <c r="AG29" s="2140"/>
      <c r="AH29" s="2163"/>
      <c r="AI29" s="2129"/>
      <c r="AJ29" s="300"/>
      <c r="AK29" s="2129"/>
      <c r="AL29" s="300"/>
      <c r="AM29" s="2129"/>
      <c r="AN29" s="1166"/>
      <c r="AR29" s="774"/>
      <c r="BC29" s="774"/>
      <c r="BD29" s="774"/>
    </row>
    <row r="30" spans="3:56" s="788" customFormat="1" ht="6.95" customHeight="1">
      <c r="C30" s="2172"/>
      <c r="D30" s="2173"/>
      <c r="E30" s="2173"/>
      <c r="F30" s="2173"/>
      <c r="G30" s="2173"/>
      <c r="H30" s="2129"/>
      <c r="I30" s="2014"/>
      <c r="J30" s="2014"/>
      <c r="K30" s="2014"/>
      <c r="L30" s="2014"/>
      <c r="M30" s="2014"/>
      <c r="N30" s="2014"/>
      <c r="O30" s="2129"/>
      <c r="P30" s="2014"/>
      <c r="Q30" s="2014"/>
      <c r="R30" s="2014"/>
      <c r="S30" s="2014"/>
      <c r="T30" s="2014"/>
      <c r="U30" s="2129"/>
      <c r="V30" s="2014"/>
      <c r="W30" s="2014"/>
      <c r="X30" s="2014"/>
      <c r="Y30" s="2171"/>
      <c r="Z30" s="773"/>
      <c r="AA30" s="782"/>
      <c r="AB30" s="2125" t="s">
        <v>2242</v>
      </c>
      <c r="AC30" s="2125"/>
      <c r="AD30" s="2125"/>
      <c r="AE30" s="2125"/>
      <c r="AF30" s="2125"/>
      <c r="AG30" s="2125"/>
      <c r="AH30" s="2125"/>
      <c r="AI30" s="774"/>
      <c r="AJ30" s="774"/>
      <c r="AK30" s="774"/>
      <c r="AL30" s="774"/>
      <c r="AM30" s="774"/>
      <c r="AN30" s="1166"/>
      <c r="AR30" s="774"/>
      <c r="BC30" s="774"/>
      <c r="BD30" s="774"/>
    </row>
    <row r="31" spans="3:56" s="318" customFormat="1" ht="6.95" customHeight="1">
      <c r="C31" s="2172" t="s">
        <v>2225</v>
      </c>
      <c r="D31" s="2173"/>
      <c r="E31" s="2173"/>
      <c r="F31" s="2173"/>
      <c r="G31" s="2173"/>
      <c r="H31" s="789"/>
      <c r="I31" s="792"/>
      <c r="J31" s="792"/>
      <c r="K31" s="792"/>
      <c r="L31" s="792"/>
      <c r="M31" s="792"/>
      <c r="N31" s="792"/>
      <c r="O31" s="789"/>
      <c r="P31" s="792"/>
      <c r="Q31" s="792"/>
      <c r="R31" s="792"/>
      <c r="S31" s="792"/>
      <c r="T31" s="792"/>
      <c r="U31" s="789"/>
      <c r="V31" s="2014" t="s">
        <v>2243</v>
      </c>
      <c r="W31" s="2014"/>
      <c r="X31" s="2014"/>
      <c r="Y31" s="2171"/>
      <c r="Z31" s="773"/>
      <c r="AA31" s="782"/>
      <c r="AB31" s="2125"/>
      <c r="AC31" s="2125"/>
      <c r="AD31" s="2125"/>
      <c r="AE31" s="2125"/>
      <c r="AF31" s="2125"/>
      <c r="AG31" s="2125"/>
      <c r="AH31" s="2125"/>
      <c r="AI31" s="774"/>
      <c r="AJ31" s="774"/>
      <c r="AK31" s="774"/>
      <c r="AL31" s="774"/>
      <c r="AM31" s="774"/>
      <c r="AN31" s="787"/>
      <c r="AR31" s="774"/>
      <c r="BC31" s="774"/>
      <c r="BD31" s="774"/>
    </row>
    <row r="32" spans="3:56" s="318" customFormat="1" ht="6.95" customHeight="1">
      <c r="C32" s="2172"/>
      <c r="D32" s="2173"/>
      <c r="E32" s="2173"/>
      <c r="F32" s="2173"/>
      <c r="G32" s="2173"/>
      <c r="H32" s="789"/>
      <c r="I32" s="792"/>
      <c r="J32" s="792"/>
      <c r="K32" s="792"/>
      <c r="L32" s="792"/>
      <c r="M32" s="792"/>
      <c r="N32" s="792"/>
      <c r="O32" s="789"/>
      <c r="P32" s="792"/>
      <c r="Q32" s="792"/>
      <c r="R32" s="792"/>
      <c r="S32" s="792"/>
      <c r="T32" s="792"/>
      <c r="U32" s="789"/>
      <c r="V32" s="2014"/>
      <c r="W32" s="2014"/>
      <c r="X32" s="2014"/>
      <c r="Y32" s="2171"/>
      <c r="Z32" s="773"/>
      <c r="AA32" s="782"/>
      <c r="AI32" s="774"/>
      <c r="AJ32" s="774"/>
      <c r="AK32" s="774"/>
      <c r="AL32" s="774"/>
      <c r="AM32" s="774"/>
      <c r="AN32" s="787"/>
      <c r="AR32" s="774"/>
      <c r="BC32" s="774"/>
      <c r="BD32" s="774"/>
    </row>
    <row r="33" spans="3:56" s="788" customFormat="1" ht="3.95" customHeight="1">
      <c r="C33" s="1167"/>
      <c r="D33" s="793"/>
      <c r="E33" s="793"/>
      <c r="F33" s="793"/>
      <c r="G33" s="793"/>
      <c r="H33" s="793"/>
      <c r="I33" s="793"/>
      <c r="J33" s="793"/>
      <c r="K33" s="793"/>
      <c r="L33" s="793"/>
      <c r="M33" s="793"/>
      <c r="N33" s="793"/>
      <c r="O33" s="793"/>
      <c r="P33" s="793"/>
      <c r="Q33" s="793"/>
      <c r="R33" s="793"/>
      <c r="S33" s="793"/>
      <c r="T33" s="793"/>
      <c r="U33" s="793"/>
      <c r="V33" s="793"/>
      <c r="W33" s="793"/>
      <c r="X33" s="793"/>
      <c r="Y33" s="1168"/>
      <c r="Z33" s="773"/>
      <c r="AA33" s="782"/>
      <c r="AB33" s="2140" t="s">
        <v>2244</v>
      </c>
      <c r="AC33" s="2140"/>
      <c r="AD33" s="2140"/>
      <c r="AE33" s="2140"/>
      <c r="AF33" s="2140"/>
      <c r="AG33" s="2140"/>
      <c r="AH33" s="2163"/>
      <c r="AI33" s="2128" t="s">
        <v>2499</v>
      </c>
      <c r="AJ33" s="300"/>
      <c r="AK33" s="2128" t="s">
        <v>3</v>
      </c>
      <c r="AL33" s="300"/>
      <c r="AM33" s="2128" t="s">
        <v>3</v>
      </c>
      <c r="AN33" s="787"/>
      <c r="AR33" s="774"/>
      <c r="BC33" s="774"/>
      <c r="BD33" s="774"/>
    </row>
    <row r="34" spans="3:56" s="788" customFormat="1" ht="9.9499999999999993" customHeight="1">
      <c r="Z34" s="773"/>
      <c r="AA34" s="782"/>
      <c r="AB34" s="2140"/>
      <c r="AC34" s="2140"/>
      <c r="AD34" s="2140"/>
      <c r="AE34" s="2140"/>
      <c r="AF34" s="2140"/>
      <c r="AG34" s="2140"/>
      <c r="AH34" s="2163"/>
      <c r="AI34" s="2129"/>
      <c r="AJ34" s="300"/>
      <c r="AK34" s="2129"/>
      <c r="AL34" s="300"/>
      <c r="AM34" s="2129"/>
      <c r="AN34" s="787"/>
      <c r="AR34" s="774"/>
      <c r="BC34" s="774"/>
      <c r="BD34" s="774"/>
    </row>
    <row r="35" spans="3:56" s="788" customFormat="1" ht="6.75" customHeight="1">
      <c r="C35" s="2155" t="s">
        <v>2245</v>
      </c>
      <c r="D35" s="2156"/>
      <c r="E35" s="2156"/>
      <c r="F35" s="2156"/>
      <c r="G35" s="2156"/>
      <c r="H35" s="2156"/>
      <c r="I35" s="2156"/>
      <c r="J35" s="2156"/>
      <c r="K35" s="2156"/>
      <c r="L35" s="2156"/>
      <c r="M35" s="2156"/>
      <c r="N35" s="2156"/>
      <c r="O35" s="2156"/>
      <c r="P35" s="2156"/>
      <c r="Q35" s="2156"/>
      <c r="R35" s="2156"/>
      <c r="S35" s="2156"/>
      <c r="T35" s="2156"/>
      <c r="U35" s="2156"/>
      <c r="V35" s="2156"/>
      <c r="W35" s="2156"/>
      <c r="X35" s="2156"/>
      <c r="Y35" s="2157"/>
      <c r="Z35" s="773"/>
      <c r="AA35" s="782"/>
      <c r="AB35" s="2125" t="s">
        <v>2246</v>
      </c>
      <c r="AC35" s="2125"/>
      <c r="AD35" s="2125"/>
      <c r="AE35" s="2125"/>
      <c r="AF35" s="2125"/>
      <c r="AG35" s="2125"/>
      <c r="AH35" s="2125"/>
      <c r="AI35" s="300"/>
      <c r="AJ35" s="300"/>
      <c r="AK35" s="300"/>
      <c r="AL35" s="300"/>
      <c r="AM35" s="300"/>
      <c r="AN35" s="787"/>
      <c r="AR35" s="774"/>
      <c r="BC35" s="774"/>
      <c r="BD35" s="774"/>
    </row>
    <row r="36" spans="3:56" s="788" customFormat="1" ht="6.75" customHeight="1">
      <c r="C36" s="2158"/>
      <c r="D36" s="2159"/>
      <c r="E36" s="2159"/>
      <c r="F36" s="2159"/>
      <c r="G36" s="2159"/>
      <c r="H36" s="2159"/>
      <c r="I36" s="2159"/>
      <c r="J36" s="2159"/>
      <c r="K36" s="2159"/>
      <c r="L36" s="2159"/>
      <c r="M36" s="2159"/>
      <c r="N36" s="2159"/>
      <c r="O36" s="2159"/>
      <c r="P36" s="2159"/>
      <c r="Q36" s="2159"/>
      <c r="R36" s="2159"/>
      <c r="S36" s="2159"/>
      <c r="T36" s="2159"/>
      <c r="U36" s="2159"/>
      <c r="V36" s="2159"/>
      <c r="W36" s="2159"/>
      <c r="X36" s="2159"/>
      <c r="Y36" s="2160"/>
      <c r="Z36" s="773"/>
      <c r="AA36" s="782"/>
      <c r="AB36" s="2125"/>
      <c r="AC36" s="2125"/>
      <c r="AD36" s="2125"/>
      <c r="AE36" s="2125"/>
      <c r="AF36" s="2125"/>
      <c r="AG36" s="2125"/>
      <c r="AH36" s="2125"/>
      <c r="AI36" s="774"/>
      <c r="AJ36" s="774"/>
      <c r="AK36" s="774"/>
      <c r="AL36" s="774"/>
      <c r="AM36" s="774"/>
      <c r="AN36" s="787"/>
      <c r="AR36" s="774"/>
      <c r="BC36" s="774"/>
      <c r="BD36" s="774"/>
    </row>
    <row r="37" spans="3:56" s="788" customFormat="1" ht="6.95" customHeight="1">
      <c r="C37" s="2015" t="s">
        <v>2247</v>
      </c>
      <c r="D37" s="2016"/>
      <c r="E37" s="2016"/>
      <c r="F37" s="2016"/>
      <c r="G37" s="2016"/>
      <c r="H37" s="2016"/>
      <c r="I37" s="2016"/>
      <c r="J37" s="2016" t="s">
        <v>2248</v>
      </c>
      <c r="K37" s="2016"/>
      <c r="L37" s="2016"/>
      <c r="M37" s="2016"/>
      <c r="N37" s="2016"/>
      <c r="O37" s="2016"/>
      <c r="P37" s="2016"/>
      <c r="Q37" s="2016"/>
      <c r="R37" s="2016"/>
      <c r="S37" s="2016"/>
      <c r="T37" s="2016" t="s">
        <v>2249</v>
      </c>
      <c r="U37" s="2016"/>
      <c r="V37" s="2016"/>
      <c r="W37" s="2016"/>
      <c r="X37" s="2016"/>
      <c r="Y37" s="2161"/>
      <c r="Z37" s="773"/>
      <c r="AA37" s="782"/>
      <c r="AI37" s="774"/>
      <c r="AJ37" s="774"/>
      <c r="AK37" s="774"/>
      <c r="AL37" s="774"/>
      <c r="AM37" s="774"/>
      <c r="AN37" s="1166"/>
      <c r="AR37" s="774"/>
      <c r="BC37" s="774"/>
      <c r="BD37" s="774"/>
    </row>
    <row r="38" spans="3:56" s="788" customFormat="1" ht="6.95" customHeight="1">
      <c r="C38" s="2015"/>
      <c r="D38" s="2016"/>
      <c r="E38" s="2016"/>
      <c r="F38" s="2016"/>
      <c r="G38" s="2016"/>
      <c r="H38" s="2016"/>
      <c r="I38" s="2016"/>
      <c r="J38" s="2016"/>
      <c r="K38" s="2016"/>
      <c r="L38" s="2016"/>
      <c r="M38" s="2016"/>
      <c r="N38" s="2016"/>
      <c r="O38" s="2016"/>
      <c r="P38" s="2016"/>
      <c r="Q38" s="2016"/>
      <c r="R38" s="2016"/>
      <c r="S38" s="2016"/>
      <c r="T38" s="2016"/>
      <c r="U38" s="2016"/>
      <c r="V38" s="2016"/>
      <c r="W38" s="2016"/>
      <c r="X38" s="2016"/>
      <c r="Y38" s="2161"/>
      <c r="Z38" s="773"/>
      <c r="AA38" s="782"/>
      <c r="AB38" s="2140" t="s">
        <v>2250</v>
      </c>
      <c r="AC38" s="2140"/>
      <c r="AD38" s="2140"/>
      <c r="AE38" s="2140"/>
      <c r="AF38" s="2140"/>
      <c r="AG38" s="2140"/>
      <c r="AH38" s="2140"/>
      <c r="AI38" s="2128" t="s">
        <v>2499</v>
      </c>
      <c r="AJ38" s="300"/>
      <c r="AK38" s="2128" t="s">
        <v>3</v>
      </c>
      <c r="AL38" s="300"/>
      <c r="AM38" s="2128" t="s">
        <v>3</v>
      </c>
      <c r="AN38" s="1166"/>
      <c r="AR38" s="774"/>
      <c r="BC38" s="774"/>
      <c r="BD38" s="774"/>
    </row>
    <row r="39" spans="3:56" s="788" customFormat="1" ht="6.95" customHeight="1">
      <c r="C39" s="2015"/>
      <c r="D39" s="2016"/>
      <c r="E39" s="2016"/>
      <c r="F39" s="2016"/>
      <c r="G39" s="2016"/>
      <c r="H39" s="2016"/>
      <c r="I39" s="2016"/>
      <c r="J39" s="2016"/>
      <c r="K39" s="2016"/>
      <c r="L39" s="2016"/>
      <c r="M39" s="2016"/>
      <c r="N39" s="2016"/>
      <c r="O39" s="2016"/>
      <c r="P39" s="2016"/>
      <c r="Q39" s="2016"/>
      <c r="R39" s="2016"/>
      <c r="S39" s="2016"/>
      <c r="T39" s="2016"/>
      <c r="U39" s="2016"/>
      <c r="V39" s="2016"/>
      <c r="W39" s="2016"/>
      <c r="X39" s="2016"/>
      <c r="Y39" s="2161"/>
      <c r="Z39" s="773"/>
      <c r="AA39" s="782"/>
      <c r="AB39" s="2140"/>
      <c r="AC39" s="2140"/>
      <c r="AD39" s="2140"/>
      <c r="AE39" s="2140"/>
      <c r="AF39" s="2140"/>
      <c r="AG39" s="2140"/>
      <c r="AH39" s="2140"/>
      <c r="AI39" s="2129"/>
      <c r="AJ39" s="300"/>
      <c r="AK39" s="2129"/>
      <c r="AL39" s="300"/>
      <c r="AM39" s="2129"/>
      <c r="AN39" s="1166"/>
      <c r="AR39" s="774"/>
      <c r="BC39" s="774"/>
      <c r="BD39" s="774"/>
    </row>
    <row r="40" spans="3:56" s="788" customFormat="1" ht="6.95" customHeight="1">
      <c r="C40" s="2015"/>
      <c r="D40" s="2016"/>
      <c r="E40" s="2016"/>
      <c r="F40" s="2016"/>
      <c r="G40" s="2016"/>
      <c r="H40" s="2016"/>
      <c r="I40" s="2016"/>
      <c r="J40" s="2016"/>
      <c r="K40" s="2016"/>
      <c r="L40" s="2016"/>
      <c r="M40" s="2016"/>
      <c r="N40" s="2016"/>
      <c r="O40" s="2016"/>
      <c r="P40" s="2016"/>
      <c r="Q40" s="2016"/>
      <c r="R40" s="2016"/>
      <c r="S40" s="2016"/>
      <c r="T40" s="2016"/>
      <c r="U40" s="2016"/>
      <c r="V40" s="2016"/>
      <c r="W40" s="2016"/>
      <c r="X40" s="2016"/>
      <c r="Y40" s="2161"/>
      <c r="Z40" s="773"/>
      <c r="AA40" s="782"/>
      <c r="AB40" s="2125" t="s">
        <v>2251</v>
      </c>
      <c r="AC40" s="2125"/>
      <c r="AD40" s="2125"/>
      <c r="AE40" s="2125"/>
      <c r="AF40" s="2125"/>
      <c r="AG40" s="2125"/>
      <c r="AH40" s="2125"/>
      <c r="AI40" s="774"/>
      <c r="AJ40" s="774"/>
      <c r="AK40" s="774"/>
      <c r="AL40" s="774"/>
      <c r="AM40" s="774"/>
      <c r="AN40" s="1166"/>
      <c r="AP40" s="2143">
        <f>H43+H45+H47+H49+H51+H55</f>
        <v>1</v>
      </c>
      <c r="AQ40" s="2144"/>
      <c r="AR40" s="2145"/>
      <c r="AT40" s="2152" t="str">
        <f>IF(AP40=100%,"OK !!!",IF(AP40&lt;100%,"PERSENTASE ANDA KURANG !!!","PERSENTASE ANDA LEBIH !!!"))</f>
        <v>OK !!!</v>
      </c>
      <c r="AU40" s="2152"/>
      <c r="AV40" s="2152"/>
      <c r="AW40" s="2152"/>
      <c r="AX40" s="2152"/>
      <c r="AY40" s="2152"/>
      <c r="AZ40" s="2152"/>
      <c r="BA40" s="2152"/>
      <c r="BC40" s="774"/>
      <c r="BD40" s="774"/>
    </row>
    <row r="41" spans="3:56" s="788" customFormat="1" ht="9.9499999999999993" customHeight="1">
      <c r="C41" s="2017"/>
      <c r="D41" s="2018"/>
      <c r="E41" s="2018"/>
      <c r="F41" s="2018"/>
      <c r="G41" s="2018"/>
      <c r="H41" s="2018"/>
      <c r="I41" s="2018"/>
      <c r="J41" s="2018"/>
      <c r="K41" s="2018"/>
      <c r="L41" s="2018"/>
      <c r="M41" s="2018"/>
      <c r="N41" s="2018"/>
      <c r="O41" s="2018"/>
      <c r="P41" s="2018"/>
      <c r="Q41" s="2018"/>
      <c r="R41" s="2018"/>
      <c r="S41" s="2018"/>
      <c r="T41" s="2018"/>
      <c r="U41" s="2018"/>
      <c r="V41" s="2018"/>
      <c r="W41" s="2018"/>
      <c r="X41" s="2018"/>
      <c r="Y41" s="2162"/>
      <c r="Z41" s="773"/>
      <c r="AA41" s="782"/>
      <c r="AB41" s="2125"/>
      <c r="AC41" s="2125"/>
      <c r="AD41" s="2125"/>
      <c r="AE41" s="2125"/>
      <c r="AF41" s="2125"/>
      <c r="AG41" s="2125"/>
      <c r="AH41" s="2125"/>
      <c r="AI41" s="774"/>
      <c r="AJ41" s="774"/>
      <c r="AK41" s="774"/>
      <c r="AL41" s="774"/>
      <c r="AM41" s="774"/>
      <c r="AN41" s="1166"/>
      <c r="AP41" s="2146"/>
      <c r="AQ41" s="2147"/>
      <c r="AR41" s="2148"/>
      <c r="AT41" s="2152"/>
      <c r="AU41" s="2152"/>
      <c r="AV41" s="2152"/>
      <c r="AW41" s="2152"/>
      <c r="AX41" s="2152"/>
      <c r="AY41" s="2152"/>
      <c r="AZ41" s="2152"/>
      <c r="BA41" s="2152"/>
      <c r="BC41" s="774"/>
      <c r="BD41" s="774"/>
    </row>
    <row r="42" spans="3:56" s="788" customFormat="1" ht="6.95" customHeight="1">
      <c r="C42" s="1169"/>
      <c r="I42" s="787"/>
      <c r="J42" s="1169"/>
      <c r="S42" s="787"/>
      <c r="T42" s="1169"/>
      <c r="X42" s="776"/>
      <c r="Y42" s="781"/>
      <c r="Z42" s="773"/>
      <c r="AA42" s="782"/>
      <c r="AN42" s="1166"/>
      <c r="AP42" s="2149"/>
      <c r="AQ42" s="2150"/>
      <c r="AR42" s="2151"/>
      <c r="AT42" s="2152"/>
      <c r="AU42" s="2152"/>
      <c r="AV42" s="2152"/>
      <c r="AW42" s="2152"/>
      <c r="AX42" s="2152"/>
      <c r="AY42" s="2152"/>
      <c r="AZ42" s="2152"/>
      <c r="BA42" s="2152"/>
      <c r="BC42" s="774"/>
      <c r="BD42" s="774"/>
    </row>
    <row r="43" spans="3:56" s="788" customFormat="1" ht="6.95" customHeight="1">
      <c r="C43" s="2135" t="s">
        <v>2252</v>
      </c>
      <c r="D43" s="2136"/>
      <c r="E43" s="2136"/>
      <c r="F43" s="2136"/>
      <c r="G43" s="2137" t="s">
        <v>5</v>
      </c>
      <c r="H43" s="2039">
        <v>0.35</v>
      </c>
      <c r="I43" s="2040"/>
      <c r="J43" s="2041" t="s">
        <v>2253</v>
      </c>
      <c r="K43" s="2042"/>
      <c r="L43" s="2042"/>
      <c r="M43" s="2042"/>
      <c r="N43" s="2042"/>
      <c r="O43" s="2042"/>
      <c r="P43" s="2042"/>
      <c r="Q43" s="2042"/>
      <c r="R43" s="2130" t="s">
        <v>3</v>
      </c>
      <c r="S43" s="315"/>
      <c r="T43" s="2041" t="s">
        <v>2254</v>
      </c>
      <c r="U43" s="2042"/>
      <c r="V43" s="2042"/>
      <c r="W43" s="2042"/>
      <c r="X43" s="2128" t="s">
        <v>2499</v>
      </c>
      <c r="Y43" s="1170"/>
      <c r="Z43" s="773"/>
      <c r="AA43" s="782"/>
      <c r="AB43" s="2140" t="s">
        <v>2255</v>
      </c>
      <c r="AC43" s="2140"/>
      <c r="AD43" s="2140"/>
      <c r="AE43" s="2140"/>
      <c r="AF43" s="2140"/>
      <c r="AG43" s="2140"/>
      <c r="AH43" s="2140"/>
      <c r="AI43" s="2128" t="s">
        <v>3</v>
      </c>
      <c r="AJ43" s="300"/>
      <c r="AK43" s="2128" t="s">
        <v>2499</v>
      </c>
      <c r="AL43" s="300"/>
      <c r="AM43" s="2128" t="s">
        <v>3</v>
      </c>
      <c r="AN43" s="1166"/>
      <c r="AP43" s="794"/>
      <c r="AQ43" s="794"/>
      <c r="AR43" s="794"/>
      <c r="AT43" s="2152"/>
      <c r="AU43" s="2152"/>
      <c r="AV43" s="2152"/>
      <c r="AW43" s="2152"/>
      <c r="AX43" s="2152"/>
      <c r="AY43" s="2152"/>
      <c r="AZ43" s="2152"/>
      <c r="BA43" s="2152"/>
      <c r="BC43" s="774"/>
      <c r="BD43" s="774"/>
    </row>
    <row r="44" spans="3:56" s="318" customFormat="1" ht="6.95" customHeight="1">
      <c r="C44" s="2135"/>
      <c r="D44" s="2136"/>
      <c r="E44" s="2136"/>
      <c r="F44" s="2136"/>
      <c r="G44" s="2137"/>
      <c r="H44" s="2039"/>
      <c r="I44" s="2040"/>
      <c r="J44" s="2041"/>
      <c r="K44" s="2042"/>
      <c r="L44" s="2042"/>
      <c r="M44" s="2042"/>
      <c r="N44" s="2042"/>
      <c r="O44" s="2042"/>
      <c r="P44" s="2042"/>
      <c r="Q44" s="2042"/>
      <c r="R44" s="2131"/>
      <c r="S44" s="315"/>
      <c r="T44" s="2041"/>
      <c r="U44" s="2042"/>
      <c r="V44" s="2042"/>
      <c r="W44" s="2042"/>
      <c r="X44" s="2129"/>
      <c r="Y44" s="1170"/>
      <c r="Z44" s="773"/>
      <c r="AA44" s="782"/>
      <c r="AB44" s="2140"/>
      <c r="AC44" s="2140"/>
      <c r="AD44" s="2140"/>
      <c r="AE44" s="2140"/>
      <c r="AF44" s="2140"/>
      <c r="AG44" s="2140"/>
      <c r="AH44" s="2140"/>
      <c r="AI44" s="2129"/>
      <c r="AJ44" s="300"/>
      <c r="AK44" s="2129"/>
      <c r="AL44" s="300"/>
      <c r="AM44" s="2129"/>
      <c r="AN44" s="787"/>
      <c r="AP44" s="299"/>
      <c r="AQ44" s="300"/>
      <c r="AR44" s="300"/>
      <c r="AT44" s="2152"/>
      <c r="AU44" s="2152"/>
      <c r="AV44" s="2152"/>
      <c r="AW44" s="2152"/>
      <c r="AX44" s="2152"/>
      <c r="AY44" s="2152"/>
      <c r="AZ44" s="2152"/>
      <c r="BA44" s="2152"/>
    </row>
    <row r="45" spans="3:56" s="318" customFormat="1" ht="6.95" customHeight="1">
      <c r="C45" s="2135" t="s">
        <v>2256</v>
      </c>
      <c r="D45" s="2136"/>
      <c r="E45" s="2136"/>
      <c r="F45" s="2136"/>
      <c r="G45" s="2137" t="s">
        <v>5</v>
      </c>
      <c r="H45" s="2039">
        <v>0.05</v>
      </c>
      <c r="I45" s="2040"/>
      <c r="J45" s="1171"/>
      <c r="K45" s="300"/>
      <c r="L45" s="300"/>
      <c r="M45" s="300"/>
      <c r="N45" s="300"/>
      <c r="O45" s="300"/>
      <c r="P45" s="300"/>
      <c r="Q45" s="300"/>
      <c r="R45" s="300"/>
      <c r="S45" s="315"/>
      <c r="T45" s="1172"/>
      <c r="U45" s="300"/>
      <c r="V45" s="300"/>
      <c r="W45" s="300"/>
      <c r="X45" s="300"/>
      <c r="Y45" s="1170"/>
      <c r="Z45" s="773"/>
      <c r="AA45" s="782"/>
      <c r="AB45" s="2125" t="s">
        <v>2257</v>
      </c>
      <c r="AC45" s="2125"/>
      <c r="AD45" s="2125"/>
      <c r="AE45" s="2125"/>
      <c r="AF45" s="2125"/>
      <c r="AG45" s="2125"/>
      <c r="AH45" s="2125"/>
      <c r="AI45" s="795"/>
      <c r="AJ45" s="300"/>
      <c r="AK45" s="795"/>
      <c r="AL45" s="300"/>
      <c r="AM45" s="795"/>
      <c r="AN45" s="787"/>
      <c r="AP45" s="299"/>
      <c r="AQ45" s="300"/>
      <c r="AR45" s="300"/>
      <c r="AT45" s="2152"/>
      <c r="AU45" s="2152"/>
      <c r="AV45" s="2152"/>
      <c r="AW45" s="2152"/>
      <c r="AX45" s="2152"/>
      <c r="AY45" s="2152"/>
      <c r="AZ45" s="2152"/>
      <c r="BA45" s="2152"/>
    </row>
    <row r="46" spans="3:56" s="318" customFormat="1" ht="6.95" customHeight="1">
      <c r="C46" s="2135"/>
      <c r="D46" s="2136"/>
      <c r="E46" s="2136"/>
      <c r="F46" s="2136"/>
      <c r="G46" s="2137"/>
      <c r="H46" s="2039"/>
      <c r="I46" s="2040"/>
      <c r="J46" s="1171"/>
      <c r="K46" s="300"/>
      <c r="L46" s="300"/>
      <c r="M46" s="300"/>
      <c r="N46" s="300"/>
      <c r="O46" s="300"/>
      <c r="P46" s="300"/>
      <c r="Q46" s="300"/>
      <c r="R46" s="300"/>
      <c r="S46" s="315"/>
      <c r="T46" s="1172"/>
      <c r="U46" s="300"/>
      <c r="V46" s="300"/>
      <c r="W46" s="300"/>
      <c r="X46" s="300"/>
      <c r="Y46" s="1170"/>
      <c r="Z46" s="773"/>
      <c r="AA46" s="782"/>
      <c r="AB46" s="2125"/>
      <c r="AC46" s="2125"/>
      <c r="AD46" s="2125"/>
      <c r="AE46" s="2125"/>
      <c r="AF46" s="2125"/>
      <c r="AG46" s="2125"/>
      <c r="AH46" s="2125"/>
      <c r="AI46" s="795"/>
      <c r="AJ46" s="300"/>
      <c r="AK46" s="795"/>
      <c r="AL46" s="300"/>
      <c r="AM46" s="795"/>
      <c r="AN46" s="787"/>
      <c r="AP46" s="796"/>
      <c r="AQ46" s="797"/>
      <c r="AR46" s="797"/>
      <c r="AT46" s="2152"/>
      <c r="AU46" s="2152"/>
      <c r="AV46" s="2152"/>
      <c r="AW46" s="2152"/>
      <c r="AX46" s="2152"/>
      <c r="AY46" s="2152"/>
      <c r="AZ46" s="2152"/>
      <c r="BA46" s="2152"/>
    </row>
    <row r="47" spans="3:56" s="318" customFormat="1" ht="6.95" customHeight="1">
      <c r="C47" s="2135" t="s">
        <v>2258</v>
      </c>
      <c r="D47" s="2136"/>
      <c r="E47" s="2136"/>
      <c r="F47" s="2136"/>
      <c r="G47" s="2137" t="s">
        <v>5</v>
      </c>
      <c r="H47" s="2039">
        <v>0.05</v>
      </c>
      <c r="I47" s="2040"/>
      <c r="J47" s="2041" t="s">
        <v>2259</v>
      </c>
      <c r="K47" s="2042"/>
      <c r="L47" s="2042"/>
      <c r="M47" s="2042"/>
      <c r="N47" s="2042"/>
      <c r="O47" s="2042"/>
      <c r="P47" s="2042"/>
      <c r="Q47" s="2042"/>
      <c r="R47" s="2130" t="s">
        <v>3</v>
      </c>
      <c r="S47" s="315"/>
      <c r="T47" s="1949" t="s">
        <v>2260</v>
      </c>
      <c r="U47" s="1950"/>
      <c r="V47" s="1950"/>
      <c r="W47" s="1950"/>
      <c r="X47" s="2128" t="s">
        <v>2499</v>
      </c>
      <c r="Y47" s="1170"/>
      <c r="Z47" s="773"/>
      <c r="AA47" s="782"/>
      <c r="AI47" s="795"/>
      <c r="AJ47" s="300"/>
      <c r="AK47" s="795"/>
      <c r="AL47" s="300"/>
      <c r="AM47" s="795"/>
      <c r="AN47" s="787"/>
      <c r="AP47" s="796"/>
      <c r="AQ47" s="797"/>
      <c r="AR47" s="797"/>
      <c r="AT47" s="2152"/>
      <c r="AU47" s="2152"/>
      <c r="AV47" s="2152"/>
      <c r="AW47" s="2152"/>
      <c r="AX47" s="2152"/>
      <c r="AY47" s="2152"/>
      <c r="AZ47" s="2152"/>
      <c r="BA47" s="2152"/>
    </row>
    <row r="48" spans="3:56" s="318" customFormat="1" ht="6.95" customHeight="1">
      <c r="C48" s="2135"/>
      <c r="D48" s="2136"/>
      <c r="E48" s="2136"/>
      <c r="F48" s="2136"/>
      <c r="G48" s="2137"/>
      <c r="H48" s="2039"/>
      <c r="I48" s="2040"/>
      <c r="J48" s="2041"/>
      <c r="K48" s="2042"/>
      <c r="L48" s="2042"/>
      <c r="M48" s="2042"/>
      <c r="N48" s="2042"/>
      <c r="O48" s="2042"/>
      <c r="P48" s="2042"/>
      <c r="Q48" s="2042"/>
      <c r="R48" s="2131"/>
      <c r="S48" s="315"/>
      <c r="T48" s="1949"/>
      <c r="U48" s="1950"/>
      <c r="V48" s="1950"/>
      <c r="W48" s="1950"/>
      <c r="X48" s="2129"/>
      <c r="Y48" s="1170"/>
      <c r="Z48" s="773"/>
      <c r="AA48" s="782"/>
      <c r="AB48" s="2140" t="s">
        <v>2255</v>
      </c>
      <c r="AC48" s="2140"/>
      <c r="AD48" s="2140"/>
      <c r="AE48" s="2140"/>
      <c r="AF48" s="2140"/>
      <c r="AG48" s="2140"/>
      <c r="AH48" s="2140"/>
      <c r="AI48" s="2128" t="s">
        <v>3</v>
      </c>
      <c r="AJ48" s="300"/>
      <c r="AK48" s="2128" t="s">
        <v>2499</v>
      </c>
      <c r="AL48" s="300"/>
      <c r="AM48" s="2128" t="s">
        <v>3</v>
      </c>
      <c r="AN48" s="787"/>
      <c r="AP48" s="299"/>
      <c r="AQ48" s="300"/>
      <c r="AR48" s="300"/>
      <c r="AT48" s="2152"/>
      <c r="AU48" s="2152"/>
      <c r="AV48" s="2152"/>
      <c r="AW48" s="2152"/>
      <c r="AX48" s="2152"/>
      <c r="AY48" s="2152"/>
      <c r="AZ48" s="2152"/>
      <c r="BA48" s="2152"/>
    </row>
    <row r="49" spans="3:53" s="318" customFormat="1" ht="6.95" customHeight="1">
      <c r="C49" s="2135" t="s">
        <v>2261</v>
      </c>
      <c r="D49" s="2136"/>
      <c r="E49" s="2136"/>
      <c r="F49" s="2136"/>
      <c r="G49" s="2137" t="s">
        <v>5</v>
      </c>
      <c r="H49" s="2039">
        <v>0.5</v>
      </c>
      <c r="I49" s="2040"/>
      <c r="J49" s="1172"/>
      <c r="K49" s="300"/>
      <c r="L49" s="300"/>
      <c r="M49" s="300"/>
      <c r="N49" s="300"/>
      <c r="O49" s="300"/>
      <c r="P49" s="300"/>
      <c r="Q49" s="300"/>
      <c r="R49" s="300"/>
      <c r="S49" s="315"/>
      <c r="T49" s="1172"/>
      <c r="U49" s="300"/>
      <c r="V49" s="300"/>
      <c r="W49" s="300"/>
      <c r="X49" s="300"/>
      <c r="Y49" s="1170"/>
      <c r="Z49" s="773"/>
      <c r="AA49" s="782"/>
      <c r="AB49" s="2140"/>
      <c r="AC49" s="2140"/>
      <c r="AD49" s="2140"/>
      <c r="AE49" s="2140"/>
      <c r="AF49" s="2140"/>
      <c r="AG49" s="2140"/>
      <c r="AH49" s="2140"/>
      <c r="AI49" s="2129"/>
      <c r="AJ49" s="300"/>
      <c r="AK49" s="2129"/>
      <c r="AL49" s="300"/>
      <c r="AM49" s="2129"/>
      <c r="AN49" s="787"/>
      <c r="AT49" s="2152"/>
      <c r="AU49" s="2152"/>
      <c r="AV49" s="2152"/>
      <c r="AW49" s="2152"/>
      <c r="AX49" s="2152"/>
      <c r="AY49" s="2152"/>
      <c r="AZ49" s="2152"/>
      <c r="BA49" s="2152"/>
    </row>
    <row r="50" spans="3:53" s="318" customFormat="1" ht="6.95" customHeight="1">
      <c r="C50" s="2135"/>
      <c r="D50" s="2136"/>
      <c r="E50" s="2136"/>
      <c r="F50" s="2136"/>
      <c r="G50" s="2137"/>
      <c r="H50" s="2039"/>
      <c r="I50" s="2040"/>
      <c r="J50" s="1172"/>
      <c r="K50" s="300"/>
      <c r="L50" s="300"/>
      <c r="M50" s="300"/>
      <c r="N50" s="300"/>
      <c r="O50" s="300"/>
      <c r="P50" s="300"/>
      <c r="Q50" s="300"/>
      <c r="R50" s="300"/>
      <c r="S50" s="315"/>
      <c r="T50" s="1172"/>
      <c r="U50" s="300"/>
      <c r="V50" s="300"/>
      <c r="W50" s="300"/>
      <c r="X50" s="300"/>
      <c r="Y50" s="1170"/>
      <c r="Z50" s="773"/>
      <c r="AA50" s="782"/>
      <c r="AB50" s="2125" t="s">
        <v>2262</v>
      </c>
      <c r="AC50" s="2125"/>
      <c r="AD50" s="2125"/>
      <c r="AE50" s="2125"/>
      <c r="AF50" s="2125"/>
      <c r="AG50" s="2125"/>
      <c r="AH50" s="2125"/>
      <c r="AI50" s="795"/>
      <c r="AJ50" s="300"/>
      <c r="AK50" s="795"/>
      <c r="AL50" s="300"/>
      <c r="AM50" s="795"/>
      <c r="AN50" s="787"/>
      <c r="AT50" s="2152"/>
      <c r="AU50" s="2152"/>
      <c r="AV50" s="2152"/>
      <c r="AW50" s="2152"/>
      <c r="AX50" s="2152"/>
      <c r="AY50" s="2152"/>
      <c r="AZ50" s="2152"/>
      <c r="BA50" s="2152"/>
    </row>
    <row r="51" spans="3:53" s="318" customFormat="1" ht="6.95" customHeight="1">
      <c r="C51" s="2153" t="s">
        <v>2263</v>
      </c>
      <c r="D51" s="2154"/>
      <c r="E51" s="2154"/>
      <c r="F51" s="2154"/>
      <c r="G51" s="2137" t="s">
        <v>5</v>
      </c>
      <c r="H51" s="2141">
        <v>0</v>
      </c>
      <c r="I51" s="2142"/>
      <c r="J51" s="2041" t="s">
        <v>2264</v>
      </c>
      <c r="K51" s="2042"/>
      <c r="L51" s="2042"/>
      <c r="M51" s="2042"/>
      <c r="N51" s="2042"/>
      <c r="O51" s="2042"/>
      <c r="P51" s="2042"/>
      <c r="Q51" s="2042"/>
      <c r="R51" s="2128" t="s">
        <v>2499</v>
      </c>
      <c r="S51" s="315"/>
      <c r="T51" s="1949" t="s">
        <v>2265</v>
      </c>
      <c r="U51" s="1950"/>
      <c r="V51" s="1950"/>
      <c r="W51" s="1950"/>
      <c r="X51" s="2130" t="s">
        <v>3</v>
      </c>
      <c r="Y51" s="1170"/>
      <c r="Z51" s="773"/>
      <c r="AA51" s="782"/>
      <c r="AB51" s="2125"/>
      <c r="AC51" s="2125"/>
      <c r="AD51" s="2125"/>
      <c r="AE51" s="2125"/>
      <c r="AF51" s="2125"/>
      <c r="AG51" s="2125"/>
      <c r="AH51" s="2125"/>
      <c r="AI51" s="795"/>
      <c r="AJ51" s="300"/>
      <c r="AK51" s="795"/>
      <c r="AL51" s="300"/>
      <c r="AM51" s="795"/>
      <c r="AN51" s="787"/>
    </row>
    <row r="52" spans="3:53" s="318" customFormat="1" ht="6.95" customHeight="1">
      <c r="C52" s="2153"/>
      <c r="D52" s="2154"/>
      <c r="E52" s="2154"/>
      <c r="F52" s="2154"/>
      <c r="G52" s="2137"/>
      <c r="H52" s="2141"/>
      <c r="I52" s="2142"/>
      <c r="J52" s="2041"/>
      <c r="K52" s="2042"/>
      <c r="L52" s="2042"/>
      <c r="M52" s="2042"/>
      <c r="N52" s="2042"/>
      <c r="O52" s="2042"/>
      <c r="P52" s="2042"/>
      <c r="Q52" s="2042"/>
      <c r="R52" s="2129"/>
      <c r="S52" s="315"/>
      <c r="T52" s="1949"/>
      <c r="U52" s="1950"/>
      <c r="V52" s="1950"/>
      <c r="W52" s="1950"/>
      <c r="X52" s="2131"/>
      <c r="Y52" s="1170"/>
      <c r="Z52" s="773"/>
      <c r="AA52" s="782"/>
      <c r="AI52" s="795"/>
      <c r="AJ52" s="300"/>
      <c r="AK52" s="795"/>
      <c r="AL52" s="300"/>
      <c r="AM52" s="795"/>
      <c r="AN52" s="787"/>
    </row>
    <row r="53" spans="3:53" s="318" customFormat="1" ht="6.95" customHeight="1">
      <c r="C53" s="2138" t="s">
        <v>2266</v>
      </c>
      <c r="D53" s="2139"/>
      <c r="E53" s="2139"/>
      <c r="F53" s="2139"/>
      <c r="G53" s="300"/>
      <c r="H53" s="300"/>
      <c r="I53" s="315"/>
      <c r="J53" s="1172"/>
      <c r="K53" s="300"/>
      <c r="L53" s="300"/>
      <c r="M53" s="300"/>
      <c r="N53" s="300"/>
      <c r="O53" s="300"/>
      <c r="P53" s="300"/>
      <c r="Q53" s="300"/>
      <c r="R53" s="300"/>
      <c r="S53" s="315"/>
      <c r="T53" s="1172"/>
      <c r="U53" s="300"/>
      <c r="V53" s="300"/>
      <c r="W53" s="300"/>
      <c r="X53" s="300"/>
      <c r="Y53" s="1170"/>
      <c r="Z53" s="773"/>
      <c r="AA53" s="782"/>
      <c r="AB53" s="2140" t="s">
        <v>2255</v>
      </c>
      <c r="AC53" s="2140"/>
      <c r="AD53" s="2140"/>
      <c r="AE53" s="2140"/>
      <c r="AF53" s="2140"/>
      <c r="AG53" s="2140"/>
      <c r="AH53" s="2140"/>
      <c r="AI53" s="2128" t="s">
        <v>3</v>
      </c>
      <c r="AJ53" s="300"/>
      <c r="AK53" s="2128" t="s">
        <v>2499</v>
      </c>
      <c r="AL53" s="300"/>
      <c r="AM53" s="2128" t="s">
        <v>3</v>
      </c>
      <c r="AN53" s="787"/>
    </row>
    <row r="54" spans="3:53" s="318" customFormat="1" ht="6.95" customHeight="1">
      <c r="C54" s="2138"/>
      <c r="D54" s="2139"/>
      <c r="E54" s="2139"/>
      <c r="F54" s="2139"/>
      <c r="G54" s="300"/>
      <c r="H54" s="300"/>
      <c r="I54" s="315"/>
      <c r="J54" s="1172"/>
      <c r="K54" s="300"/>
      <c r="L54" s="300"/>
      <c r="M54" s="300"/>
      <c r="N54" s="300"/>
      <c r="O54" s="300"/>
      <c r="P54" s="300"/>
      <c r="Q54" s="300"/>
      <c r="R54" s="300"/>
      <c r="S54" s="315"/>
      <c r="T54" s="1172"/>
      <c r="U54" s="300"/>
      <c r="V54" s="300"/>
      <c r="W54" s="300"/>
      <c r="X54" s="300"/>
      <c r="Y54" s="1170"/>
      <c r="Z54" s="773"/>
      <c r="AA54" s="782"/>
      <c r="AB54" s="2140"/>
      <c r="AC54" s="2140"/>
      <c r="AD54" s="2140"/>
      <c r="AE54" s="2140"/>
      <c r="AF54" s="2140"/>
      <c r="AG54" s="2140"/>
      <c r="AH54" s="2140"/>
      <c r="AI54" s="2129"/>
      <c r="AJ54" s="300"/>
      <c r="AK54" s="2129"/>
      <c r="AL54" s="300"/>
      <c r="AM54" s="2129"/>
      <c r="AN54" s="787"/>
    </row>
    <row r="55" spans="3:53" s="318" customFormat="1" ht="6.95" customHeight="1">
      <c r="C55" s="2135" t="s">
        <v>2267</v>
      </c>
      <c r="D55" s="2136"/>
      <c r="E55" s="2136"/>
      <c r="F55" s="2136"/>
      <c r="G55" s="2137" t="s">
        <v>5</v>
      </c>
      <c r="H55" s="2039">
        <v>0.05</v>
      </c>
      <c r="I55" s="2040"/>
      <c r="J55" s="2041" t="s">
        <v>2268</v>
      </c>
      <c r="K55" s="2042"/>
      <c r="L55" s="2042"/>
      <c r="M55" s="2042"/>
      <c r="N55" s="2042"/>
      <c r="O55" s="2042"/>
      <c r="P55" s="2042"/>
      <c r="Q55" s="2042"/>
      <c r="R55" s="2130" t="s">
        <v>3</v>
      </c>
      <c r="S55" s="1173"/>
      <c r="T55" s="2041" t="s">
        <v>2269</v>
      </c>
      <c r="U55" s="2042"/>
      <c r="V55" s="2042"/>
      <c r="W55" s="2042"/>
      <c r="X55" s="2130" t="s">
        <v>3</v>
      </c>
      <c r="Y55" s="1170"/>
      <c r="Z55" s="773"/>
      <c r="AA55" s="782"/>
      <c r="AB55" s="2125" t="s">
        <v>2270</v>
      </c>
      <c r="AC55" s="2125"/>
      <c r="AD55" s="2125"/>
      <c r="AE55" s="2125"/>
      <c r="AF55" s="2125"/>
      <c r="AG55" s="2125"/>
      <c r="AH55" s="2125"/>
      <c r="AN55" s="787"/>
    </row>
    <row r="56" spans="3:53" s="318" customFormat="1" ht="6.95" customHeight="1">
      <c r="C56" s="2135"/>
      <c r="D56" s="2136"/>
      <c r="E56" s="2136"/>
      <c r="F56" s="2136"/>
      <c r="G56" s="2137"/>
      <c r="H56" s="2039"/>
      <c r="I56" s="2040"/>
      <c r="J56" s="2041"/>
      <c r="K56" s="2042"/>
      <c r="L56" s="2042"/>
      <c r="M56" s="2042"/>
      <c r="N56" s="2042"/>
      <c r="O56" s="2042"/>
      <c r="P56" s="2042"/>
      <c r="Q56" s="2042"/>
      <c r="R56" s="2131"/>
      <c r="S56" s="1173"/>
      <c r="T56" s="2041"/>
      <c r="U56" s="2042"/>
      <c r="V56" s="2042"/>
      <c r="W56" s="2042"/>
      <c r="X56" s="2131"/>
      <c r="Y56" s="1166"/>
      <c r="Z56" s="773"/>
      <c r="AA56" s="782"/>
      <c r="AB56" s="2125"/>
      <c r="AC56" s="2125"/>
      <c r="AD56" s="2125"/>
      <c r="AE56" s="2125"/>
      <c r="AF56" s="2125"/>
      <c r="AG56" s="2125"/>
      <c r="AH56" s="2125"/>
      <c r="AI56" s="795"/>
      <c r="AJ56" s="300"/>
      <c r="AK56" s="795"/>
      <c r="AL56" s="300"/>
      <c r="AM56" s="795"/>
      <c r="AN56" s="787"/>
    </row>
    <row r="57" spans="3:53" s="318" customFormat="1" ht="6.95" customHeight="1">
      <c r="C57" s="1174"/>
      <c r="D57" s="1153"/>
      <c r="E57" s="1153"/>
      <c r="F57" s="1153"/>
      <c r="G57" s="1153"/>
      <c r="H57" s="1153"/>
      <c r="I57" s="1175"/>
      <c r="J57" s="1174"/>
      <c r="K57" s="1153"/>
      <c r="L57" s="1153"/>
      <c r="M57" s="1153"/>
      <c r="N57" s="1153"/>
      <c r="O57" s="1153"/>
      <c r="P57" s="1153"/>
      <c r="Q57" s="1153"/>
      <c r="R57" s="1153"/>
      <c r="S57" s="1175"/>
      <c r="T57" s="1174"/>
      <c r="U57" s="1153"/>
      <c r="V57" s="1153"/>
      <c r="W57" s="1153"/>
      <c r="X57" s="1153"/>
      <c r="Y57" s="1175"/>
      <c r="Z57" s="773"/>
      <c r="AA57" s="1176"/>
      <c r="AB57" s="1153"/>
      <c r="AC57" s="1153"/>
      <c r="AD57" s="1153"/>
      <c r="AE57" s="1153"/>
      <c r="AF57" s="1153"/>
      <c r="AG57" s="1153"/>
      <c r="AH57" s="1153"/>
      <c r="AI57" s="1177"/>
      <c r="AJ57" s="336"/>
      <c r="AK57" s="1177"/>
      <c r="AL57" s="336"/>
      <c r="AM57" s="1177"/>
      <c r="AN57" s="1168"/>
    </row>
    <row r="58" spans="3:53" ht="8.1" customHeight="1">
      <c r="C58" s="302"/>
      <c r="D58" s="300"/>
      <c r="E58" s="300"/>
      <c r="F58" s="300"/>
      <c r="G58" s="300"/>
      <c r="H58" s="300"/>
      <c r="I58" s="300"/>
      <c r="J58" s="300"/>
      <c r="K58" s="300"/>
      <c r="L58" s="300"/>
      <c r="M58" s="300"/>
      <c r="N58" s="300"/>
      <c r="O58" s="300"/>
      <c r="P58" s="300"/>
      <c r="Q58" s="300"/>
      <c r="R58" s="300"/>
      <c r="S58" s="300"/>
      <c r="T58" s="300"/>
      <c r="U58" s="300"/>
      <c r="V58" s="300"/>
      <c r="W58" s="300"/>
      <c r="X58" s="300"/>
      <c r="Y58" s="300"/>
      <c r="Z58" s="300"/>
      <c r="AA58" s="770"/>
      <c r="AB58" s="770"/>
      <c r="AC58" s="770"/>
      <c r="AD58" s="770"/>
      <c r="AE58" s="770"/>
      <c r="AF58" s="770"/>
      <c r="AG58" s="770"/>
      <c r="AH58" s="770"/>
      <c r="AI58" s="770"/>
      <c r="AJ58" s="770"/>
      <c r="AK58" s="770"/>
      <c r="AL58" s="770"/>
      <c r="AM58" s="770"/>
      <c r="AN58" s="770"/>
      <c r="AO58" s="299"/>
      <c r="AP58" s="299"/>
      <c r="AQ58" s="299"/>
    </row>
    <row r="59" spans="3:53" s="309" customFormat="1" ht="16.5" customHeight="1">
      <c r="C59" s="2022" t="s">
        <v>2271</v>
      </c>
      <c r="D59" s="2023"/>
      <c r="E59" s="2023"/>
      <c r="F59" s="2023"/>
      <c r="G59" s="2023"/>
      <c r="H59" s="2023"/>
      <c r="I59" s="2023"/>
      <c r="J59" s="2023"/>
      <c r="K59" s="2023"/>
      <c r="L59" s="2023"/>
      <c r="M59" s="2023"/>
      <c r="N59" s="2023"/>
      <c r="O59" s="2023"/>
      <c r="P59" s="2023"/>
      <c r="Q59" s="2023"/>
      <c r="R59" s="2023"/>
      <c r="S59" s="2023"/>
      <c r="T59" s="2023"/>
      <c r="U59" s="2023"/>
      <c r="V59" s="2023"/>
      <c r="W59" s="2023"/>
      <c r="X59" s="2023"/>
      <c r="Y59" s="2023"/>
      <c r="Z59" s="2023"/>
      <c r="AA59" s="2023"/>
      <c r="AB59" s="2023"/>
      <c r="AC59" s="2023"/>
      <c r="AD59" s="2023"/>
      <c r="AE59" s="2023"/>
      <c r="AF59" s="2023"/>
      <c r="AG59" s="2023"/>
      <c r="AH59" s="2023"/>
      <c r="AI59" s="2023"/>
      <c r="AJ59" s="2023"/>
      <c r="AK59" s="2023"/>
      <c r="AL59" s="2023"/>
      <c r="AM59" s="2023"/>
      <c r="AN59" s="2024"/>
      <c r="AO59" s="307"/>
      <c r="AP59" s="307"/>
      <c r="AQ59" s="307"/>
      <c r="AR59" s="307"/>
    </row>
    <row r="60" spans="3:53" s="300" customFormat="1" ht="3" customHeight="1">
      <c r="C60" s="354"/>
      <c r="Q60" s="774"/>
      <c r="U60" s="798"/>
      <c r="V60" s="798"/>
      <c r="W60" s="798"/>
      <c r="X60" s="774"/>
      <c r="AL60" s="774"/>
      <c r="AN60" s="315"/>
    </row>
    <row r="61" spans="3:53" s="298" customFormat="1" ht="15" customHeight="1">
      <c r="C61" s="2132" t="s">
        <v>2272</v>
      </c>
      <c r="D61" s="2133"/>
      <c r="E61" s="2133"/>
      <c r="F61" s="2133"/>
      <c r="G61" s="2133"/>
      <c r="H61" s="2133"/>
      <c r="I61" s="2133"/>
      <c r="J61" s="2133"/>
      <c r="K61" s="2133"/>
      <c r="L61" s="2133"/>
      <c r="M61" s="2133"/>
      <c r="N61" s="2133"/>
      <c r="O61" s="2133"/>
      <c r="P61" s="2133"/>
      <c r="Q61" s="2133"/>
      <c r="R61" s="2133"/>
      <c r="S61" s="2133"/>
      <c r="T61" s="2133"/>
      <c r="U61" s="2133"/>
      <c r="V61" s="2133"/>
      <c r="W61" s="2133"/>
      <c r="X61" s="2133"/>
      <c r="Y61" s="2133"/>
      <c r="Z61" s="2133"/>
      <c r="AA61" s="2133"/>
      <c r="AB61" s="2133"/>
      <c r="AC61" s="2133"/>
      <c r="AD61" s="2133"/>
      <c r="AE61" s="2133"/>
      <c r="AF61" s="2133"/>
      <c r="AG61" s="2133"/>
      <c r="AH61" s="2133"/>
      <c r="AI61" s="2133"/>
      <c r="AJ61" s="2133"/>
      <c r="AK61" s="2133"/>
      <c r="AL61" s="2133"/>
      <c r="AM61" s="2133"/>
      <c r="AN61" s="2134"/>
      <c r="AO61" s="799"/>
      <c r="AR61" s="800"/>
    </row>
    <row r="62" spans="3:53" s="300" customFormat="1" ht="3.95" customHeight="1">
      <c r="C62" s="354"/>
      <c r="Q62" s="774"/>
      <c r="U62" s="798"/>
      <c r="V62" s="798"/>
      <c r="W62" s="798"/>
      <c r="X62" s="774"/>
      <c r="AL62" s="774"/>
      <c r="AN62" s="315"/>
    </row>
    <row r="63" spans="3:53" ht="14.1" customHeight="1">
      <c r="C63" s="354" t="s">
        <v>1770</v>
      </c>
      <c r="D63" s="311" t="s">
        <v>2273</v>
      </c>
      <c r="E63" s="300"/>
      <c r="F63" s="307"/>
      <c r="G63" s="307"/>
      <c r="H63" s="307"/>
      <c r="I63" s="300"/>
      <c r="J63" s="300"/>
      <c r="K63" s="300"/>
      <c r="L63" s="300"/>
      <c r="M63" s="1178" t="s">
        <v>2499</v>
      </c>
      <c r="O63" s="300"/>
      <c r="P63" s="300"/>
      <c r="Q63" s="300"/>
      <c r="R63" s="357" t="s">
        <v>1770</v>
      </c>
      <c r="S63" s="311" t="s">
        <v>2274</v>
      </c>
      <c r="U63" s="300"/>
      <c r="V63" s="300"/>
      <c r="W63" s="300"/>
      <c r="X63" s="300"/>
      <c r="Y63" s="300"/>
      <c r="Z63" s="300"/>
      <c r="AA63" s="300"/>
      <c r="AB63" s="313" t="s">
        <v>5</v>
      </c>
      <c r="AC63" s="2126">
        <v>8</v>
      </c>
      <c r="AD63" s="2126"/>
      <c r="AE63" s="2126"/>
      <c r="AF63" s="2126"/>
      <c r="AG63" s="300"/>
      <c r="AH63" s="300"/>
      <c r="AI63" s="300"/>
      <c r="AJ63" s="300"/>
      <c r="AK63" s="300"/>
      <c r="AL63" s="300"/>
      <c r="AM63" s="300"/>
      <c r="AN63" s="315"/>
    </row>
    <row r="64" spans="3:53" s="300" customFormat="1" ht="3.95" customHeight="1">
      <c r="C64" s="354"/>
      <c r="D64" s="311"/>
      <c r="F64" s="307"/>
      <c r="G64" s="307"/>
      <c r="H64" s="307"/>
      <c r="M64" s="681"/>
      <c r="AC64" s="798"/>
      <c r="AD64" s="798"/>
      <c r="AE64" s="798"/>
      <c r="AF64" s="774"/>
      <c r="AN64" s="315"/>
    </row>
    <row r="65" spans="3:46" ht="14.1" customHeight="1">
      <c r="C65" s="354" t="s">
        <v>1770</v>
      </c>
      <c r="D65" s="311" t="s">
        <v>2275</v>
      </c>
      <c r="E65" s="300"/>
      <c r="F65" s="300"/>
      <c r="G65" s="300"/>
      <c r="H65" s="300"/>
      <c r="I65" s="300"/>
      <c r="J65" s="300"/>
      <c r="K65" s="300"/>
      <c r="L65" s="300"/>
      <c r="M65" s="1178" t="s">
        <v>2499</v>
      </c>
      <c r="O65" s="300"/>
      <c r="P65" s="300"/>
      <c r="Q65" s="300"/>
      <c r="R65" s="357" t="s">
        <v>1770</v>
      </c>
      <c r="S65" s="311" t="s">
        <v>2276</v>
      </c>
      <c r="U65" s="300"/>
      <c r="V65" s="300"/>
      <c r="W65" s="300"/>
      <c r="X65" s="300"/>
      <c r="Y65" s="300"/>
      <c r="Z65" s="300"/>
      <c r="AA65" s="300"/>
      <c r="AB65" s="313" t="s">
        <v>5</v>
      </c>
      <c r="AC65" s="2126">
        <v>8</v>
      </c>
      <c r="AD65" s="2126"/>
      <c r="AE65" s="801"/>
      <c r="AF65" s="2127"/>
      <c r="AG65" s="2127"/>
      <c r="AH65" s="2127"/>
      <c r="AI65" s="300"/>
      <c r="AJ65" s="300"/>
      <c r="AK65" s="300"/>
      <c r="AL65" s="300"/>
      <c r="AM65" s="300"/>
      <c r="AN65" s="315"/>
    </row>
    <row r="66" spans="3:46" s="300" customFormat="1" ht="3.95" customHeight="1">
      <c r="C66" s="354"/>
      <c r="D66" s="311"/>
      <c r="M66" s="681"/>
      <c r="S66" s="313"/>
      <c r="X66" s="357"/>
      <c r="Y66" s="311"/>
      <c r="AE66" s="802"/>
      <c r="AF66" s="681"/>
      <c r="AN66" s="315"/>
    </row>
    <row r="67" spans="3:46" ht="14.1" customHeight="1">
      <c r="C67" s="354" t="s">
        <v>1770</v>
      </c>
      <c r="D67" s="311" t="s">
        <v>2277</v>
      </c>
      <c r="E67" s="300"/>
      <c r="F67" s="311"/>
      <c r="G67" s="300"/>
      <c r="H67" s="300"/>
      <c r="I67" s="300"/>
      <c r="J67" s="300"/>
      <c r="K67" s="300"/>
      <c r="L67" s="300"/>
      <c r="M67" s="1178" t="s">
        <v>2499</v>
      </c>
      <c r="O67" s="300"/>
      <c r="P67" s="300"/>
      <c r="Q67" s="300"/>
      <c r="R67" s="357" t="s">
        <v>1770</v>
      </c>
      <c r="S67" s="311" t="s">
        <v>2278</v>
      </c>
      <c r="U67" s="300"/>
      <c r="V67" s="300"/>
      <c r="W67" s="300"/>
      <c r="X67" s="311"/>
      <c r="Y67" s="300"/>
      <c r="Z67" s="300"/>
      <c r="AA67" s="300"/>
      <c r="AB67" s="313" t="s">
        <v>5</v>
      </c>
      <c r="AC67" s="2118" t="s">
        <v>2515</v>
      </c>
      <c r="AD67" s="2118"/>
      <c r="AE67" s="2118"/>
      <c r="AF67" s="2118"/>
      <c r="AG67" s="2118"/>
      <c r="AH67" s="2118"/>
      <c r="AI67" s="2118"/>
      <c r="AJ67" s="2118"/>
      <c r="AK67" s="2118"/>
      <c r="AL67" s="2118"/>
      <c r="AM67" s="2118"/>
      <c r="AN67" s="315"/>
    </row>
    <row r="68" spans="3:46" s="300" customFormat="1" ht="3.95" customHeight="1">
      <c r="C68" s="354"/>
      <c r="D68" s="311"/>
      <c r="F68" s="311"/>
      <c r="M68" s="681"/>
      <c r="S68" s="313"/>
      <c r="X68" s="357"/>
      <c r="Y68" s="311"/>
      <c r="AE68" s="802"/>
      <c r="AF68" s="681"/>
      <c r="AN68" s="315"/>
    </row>
    <row r="69" spans="3:46" ht="14.1" customHeight="1">
      <c r="C69" s="354" t="s">
        <v>1770</v>
      </c>
      <c r="D69" s="311" t="s">
        <v>2279</v>
      </c>
      <c r="E69" s="300"/>
      <c r="F69" s="311"/>
      <c r="G69" s="300"/>
      <c r="H69" s="300"/>
      <c r="I69" s="300"/>
      <c r="J69" s="300"/>
      <c r="K69" s="300"/>
      <c r="L69" s="300"/>
      <c r="M69" s="1178" t="s">
        <v>3</v>
      </c>
      <c r="O69" s="300"/>
      <c r="P69" s="300"/>
      <c r="Q69" s="300"/>
      <c r="R69" s="357" t="s">
        <v>1770</v>
      </c>
      <c r="S69" s="311" t="s">
        <v>2280</v>
      </c>
      <c r="U69" s="300"/>
      <c r="V69" s="300"/>
      <c r="W69" s="300"/>
      <c r="X69" s="311"/>
      <c r="Y69" s="300"/>
      <c r="Z69" s="300"/>
      <c r="AA69" s="300"/>
      <c r="AB69" s="313" t="s">
        <v>5</v>
      </c>
      <c r="AC69" s="2118" t="s">
        <v>2516</v>
      </c>
      <c r="AD69" s="2118"/>
      <c r="AE69" s="2118"/>
      <c r="AF69" s="2118"/>
      <c r="AG69" s="2118"/>
      <c r="AH69" s="2118"/>
      <c r="AI69" s="2118"/>
      <c r="AJ69" s="2118"/>
      <c r="AK69" s="2118"/>
      <c r="AL69" s="2118"/>
      <c r="AM69" s="2118"/>
      <c r="AN69" s="315"/>
    </row>
    <row r="70" spans="3:46" ht="3.95" customHeight="1">
      <c r="C70" s="354"/>
      <c r="D70" s="311"/>
      <c r="E70" s="802"/>
      <c r="F70" s="802"/>
      <c r="G70" s="802"/>
      <c r="H70" s="802"/>
      <c r="I70" s="300"/>
      <c r="J70" s="300"/>
      <c r="K70" s="300"/>
      <c r="L70" s="300"/>
      <c r="M70" s="681"/>
      <c r="O70" s="300"/>
      <c r="P70" s="300"/>
      <c r="Q70" s="300"/>
      <c r="R70" s="357"/>
      <c r="S70" s="311"/>
      <c r="U70" s="300"/>
      <c r="V70" s="300"/>
      <c r="W70" s="300"/>
      <c r="X70" s="300"/>
      <c r="Y70" s="300"/>
      <c r="Z70" s="300"/>
      <c r="AA70" s="300"/>
      <c r="AB70" s="313"/>
      <c r="AC70" s="1164"/>
      <c r="AD70" s="1164"/>
      <c r="AE70" s="1164"/>
      <c r="AF70" s="1164"/>
      <c r="AG70" s="300"/>
      <c r="AH70" s="300"/>
      <c r="AI70" s="300"/>
      <c r="AJ70" s="300"/>
      <c r="AK70" s="300"/>
      <c r="AL70" s="300"/>
      <c r="AM70" s="300"/>
      <c r="AN70" s="315"/>
    </row>
    <row r="71" spans="3:46" ht="14.1" customHeight="1">
      <c r="C71" s="803" t="s">
        <v>1770</v>
      </c>
      <c r="D71" s="966" t="s">
        <v>2281</v>
      </c>
      <c r="E71" s="802"/>
      <c r="F71" s="802"/>
      <c r="G71" s="802"/>
      <c r="H71" s="802"/>
      <c r="I71" s="300"/>
      <c r="J71" s="300"/>
      <c r="K71" s="300"/>
      <c r="L71" s="300"/>
      <c r="M71" s="1178" t="s">
        <v>2499</v>
      </c>
      <c r="O71" s="300"/>
      <c r="P71" s="300"/>
      <c r="Q71" s="300"/>
      <c r="R71" s="357" t="s">
        <v>1770</v>
      </c>
      <c r="S71" s="311" t="s">
        <v>2282</v>
      </c>
      <c r="U71" s="300"/>
      <c r="V71" s="300"/>
      <c r="W71" s="300"/>
      <c r="X71" s="300"/>
      <c r="Y71" s="300"/>
      <c r="Z71" s="300"/>
      <c r="AA71" s="300"/>
      <c r="AB71" s="313" t="s">
        <v>5</v>
      </c>
      <c r="AC71" s="2118" t="s">
        <v>2517</v>
      </c>
      <c r="AD71" s="2118"/>
      <c r="AE71" s="2118"/>
      <c r="AF71" s="2118"/>
      <c r="AG71" s="2118"/>
      <c r="AH71" s="2118"/>
      <c r="AI71" s="2118"/>
      <c r="AJ71" s="2118"/>
      <c r="AK71" s="2118"/>
      <c r="AL71" s="2118"/>
      <c r="AM71" s="2118"/>
      <c r="AN71" s="315"/>
    </row>
    <row r="72" spans="3:46" ht="2.1" customHeight="1">
      <c r="C72" s="354"/>
      <c r="D72" s="2125"/>
      <c r="E72" s="2125"/>
      <c r="F72" s="2125"/>
      <c r="G72" s="2125"/>
      <c r="H72" s="2125"/>
      <c r="I72" s="307"/>
      <c r="J72" s="307"/>
      <c r="K72" s="300"/>
      <c r="L72" s="300"/>
      <c r="M72" s="300"/>
      <c r="N72" s="300"/>
      <c r="O72" s="300"/>
      <c r="P72" s="300"/>
      <c r="Q72" s="300"/>
      <c r="R72" s="300"/>
      <c r="S72" s="313"/>
      <c r="U72" s="300"/>
      <c r="V72" s="300"/>
      <c r="W72" s="300"/>
      <c r="X72" s="357"/>
      <c r="Y72" s="311"/>
      <c r="Z72" s="300"/>
      <c r="AA72" s="300"/>
      <c r="AB72" s="300"/>
      <c r="AC72" s="300"/>
      <c r="AD72" s="300"/>
      <c r="AE72" s="802"/>
      <c r="AF72" s="681"/>
      <c r="AG72" s="300"/>
      <c r="AH72" s="300"/>
      <c r="AI72" s="300"/>
      <c r="AJ72" s="300"/>
      <c r="AK72" s="300"/>
      <c r="AL72" s="300"/>
      <c r="AM72" s="300"/>
      <c r="AN72" s="315"/>
      <c r="AQ72" s="804"/>
      <c r="AR72" s="300"/>
    </row>
    <row r="73" spans="3:46" ht="14.1" customHeight="1">
      <c r="C73" s="769"/>
      <c r="D73" s="2125"/>
      <c r="E73" s="2125"/>
      <c r="F73" s="2125"/>
      <c r="G73" s="2125"/>
      <c r="H73" s="2125"/>
      <c r="I73" s="300"/>
      <c r="J73" s="300"/>
      <c r="K73" s="300"/>
      <c r="L73" s="300"/>
      <c r="M73" s="300"/>
      <c r="N73" s="300"/>
      <c r="O73" s="300"/>
      <c r="P73" s="300"/>
      <c r="Q73" s="300"/>
      <c r="R73" s="357" t="s">
        <v>1770</v>
      </c>
      <c r="S73" s="311" t="s">
        <v>2283</v>
      </c>
      <c r="U73" s="300"/>
      <c r="V73" s="300"/>
      <c r="W73" s="300"/>
      <c r="X73" s="300"/>
      <c r="Y73" s="300"/>
      <c r="Z73" s="300"/>
      <c r="AA73" s="300"/>
      <c r="AB73" s="313" t="s">
        <v>5</v>
      </c>
      <c r="AC73" s="2118" t="s">
        <v>2518</v>
      </c>
      <c r="AD73" s="2118"/>
      <c r="AE73" s="2118"/>
      <c r="AF73" s="2118"/>
      <c r="AG73" s="2118"/>
      <c r="AH73" s="2118"/>
      <c r="AI73" s="2118"/>
      <c r="AJ73" s="2118"/>
      <c r="AK73" s="2118"/>
      <c r="AL73" s="2118"/>
      <c r="AM73" s="2118"/>
      <c r="AN73" s="315"/>
      <c r="AO73" s="805"/>
      <c r="AP73" s="806"/>
      <c r="AQ73" s="806"/>
      <c r="AR73" s="806"/>
      <c r="AS73" s="806"/>
      <c r="AT73" s="806"/>
    </row>
    <row r="74" spans="3:46" ht="3.95" customHeight="1">
      <c r="C74" s="1179"/>
      <c r="D74" s="363"/>
      <c r="E74" s="336"/>
      <c r="F74" s="1047"/>
      <c r="G74" s="1047"/>
      <c r="H74" s="1047"/>
      <c r="I74" s="1047"/>
      <c r="J74" s="1047"/>
      <c r="K74" s="336"/>
      <c r="L74" s="336"/>
      <c r="M74" s="1180"/>
      <c r="N74" s="336"/>
      <c r="O74" s="1181"/>
      <c r="P74" s="336"/>
      <c r="Q74" s="807"/>
      <c r="R74" s="363"/>
      <c r="S74" s="336"/>
      <c r="T74" s="336"/>
      <c r="U74" s="336"/>
      <c r="V74" s="336"/>
      <c r="W74" s="336"/>
      <c r="X74" s="808"/>
      <c r="Y74" s="336"/>
      <c r="Z74" s="336"/>
      <c r="AA74" s="336"/>
      <c r="AB74" s="336"/>
      <c r="AC74" s="336"/>
      <c r="AD74" s="336"/>
      <c r="AE74" s="336"/>
      <c r="AF74" s="336"/>
      <c r="AG74" s="1182"/>
      <c r="AH74" s="336"/>
      <c r="AI74" s="336"/>
      <c r="AJ74" s="336"/>
      <c r="AK74" s="336"/>
      <c r="AL74" s="336"/>
      <c r="AM74" s="336"/>
      <c r="AN74" s="337"/>
      <c r="AQ74" s="804"/>
      <c r="AR74" s="300"/>
    </row>
    <row r="75" spans="3:46" ht="3" customHeight="1">
      <c r="C75" s="809"/>
      <c r="D75" s="300"/>
      <c r="E75" s="311"/>
      <c r="F75" s="300"/>
      <c r="G75" s="300"/>
      <c r="H75" s="300"/>
      <c r="I75" s="300"/>
      <c r="J75" s="300"/>
      <c r="K75" s="300"/>
      <c r="L75" s="300"/>
      <c r="M75" s="300"/>
      <c r="N75" s="300"/>
      <c r="O75" s="300"/>
      <c r="P75" s="300"/>
      <c r="Q75" s="300"/>
      <c r="R75" s="300"/>
      <c r="S75" s="300"/>
      <c r="T75" s="300"/>
      <c r="U75" s="300"/>
      <c r="V75" s="300"/>
      <c r="W75" s="300"/>
      <c r="X75" s="300"/>
      <c r="Y75" s="300"/>
      <c r="Z75" s="810"/>
      <c r="AA75" s="300"/>
      <c r="AB75" s="300"/>
      <c r="AC75" s="300"/>
      <c r="AD75" s="300"/>
      <c r="AE75" s="300"/>
      <c r="AF75" s="300"/>
      <c r="AG75" s="300"/>
      <c r="AH75" s="300"/>
      <c r="AI75" s="300"/>
      <c r="AJ75" s="300"/>
      <c r="AK75" s="302"/>
      <c r="AL75" s="302"/>
      <c r="AM75" s="302"/>
      <c r="AN75" s="315"/>
      <c r="AP75" s="811"/>
      <c r="AQ75" s="811"/>
      <c r="AR75" s="300"/>
    </row>
    <row r="76" spans="3:46" s="298" customFormat="1" ht="15" customHeight="1">
      <c r="C76" s="2122" t="s">
        <v>2284</v>
      </c>
      <c r="D76" s="2123"/>
      <c r="E76" s="2123"/>
      <c r="F76" s="2123"/>
      <c r="G76" s="2123"/>
      <c r="H76" s="2123"/>
      <c r="I76" s="2123"/>
      <c r="J76" s="2123"/>
      <c r="K76" s="2123"/>
      <c r="L76" s="2123"/>
      <c r="M76" s="2123"/>
      <c r="N76" s="2123"/>
      <c r="O76" s="2123"/>
      <c r="P76" s="2123"/>
      <c r="Q76" s="2123"/>
      <c r="R76" s="2123"/>
      <c r="S76" s="2123"/>
      <c r="T76" s="2123"/>
      <c r="U76" s="2123"/>
      <c r="V76" s="2123"/>
      <c r="W76" s="2123"/>
      <c r="X76" s="2123"/>
      <c r="Y76" s="2123"/>
      <c r="Z76" s="2123"/>
      <c r="AA76" s="2123"/>
      <c r="AB76" s="2123"/>
      <c r="AC76" s="2123"/>
      <c r="AD76" s="2123"/>
      <c r="AE76" s="2123"/>
      <c r="AF76" s="2123"/>
      <c r="AG76" s="2123"/>
      <c r="AH76" s="2123"/>
      <c r="AI76" s="2123"/>
      <c r="AJ76" s="2123"/>
      <c r="AK76" s="2123"/>
      <c r="AL76" s="2123"/>
      <c r="AM76" s="2123"/>
      <c r="AN76" s="2124"/>
      <c r="AO76" s="799"/>
      <c r="AR76" s="800"/>
    </row>
    <row r="77" spans="3:46" s="300" customFormat="1" ht="2.1" customHeight="1">
      <c r="C77" s="354"/>
      <c r="Q77" s="774"/>
      <c r="U77" s="798"/>
      <c r="V77" s="798"/>
      <c r="W77" s="798"/>
      <c r="X77" s="774"/>
      <c r="AL77" s="774"/>
      <c r="AN77" s="315"/>
    </row>
    <row r="78" spans="3:46" ht="14.1" customHeight="1">
      <c r="C78" s="354" t="s">
        <v>1770</v>
      </c>
      <c r="D78" s="311" t="s">
        <v>2285</v>
      </c>
      <c r="E78" s="300"/>
      <c r="F78" s="300"/>
      <c r="G78" s="300"/>
      <c r="I78" s="313" t="s">
        <v>5</v>
      </c>
      <c r="J78" s="2118" t="s">
        <v>2519</v>
      </c>
      <c r="K78" s="2118"/>
      <c r="L78" s="2118"/>
      <c r="M78" s="2118"/>
      <c r="N78" s="2118"/>
      <c r="O78" s="2118"/>
      <c r="P78" s="2118"/>
      <c r="Q78" s="2118"/>
      <c r="R78" s="2118"/>
      <c r="S78" s="2118"/>
      <c r="T78" s="2118"/>
      <c r="U78" s="801"/>
      <c r="V78" s="801"/>
      <c r="W78" s="801"/>
      <c r="X78" s="774"/>
      <c r="Y78" s="357"/>
      <c r="Z78" s="311"/>
      <c r="AA78" s="300"/>
      <c r="AB78" s="300"/>
      <c r="AC78" s="300"/>
      <c r="AD78" s="313"/>
      <c r="AE78" s="812"/>
      <c r="AF78" s="812"/>
      <c r="AG78" s="812"/>
      <c r="AH78" s="812"/>
      <c r="AI78" s="812"/>
      <c r="AJ78" s="812"/>
      <c r="AK78" s="812"/>
      <c r="AL78" s="812"/>
      <c r="AM78" s="812"/>
      <c r="AN78" s="1183"/>
    </row>
    <row r="79" spans="3:46" s="300" customFormat="1" ht="2.1" customHeight="1">
      <c r="C79" s="354"/>
      <c r="J79" s="311"/>
      <c r="K79" s="311"/>
      <c r="L79" s="311"/>
      <c r="M79" s="311"/>
      <c r="N79" s="311"/>
      <c r="O79" s="311"/>
      <c r="P79" s="311"/>
      <c r="Q79" s="1227"/>
      <c r="R79" s="311"/>
      <c r="S79" s="311"/>
      <c r="T79" s="311"/>
      <c r="U79" s="798"/>
      <c r="V79" s="798"/>
      <c r="W79" s="798"/>
      <c r="X79" s="774"/>
      <c r="AL79" s="774"/>
      <c r="AN79" s="315"/>
    </row>
    <row r="80" spans="3:46" ht="14.1" customHeight="1">
      <c r="C80" s="354" t="s">
        <v>1770</v>
      </c>
      <c r="D80" s="311" t="s">
        <v>2286</v>
      </c>
      <c r="E80" s="300"/>
      <c r="F80" s="300"/>
      <c r="G80" s="300"/>
      <c r="I80" s="313" t="s">
        <v>5</v>
      </c>
      <c r="J80" s="2118" t="s">
        <v>2520</v>
      </c>
      <c r="K80" s="2118"/>
      <c r="L80" s="2118"/>
      <c r="M80" s="2118"/>
      <c r="N80" s="2118"/>
      <c r="O80" s="2118"/>
      <c r="P80" s="2118"/>
      <c r="Q80" s="2118"/>
      <c r="R80" s="2118"/>
      <c r="S80" s="2118"/>
      <c r="T80" s="2118"/>
      <c r="U80" s="801"/>
      <c r="V80" s="801"/>
      <c r="W80" s="801"/>
      <c r="X80" s="774"/>
      <c r="Y80" s="357"/>
      <c r="Z80" s="311"/>
      <c r="AA80" s="300"/>
      <c r="AB80" s="300"/>
      <c r="AC80" s="300"/>
      <c r="AD80" s="313"/>
      <c r="AE80" s="812"/>
      <c r="AF80" s="812"/>
      <c r="AG80" s="812"/>
      <c r="AH80" s="812"/>
      <c r="AI80" s="812"/>
      <c r="AJ80" s="812"/>
      <c r="AK80" s="812"/>
      <c r="AL80" s="812"/>
      <c r="AM80" s="812"/>
      <c r="AN80" s="1183"/>
    </row>
    <row r="81" spans="2:46" s="300" customFormat="1" ht="2.1" customHeight="1">
      <c r="C81" s="354"/>
      <c r="D81" s="774"/>
      <c r="G81" s="774"/>
      <c r="I81" s="774"/>
      <c r="J81" s="1227"/>
      <c r="K81" s="1227"/>
      <c r="L81" s="1227"/>
      <c r="M81" s="1227"/>
      <c r="N81" s="311"/>
      <c r="O81" s="311"/>
      <c r="P81" s="311"/>
      <c r="Q81" s="1227"/>
      <c r="R81" s="311"/>
      <c r="S81" s="311"/>
      <c r="T81" s="311"/>
      <c r="W81" s="802"/>
      <c r="X81" s="681"/>
      <c r="Y81" s="774"/>
      <c r="Z81" s="774"/>
      <c r="AC81" s="774"/>
      <c r="AD81" s="774"/>
      <c r="AE81" s="774"/>
      <c r="AF81" s="774"/>
      <c r="AG81" s="774"/>
      <c r="AH81" s="774"/>
      <c r="AL81" s="774"/>
      <c r="AN81" s="315"/>
    </row>
    <row r="82" spans="2:46" ht="14.1" customHeight="1">
      <c r="C82" s="354" t="s">
        <v>1770</v>
      </c>
      <c r="D82" s="305" t="s">
        <v>2287</v>
      </c>
      <c r="E82" s="300"/>
      <c r="F82" s="300"/>
      <c r="G82" s="300"/>
      <c r="I82" s="313" t="s">
        <v>5</v>
      </c>
      <c r="J82" s="2118" t="s">
        <v>2218</v>
      </c>
      <c r="K82" s="2118"/>
      <c r="L82" s="2118"/>
      <c r="M82" s="2118"/>
      <c r="N82" s="2118"/>
      <c r="O82" s="2118"/>
      <c r="P82" s="2118"/>
      <c r="Q82" s="2118"/>
      <c r="R82" s="2118"/>
      <c r="S82" s="2118"/>
      <c r="T82" s="2118"/>
      <c r="U82" s="812"/>
      <c r="V82" s="645"/>
      <c r="W82" s="645"/>
      <c r="X82" s="645"/>
      <c r="Y82" s="357"/>
      <c r="Z82" s="305"/>
      <c r="AA82" s="300"/>
      <c r="AB82" s="300"/>
      <c r="AC82" s="300"/>
      <c r="AD82" s="313"/>
      <c r="AE82" s="812"/>
      <c r="AF82" s="812"/>
      <c r="AG82" s="812"/>
      <c r="AH82" s="812"/>
      <c r="AI82" s="812"/>
      <c r="AJ82" s="812"/>
      <c r="AK82" s="812"/>
      <c r="AL82" s="812"/>
      <c r="AM82" s="812"/>
      <c r="AN82" s="1183"/>
    </row>
    <row r="83" spans="2:46" s="300" customFormat="1" ht="2.1" customHeight="1">
      <c r="C83" s="354"/>
      <c r="D83" s="774"/>
      <c r="G83" s="774"/>
      <c r="I83" s="774"/>
      <c r="J83" s="1227"/>
      <c r="K83" s="1227"/>
      <c r="L83" s="1227"/>
      <c r="M83" s="1227"/>
      <c r="N83" s="311"/>
      <c r="O83" s="311"/>
      <c r="P83" s="311"/>
      <c r="Q83" s="1227"/>
      <c r="R83" s="311"/>
      <c r="S83" s="311"/>
      <c r="T83" s="311"/>
      <c r="W83" s="802"/>
      <c r="X83" s="681"/>
      <c r="Y83" s="774"/>
      <c r="Z83" s="774"/>
      <c r="AC83" s="774"/>
      <c r="AD83" s="774"/>
      <c r="AE83" s="774"/>
      <c r="AF83" s="774"/>
      <c r="AG83" s="774"/>
      <c r="AH83" s="774"/>
      <c r="AL83" s="774"/>
      <c r="AN83" s="315"/>
    </row>
    <row r="84" spans="2:46" ht="14.1" customHeight="1">
      <c r="C84" s="354" t="s">
        <v>1770</v>
      </c>
      <c r="D84" s="305" t="s">
        <v>2288</v>
      </c>
      <c r="E84" s="300"/>
      <c r="F84" s="300"/>
      <c r="G84" s="300"/>
      <c r="I84" s="313" t="s">
        <v>5</v>
      </c>
      <c r="J84" s="2118" t="s">
        <v>2521</v>
      </c>
      <c r="K84" s="2118"/>
      <c r="L84" s="2118"/>
      <c r="M84" s="2118"/>
      <c r="N84" s="2118"/>
      <c r="O84" s="2118"/>
      <c r="P84" s="2118"/>
      <c r="Q84" s="2118"/>
      <c r="R84" s="2118"/>
      <c r="S84" s="2118"/>
      <c r="T84" s="2118"/>
      <c r="U84" s="812"/>
      <c r="V84" s="645"/>
      <c r="W84" s="645"/>
      <c r="X84" s="645"/>
      <c r="Y84" s="357"/>
      <c r="Z84" s="305"/>
      <c r="AA84" s="300"/>
      <c r="AB84" s="300"/>
      <c r="AC84" s="300"/>
      <c r="AD84" s="313"/>
      <c r="AE84" s="812"/>
      <c r="AF84" s="812"/>
      <c r="AG84" s="812"/>
      <c r="AH84" s="812"/>
      <c r="AI84" s="812"/>
      <c r="AJ84" s="812"/>
      <c r="AK84" s="812"/>
      <c r="AL84" s="812"/>
      <c r="AM84" s="812"/>
      <c r="AN84" s="1183"/>
    </row>
    <row r="85" spans="2:46" ht="2.1" customHeight="1">
      <c r="C85" s="354"/>
      <c r="D85" s="774"/>
      <c r="E85" s="300"/>
      <c r="F85" s="300"/>
      <c r="G85" s="774"/>
      <c r="I85" s="774"/>
      <c r="J85" s="1227"/>
      <c r="K85" s="1227"/>
      <c r="L85" s="1227"/>
      <c r="M85" s="1227"/>
      <c r="N85" s="311"/>
      <c r="O85" s="311"/>
      <c r="P85" s="311"/>
      <c r="Q85" s="1227"/>
      <c r="R85" s="311"/>
      <c r="S85" s="311"/>
      <c r="T85" s="311"/>
      <c r="U85" s="1164"/>
      <c r="V85" s="1164"/>
      <c r="W85" s="1164"/>
      <c r="X85" s="1164"/>
      <c r="Y85" s="774"/>
      <c r="Z85" s="774"/>
      <c r="AA85" s="300"/>
      <c r="AB85" s="300"/>
      <c r="AC85" s="774"/>
      <c r="AD85" s="774"/>
      <c r="AE85" s="774"/>
      <c r="AF85" s="774"/>
      <c r="AG85" s="774"/>
      <c r="AH85" s="774"/>
      <c r="AI85" s="300"/>
      <c r="AJ85" s="300"/>
      <c r="AK85" s="300"/>
      <c r="AL85" s="774"/>
      <c r="AM85" s="300"/>
      <c r="AN85" s="315"/>
    </row>
    <row r="86" spans="2:46" ht="14.1" customHeight="1">
      <c r="C86" s="803" t="s">
        <v>1770</v>
      </c>
      <c r="D86" s="305" t="s">
        <v>2289</v>
      </c>
      <c r="E86" s="300"/>
      <c r="F86" s="300"/>
      <c r="G86" s="311"/>
      <c r="I86" s="313" t="s">
        <v>5</v>
      </c>
      <c r="J86" s="2118" t="s">
        <v>2522</v>
      </c>
      <c r="K86" s="2118"/>
      <c r="L86" s="2118"/>
      <c r="M86" s="2118"/>
      <c r="N86" s="2118"/>
      <c r="O86" s="2118"/>
      <c r="P86" s="2118"/>
      <c r="Q86" s="2118"/>
      <c r="R86" s="2118"/>
      <c r="S86" s="2118"/>
      <c r="T86" s="2118"/>
      <c r="U86" s="812"/>
      <c r="V86" s="812"/>
      <c r="W86" s="812"/>
      <c r="X86" s="812"/>
      <c r="Y86" s="357"/>
      <c r="Z86" s="305"/>
      <c r="AA86" s="300"/>
      <c r="AB86" s="300"/>
      <c r="AC86" s="311"/>
      <c r="AD86" s="313"/>
      <c r="AE86" s="812"/>
      <c r="AF86" s="812"/>
      <c r="AG86" s="812"/>
      <c r="AH86" s="812"/>
      <c r="AI86" s="812"/>
      <c r="AJ86" s="812"/>
      <c r="AK86" s="812"/>
      <c r="AL86" s="812"/>
      <c r="AM86" s="812"/>
      <c r="AN86" s="1183"/>
    </row>
    <row r="87" spans="2:46" ht="2.1" customHeight="1">
      <c r="C87" s="803"/>
      <c r="D87" s="300"/>
      <c r="E87" s="300"/>
      <c r="F87" s="300"/>
      <c r="G87" s="300"/>
      <c r="H87" s="300"/>
      <c r="I87" s="300"/>
      <c r="J87" s="311"/>
      <c r="K87" s="311"/>
      <c r="L87" s="311"/>
      <c r="M87" s="311"/>
      <c r="N87" s="311"/>
      <c r="O87" s="311"/>
      <c r="P87" s="311"/>
      <c r="Q87" s="311"/>
      <c r="R87" s="311"/>
      <c r="S87" s="311"/>
      <c r="T87" s="311"/>
      <c r="U87" s="300"/>
      <c r="V87" s="300"/>
      <c r="W87" s="802"/>
      <c r="X87" s="681"/>
      <c r="Y87" s="300"/>
      <c r="Z87" s="300"/>
      <c r="AA87" s="300"/>
      <c r="AB87" s="300"/>
      <c r="AC87" s="300"/>
      <c r="AD87" s="300"/>
      <c r="AE87" s="300"/>
      <c r="AF87" s="300"/>
      <c r="AG87" s="300"/>
      <c r="AH87" s="300"/>
      <c r="AI87" s="300"/>
      <c r="AJ87" s="300"/>
      <c r="AK87" s="300"/>
      <c r="AL87" s="300"/>
      <c r="AM87" s="300"/>
      <c r="AN87" s="315"/>
      <c r="AQ87" s="804"/>
      <c r="AR87" s="300"/>
    </row>
    <row r="88" spans="2:46" ht="14.1" customHeight="1">
      <c r="C88" s="803" t="s">
        <v>1770</v>
      </c>
      <c r="D88" s="305" t="s">
        <v>2290</v>
      </c>
      <c r="E88" s="300"/>
      <c r="F88" s="300"/>
      <c r="G88" s="304"/>
      <c r="H88" s="304"/>
      <c r="I88" s="357"/>
      <c r="J88" s="305"/>
      <c r="K88" s="813"/>
      <c r="L88" s="813"/>
      <c r="M88" s="339" t="s">
        <v>5</v>
      </c>
      <c r="N88" s="2121">
        <v>20</v>
      </c>
      <c r="O88" s="2121"/>
      <c r="P88" s="2121"/>
      <c r="Q88" s="814"/>
      <c r="R88" s="814"/>
      <c r="S88" s="814"/>
      <c r="T88" s="300"/>
      <c r="U88" s="812"/>
      <c r="V88" s="812"/>
      <c r="W88" s="812"/>
      <c r="X88" s="812"/>
      <c r="Y88" s="357"/>
      <c r="Z88" s="305"/>
      <c r="AA88" s="300"/>
      <c r="AB88" s="300"/>
      <c r="AC88" s="304"/>
      <c r="AD88" s="304"/>
      <c r="AE88" s="357"/>
      <c r="AF88" s="305"/>
      <c r="AG88" s="813"/>
      <c r="AH88" s="339"/>
      <c r="AI88" s="814"/>
      <c r="AJ88" s="814"/>
      <c r="AK88" s="814"/>
      <c r="AL88" s="814"/>
      <c r="AM88" s="814"/>
      <c r="AN88" s="1184"/>
      <c r="AO88" s="805" t="s">
        <v>2291</v>
      </c>
      <c r="AP88" s="806"/>
      <c r="AQ88" s="806"/>
      <c r="AR88" s="806"/>
      <c r="AS88" s="806"/>
      <c r="AT88" s="806"/>
    </row>
    <row r="89" spans="2:46" ht="2.1" customHeight="1">
      <c r="C89" s="803"/>
      <c r="D89" s="305"/>
      <c r="E89" s="300"/>
      <c r="F89" s="300"/>
      <c r="G89" s="300"/>
      <c r="H89" s="300"/>
      <c r="I89" s="357"/>
      <c r="J89" s="311"/>
      <c r="K89" s="802"/>
      <c r="L89" s="802"/>
      <c r="M89" s="313"/>
      <c r="N89" s="815"/>
      <c r="O89" s="815"/>
      <c r="P89" s="815"/>
      <c r="Q89" s="304"/>
      <c r="R89" s="300"/>
      <c r="S89" s="300"/>
      <c r="T89" s="300"/>
      <c r="U89" s="300"/>
      <c r="V89" s="300"/>
      <c r="W89" s="300"/>
      <c r="X89" s="774"/>
      <c r="Y89" s="357"/>
      <c r="Z89" s="305"/>
      <c r="AA89" s="300"/>
      <c r="AB89" s="300"/>
      <c r="AC89" s="300"/>
      <c r="AD89" s="300"/>
      <c r="AE89" s="357"/>
      <c r="AF89" s="311"/>
      <c r="AG89" s="802"/>
      <c r="AH89" s="313"/>
      <c r="AI89" s="815"/>
      <c r="AJ89" s="815"/>
      <c r="AK89" s="815"/>
      <c r="AL89" s="304"/>
      <c r="AM89" s="300"/>
      <c r="AN89" s="315"/>
      <c r="AQ89" s="804"/>
      <c r="AR89" s="300"/>
    </row>
    <row r="90" spans="2:46" ht="14.1" customHeight="1">
      <c r="C90" s="803" t="s">
        <v>1770</v>
      </c>
      <c r="D90" s="305" t="s">
        <v>2292</v>
      </c>
      <c r="E90" s="300"/>
      <c r="F90" s="300"/>
      <c r="G90" s="300"/>
      <c r="H90" s="300"/>
      <c r="I90" s="357"/>
      <c r="J90" s="311"/>
      <c r="K90" s="802"/>
      <c r="L90" s="802"/>
      <c r="M90" s="313" t="s">
        <v>5</v>
      </c>
      <c r="N90" s="2118" t="s">
        <v>2517</v>
      </c>
      <c r="O90" s="2118"/>
      <c r="P90" s="2118"/>
      <c r="Q90" s="2118"/>
      <c r="R90" s="812"/>
      <c r="S90" s="812"/>
      <c r="T90" s="300"/>
      <c r="U90" s="300"/>
      <c r="V90" s="300"/>
      <c r="W90" s="300"/>
      <c r="X90" s="774"/>
      <c r="Y90" s="357"/>
      <c r="Z90" s="305"/>
      <c r="AA90" s="300"/>
      <c r="AB90" s="300"/>
      <c r="AC90" s="300"/>
      <c r="AD90" s="300"/>
      <c r="AE90" s="357"/>
      <c r="AF90" s="311"/>
      <c r="AG90" s="802"/>
      <c r="AH90" s="313"/>
      <c r="AI90" s="812"/>
      <c r="AJ90" s="812"/>
      <c r="AK90" s="812"/>
      <c r="AL90" s="812"/>
      <c r="AM90" s="812"/>
      <c r="AN90" s="1183"/>
      <c r="AO90" s="816"/>
      <c r="AQ90" s="804"/>
      <c r="AR90" s="300"/>
    </row>
    <row r="91" spans="2:46" ht="2.1" customHeight="1">
      <c r="C91" s="803"/>
      <c r="D91" s="300"/>
      <c r="E91" s="300"/>
      <c r="F91" s="300"/>
      <c r="G91" s="300"/>
      <c r="H91" s="300"/>
      <c r="I91" s="300"/>
      <c r="J91" s="300"/>
      <c r="K91" s="300"/>
      <c r="L91" s="300"/>
      <c r="M91" s="300"/>
      <c r="N91" s="304"/>
      <c r="O91" s="304"/>
      <c r="P91" s="304"/>
      <c r="Q91" s="304"/>
      <c r="R91" s="300"/>
      <c r="S91" s="300"/>
      <c r="T91" s="300"/>
      <c r="U91" s="300"/>
      <c r="V91" s="300"/>
      <c r="W91" s="300"/>
      <c r="X91" s="774"/>
      <c r="Y91" s="300"/>
      <c r="Z91" s="300"/>
      <c r="AA91" s="300"/>
      <c r="AB91" s="300"/>
      <c r="AC91" s="300"/>
      <c r="AD91" s="300"/>
      <c r="AE91" s="300"/>
      <c r="AF91" s="300"/>
      <c r="AG91" s="300"/>
      <c r="AH91" s="300"/>
      <c r="AI91" s="304"/>
      <c r="AJ91" s="304"/>
      <c r="AK91" s="304"/>
      <c r="AL91" s="304"/>
      <c r="AM91" s="300"/>
      <c r="AN91" s="315"/>
      <c r="AO91" s="307"/>
      <c r="AQ91" s="804"/>
      <c r="AR91" s="300"/>
    </row>
    <row r="92" spans="2:46" ht="14.1" customHeight="1">
      <c r="C92" s="803" t="s">
        <v>1770</v>
      </c>
      <c r="D92" s="305" t="s">
        <v>2293</v>
      </c>
      <c r="E92" s="300"/>
      <c r="F92" s="300"/>
      <c r="G92" s="304"/>
      <c r="H92" s="304"/>
      <c r="I92" s="357"/>
      <c r="J92" s="305"/>
      <c r="K92" s="813"/>
      <c r="L92" s="813"/>
      <c r="M92" s="339" t="s">
        <v>5</v>
      </c>
      <c r="N92" s="2119" t="s">
        <v>3</v>
      </c>
      <c r="O92" s="2119"/>
      <c r="P92" s="2119"/>
      <c r="Q92" s="2119"/>
      <c r="R92" s="817"/>
      <c r="S92" s="817"/>
      <c r="T92" s="300"/>
      <c r="U92" s="300"/>
      <c r="V92" s="300"/>
      <c r="W92" s="300"/>
      <c r="X92" s="774"/>
      <c r="Y92" s="357"/>
      <c r="Z92" s="305"/>
      <c r="AA92" s="300"/>
      <c r="AB92" s="300"/>
      <c r="AC92" s="304"/>
      <c r="AD92" s="304"/>
      <c r="AE92" s="357"/>
      <c r="AF92" s="305"/>
      <c r="AG92" s="813"/>
      <c r="AH92" s="339"/>
      <c r="AI92" s="2119"/>
      <c r="AJ92" s="2119"/>
      <c r="AK92" s="2119"/>
      <c r="AL92" s="2119"/>
      <c r="AM92" s="2119"/>
      <c r="AN92" s="2120"/>
      <c r="AO92" s="816"/>
      <c r="AP92" s="818" t="str">
        <f>IF(AI90="Ada","JARAKNYA BERAPA ?"," ")</f>
        <v xml:space="preserve"> </v>
      </c>
      <c r="AQ92" s="804"/>
      <c r="AR92" s="300"/>
    </row>
    <row r="93" spans="2:46" ht="3.95" customHeight="1">
      <c r="C93" s="1179"/>
      <c r="D93" s="363"/>
      <c r="E93" s="336"/>
      <c r="F93" s="1047"/>
      <c r="G93" s="1047"/>
      <c r="H93" s="1047"/>
      <c r="I93" s="1047"/>
      <c r="J93" s="1047"/>
      <c r="K93" s="336"/>
      <c r="L93" s="336"/>
      <c r="M93" s="1180"/>
      <c r="N93" s="336"/>
      <c r="O93" s="1181"/>
      <c r="P93" s="336"/>
      <c r="Q93" s="807"/>
      <c r="R93" s="363"/>
      <c r="S93" s="336"/>
      <c r="T93" s="336"/>
      <c r="U93" s="336"/>
      <c r="V93" s="336"/>
      <c r="W93" s="336"/>
      <c r="X93" s="336"/>
      <c r="Y93" s="336"/>
      <c r="Z93" s="336"/>
      <c r="AA93" s="336"/>
      <c r="AB93" s="336"/>
      <c r="AC93" s="336"/>
      <c r="AD93" s="336"/>
      <c r="AE93" s="336"/>
      <c r="AF93" s="336"/>
      <c r="AG93" s="1182"/>
      <c r="AH93" s="336"/>
      <c r="AI93" s="336"/>
      <c r="AJ93" s="336"/>
      <c r="AK93" s="336"/>
      <c r="AL93" s="336"/>
      <c r="AM93" s="336"/>
      <c r="AN93" s="337"/>
      <c r="AQ93" s="804"/>
      <c r="AR93" s="300"/>
    </row>
    <row r="94" spans="2:46" ht="24.95" customHeight="1" thickBot="1">
      <c r="C94" s="357"/>
      <c r="D94" s="311"/>
      <c r="E94" s="300"/>
      <c r="F94" s="307"/>
      <c r="G94" s="307"/>
      <c r="H94" s="307"/>
      <c r="I94" s="307"/>
      <c r="J94" s="307"/>
      <c r="K94" s="300"/>
      <c r="L94" s="300"/>
      <c r="M94" s="681"/>
      <c r="N94" s="300"/>
      <c r="O94" s="313"/>
      <c r="P94" s="300"/>
      <c r="Q94" s="357"/>
      <c r="R94" s="311"/>
      <c r="S94" s="300"/>
      <c r="T94" s="300"/>
      <c r="U94" s="300"/>
      <c r="V94" s="300"/>
      <c r="W94" s="300"/>
      <c r="X94" s="300"/>
      <c r="Y94" s="300"/>
      <c r="Z94" s="300"/>
      <c r="AA94" s="300"/>
      <c r="AB94" s="300"/>
      <c r="AC94" s="300"/>
      <c r="AD94" s="300"/>
      <c r="AE94" s="300"/>
      <c r="AF94" s="300"/>
      <c r="AG94" s="822"/>
      <c r="AH94" s="300"/>
      <c r="AI94" s="300"/>
      <c r="AJ94" s="300"/>
      <c r="AK94" s="300"/>
      <c r="AL94" s="300"/>
      <c r="AM94" s="300"/>
      <c r="AN94" s="300"/>
      <c r="AQ94" s="804"/>
      <c r="AR94" s="300"/>
    </row>
    <row r="95" spans="2:46" s="388" customFormat="1" ht="14.1" customHeight="1" thickBot="1">
      <c r="B95" s="383"/>
      <c r="C95" s="383"/>
      <c r="D95" s="383"/>
      <c r="E95" s="383"/>
      <c r="F95" s="383"/>
      <c r="G95" s="383"/>
      <c r="H95" s="383"/>
      <c r="I95" s="383"/>
      <c r="J95" s="383"/>
      <c r="K95" s="383"/>
      <c r="L95" s="383"/>
      <c r="M95" s="383"/>
      <c r="N95" s="383"/>
      <c r="O95" s="383"/>
      <c r="P95" s="383"/>
      <c r="Q95" s="383"/>
      <c r="R95" s="383"/>
      <c r="S95" s="383"/>
      <c r="T95" s="383"/>
      <c r="U95" s="383"/>
      <c r="V95" s="383"/>
      <c r="W95" s="383"/>
      <c r="X95" s="383"/>
      <c r="Y95" s="383"/>
      <c r="Z95" s="383"/>
      <c r="AA95" s="383"/>
      <c r="AB95" s="383"/>
      <c r="AC95" s="383"/>
      <c r="AD95" s="383"/>
      <c r="AE95" s="383"/>
      <c r="AF95" s="383"/>
      <c r="AG95" s="383"/>
      <c r="AH95" s="383"/>
      <c r="AI95" s="383"/>
      <c r="AJ95" s="384"/>
      <c r="AK95" s="384"/>
      <c r="AL95" s="384"/>
      <c r="AM95" s="385"/>
      <c r="AN95" s="384" t="str">
        <f>CONCATENATE("Hal - ",AP95,"  dari  ",AS95)</f>
        <v>Hal - 4  dari  10</v>
      </c>
      <c r="AO95" s="386"/>
      <c r="AP95" s="1881">
        <f>+Asumtas!AQ55+1</f>
        <v>4</v>
      </c>
      <c r="AQ95" s="1882"/>
      <c r="AR95" s="387" t="s">
        <v>3</v>
      </c>
      <c r="AS95" s="1881">
        <f>'Surat-01'!$AW$55</f>
        <v>10</v>
      </c>
      <c r="AT95" s="1882"/>
    </row>
    <row r="96" spans="2:46" ht="75" customHeight="1">
      <c r="C96" s="302"/>
      <c r="D96" s="300"/>
      <c r="E96" s="311"/>
      <c r="F96" s="300"/>
      <c r="G96" s="300"/>
      <c r="H96" s="300"/>
      <c r="I96" s="300"/>
      <c r="J96" s="300"/>
      <c r="K96" s="300"/>
      <c r="L96" s="300"/>
      <c r="M96" s="300"/>
      <c r="N96" s="300"/>
      <c r="O96" s="300"/>
      <c r="Z96" s="810"/>
      <c r="AK96" s="302"/>
      <c r="AL96" s="302"/>
      <c r="AM96" s="302"/>
      <c r="AN96" s="300"/>
      <c r="AP96" s="811"/>
      <c r="AQ96" s="811"/>
      <c r="AR96" s="300"/>
    </row>
    <row r="97" spans="3:58" s="309" customFormat="1" ht="20.100000000000001" customHeight="1">
      <c r="C97" s="2022" t="s">
        <v>2294</v>
      </c>
      <c r="D97" s="2023"/>
      <c r="E97" s="2023"/>
      <c r="F97" s="2023"/>
      <c r="G97" s="2023"/>
      <c r="H97" s="2023"/>
      <c r="I97" s="2023"/>
      <c r="J97" s="2023"/>
      <c r="K97" s="2023"/>
      <c r="L97" s="2023"/>
      <c r="M97" s="2023"/>
      <c r="N97" s="2023"/>
      <c r="O97" s="2023"/>
      <c r="P97" s="2023"/>
      <c r="Q97" s="2023"/>
      <c r="R97" s="2023"/>
      <c r="S97" s="2023"/>
      <c r="T97" s="2023"/>
      <c r="U97" s="2023"/>
      <c r="V97" s="2023"/>
      <c r="W97" s="2023"/>
      <c r="X97" s="2023"/>
      <c r="Y97" s="2023"/>
      <c r="Z97" s="2023"/>
      <c r="AA97" s="2023"/>
      <c r="AB97" s="2023"/>
      <c r="AC97" s="2023"/>
      <c r="AD97" s="2023"/>
      <c r="AE97" s="2023"/>
      <c r="AF97" s="2023"/>
      <c r="AG97" s="2023"/>
      <c r="AH97" s="2023"/>
      <c r="AI97" s="2023"/>
      <c r="AJ97" s="2023"/>
      <c r="AK97" s="2023"/>
      <c r="AL97" s="2023"/>
      <c r="AM97" s="2023"/>
      <c r="AN97" s="2024"/>
      <c r="AO97" s="307"/>
      <c r="AP97" s="306"/>
      <c r="AQ97" s="306"/>
      <c r="AR97" s="307"/>
    </row>
    <row r="98" spans="3:58" ht="22.5" customHeight="1">
      <c r="C98" s="2025" t="s">
        <v>1877</v>
      </c>
      <c r="D98" s="2026"/>
      <c r="E98" s="2026" t="s">
        <v>1963</v>
      </c>
      <c r="F98" s="2026"/>
      <c r="G98" s="2026"/>
      <c r="H98" s="2026"/>
      <c r="I98" s="2026" t="s">
        <v>1964</v>
      </c>
      <c r="J98" s="2026"/>
      <c r="K98" s="2026"/>
      <c r="L98" s="2026"/>
      <c r="M98" s="2026"/>
      <c r="N98" s="2026" t="s">
        <v>2295</v>
      </c>
      <c r="O98" s="2026"/>
      <c r="P98" s="2026"/>
      <c r="Q98" s="2026"/>
      <c r="R98" s="2026"/>
      <c r="S98" s="2026"/>
      <c r="T98" s="2026"/>
      <c r="U98" s="2026" t="s">
        <v>2296</v>
      </c>
      <c r="V98" s="2026"/>
      <c r="W98" s="2026"/>
      <c r="X98" s="2026"/>
      <c r="Y98" s="2026"/>
      <c r="Z98" s="2026"/>
      <c r="AA98" s="2026"/>
      <c r="AB98" s="2026"/>
      <c r="AC98" s="2050" t="s">
        <v>2525</v>
      </c>
      <c r="AD98" s="2026"/>
      <c r="AE98" s="2026"/>
      <c r="AF98" s="2026"/>
      <c r="AG98" s="2026"/>
      <c r="AH98" s="2026"/>
      <c r="AI98" s="2026"/>
      <c r="AJ98" s="2026"/>
      <c r="AK98" s="2026" t="s">
        <v>2297</v>
      </c>
      <c r="AL98" s="2026"/>
      <c r="AM98" s="2026"/>
      <c r="AN98" s="2051"/>
      <c r="AP98" s="299"/>
      <c r="AQ98" s="299"/>
    </row>
    <row r="99" spans="3:58" ht="22.5" customHeight="1">
      <c r="C99" s="2027"/>
      <c r="D99" s="2028"/>
      <c r="E99" s="2028"/>
      <c r="F99" s="2028"/>
      <c r="G99" s="2028"/>
      <c r="H99" s="2028"/>
      <c r="I99" s="2028"/>
      <c r="J99" s="2028"/>
      <c r="K99" s="2028"/>
      <c r="L99" s="2028"/>
      <c r="M99" s="2028"/>
      <c r="N99" s="2028"/>
      <c r="O99" s="2028"/>
      <c r="P99" s="2028"/>
      <c r="Q99" s="2028"/>
      <c r="R99" s="2028"/>
      <c r="S99" s="2028"/>
      <c r="T99" s="2028"/>
      <c r="U99" s="2028" t="s">
        <v>2298</v>
      </c>
      <c r="V99" s="2028"/>
      <c r="W99" s="2028"/>
      <c r="X99" s="2028"/>
      <c r="Y99" s="2028" t="s">
        <v>2299</v>
      </c>
      <c r="Z99" s="2028"/>
      <c r="AA99" s="2028"/>
      <c r="AB99" s="2028"/>
      <c r="AC99" s="2028" t="s">
        <v>2300</v>
      </c>
      <c r="AD99" s="2028"/>
      <c r="AE99" s="2028"/>
      <c r="AF99" s="2028"/>
      <c r="AG99" s="2028" t="s">
        <v>2301</v>
      </c>
      <c r="AH99" s="2028"/>
      <c r="AI99" s="2028"/>
      <c r="AJ99" s="2028"/>
      <c r="AK99" s="2028"/>
      <c r="AL99" s="2028"/>
      <c r="AM99" s="2028"/>
      <c r="AN99" s="2052"/>
      <c r="AP99" s="308"/>
      <c r="AQ99" s="308"/>
      <c r="AR99" s="308"/>
      <c r="AS99" s="308"/>
      <c r="AT99" s="308"/>
      <c r="AU99" s="308"/>
      <c r="AV99" s="308"/>
      <c r="AW99" s="308"/>
      <c r="AX99" s="308"/>
      <c r="AY99" s="308"/>
      <c r="AZ99" s="308"/>
      <c r="BA99" s="308"/>
      <c r="BB99" s="308"/>
      <c r="BC99" s="308"/>
      <c r="BD99" s="308"/>
      <c r="BE99" s="308"/>
      <c r="BF99" s="308"/>
    </row>
    <row r="100" spans="3:58" ht="15.75" hidden="1" customHeight="1">
      <c r="C100" s="2067" t="s">
        <v>1822</v>
      </c>
      <c r="D100" s="2068"/>
      <c r="E100" s="2073" t="s">
        <v>2302</v>
      </c>
      <c r="F100" s="2074"/>
      <c r="G100" s="2074"/>
      <c r="H100" s="2075"/>
      <c r="I100" s="2073" t="s">
        <v>2303</v>
      </c>
      <c r="J100" s="2074"/>
      <c r="K100" s="2074"/>
      <c r="L100" s="2074"/>
      <c r="M100" s="2075"/>
      <c r="N100" s="2082" t="s">
        <v>2304</v>
      </c>
      <c r="O100" s="2083"/>
      <c r="P100" s="2083"/>
      <c r="Q100" s="2083"/>
      <c r="R100" s="2083"/>
      <c r="S100" s="2083"/>
      <c r="T100" s="2084"/>
      <c r="U100" s="2085" t="s">
        <v>2305</v>
      </c>
      <c r="V100" s="2074"/>
      <c r="W100" s="2074"/>
      <c r="X100" s="2075"/>
      <c r="Y100" s="2073" t="s">
        <v>3</v>
      </c>
      <c r="Z100" s="2074"/>
      <c r="AA100" s="2074"/>
      <c r="AB100" s="2075"/>
      <c r="AC100" s="2086" t="s">
        <v>2306</v>
      </c>
      <c r="AD100" s="2087"/>
      <c r="AE100" s="2087"/>
      <c r="AF100" s="2088"/>
      <c r="AG100" s="2085" t="s">
        <v>2305</v>
      </c>
      <c r="AH100" s="2095"/>
      <c r="AI100" s="2095"/>
      <c r="AJ100" s="2096"/>
      <c r="AK100" s="2103">
        <v>203</v>
      </c>
      <c r="AL100" s="2104"/>
      <c r="AM100" s="2104"/>
      <c r="AN100" s="2105"/>
      <c r="AP100" s="308"/>
      <c r="AQ100" s="308"/>
      <c r="AR100" s="308"/>
      <c r="AS100" s="308"/>
      <c r="AT100" s="308"/>
      <c r="AU100" s="308"/>
      <c r="AV100" s="308"/>
      <c r="AW100" s="308"/>
      <c r="AX100" s="308"/>
      <c r="AY100" s="308"/>
      <c r="AZ100" s="308"/>
      <c r="BA100" s="308"/>
      <c r="BB100" s="308"/>
      <c r="BC100" s="308"/>
      <c r="BD100" s="308"/>
      <c r="BE100" s="308"/>
      <c r="BF100" s="308"/>
    </row>
    <row r="101" spans="3:58" ht="24.95" hidden="1" customHeight="1">
      <c r="C101" s="2069"/>
      <c r="D101" s="2070"/>
      <c r="E101" s="2076"/>
      <c r="F101" s="2077"/>
      <c r="G101" s="2077"/>
      <c r="H101" s="2078"/>
      <c r="I101" s="2076"/>
      <c r="J101" s="2077"/>
      <c r="K101" s="2077"/>
      <c r="L101" s="2077"/>
      <c r="M101" s="2078"/>
      <c r="N101" s="2112" t="s">
        <v>2307</v>
      </c>
      <c r="O101" s="2113"/>
      <c r="P101" s="2113"/>
      <c r="Q101" s="2113"/>
      <c r="R101" s="2113"/>
      <c r="S101" s="2113"/>
      <c r="T101" s="2114"/>
      <c r="U101" s="2076"/>
      <c r="V101" s="2077"/>
      <c r="W101" s="2077"/>
      <c r="X101" s="2078"/>
      <c r="Y101" s="2076"/>
      <c r="Z101" s="2077"/>
      <c r="AA101" s="2077"/>
      <c r="AB101" s="2078"/>
      <c r="AC101" s="2089"/>
      <c r="AD101" s="2090"/>
      <c r="AE101" s="2090"/>
      <c r="AF101" s="2091"/>
      <c r="AG101" s="2097"/>
      <c r="AH101" s="2098"/>
      <c r="AI101" s="2098"/>
      <c r="AJ101" s="2099"/>
      <c r="AK101" s="2106"/>
      <c r="AL101" s="2107"/>
      <c r="AM101" s="2107"/>
      <c r="AN101" s="2108"/>
      <c r="AP101" s="308"/>
      <c r="AQ101" s="308"/>
      <c r="AR101" s="308"/>
      <c r="AS101" s="308"/>
      <c r="AT101" s="308"/>
      <c r="AU101" s="308"/>
      <c r="AV101" s="308"/>
      <c r="AW101" s="308"/>
      <c r="AX101" s="308"/>
      <c r="AY101" s="308"/>
      <c r="AZ101" s="308"/>
      <c r="BA101" s="308"/>
      <c r="BB101" s="308"/>
      <c r="BC101" s="308"/>
      <c r="BD101" s="308"/>
      <c r="BE101" s="308"/>
      <c r="BF101" s="308"/>
    </row>
    <row r="102" spans="3:58" ht="24.95" hidden="1" customHeight="1">
      <c r="C102" s="2069"/>
      <c r="D102" s="2070"/>
      <c r="E102" s="2076"/>
      <c r="F102" s="2077"/>
      <c r="G102" s="2077"/>
      <c r="H102" s="2078"/>
      <c r="I102" s="2076"/>
      <c r="J102" s="2077"/>
      <c r="K102" s="2077"/>
      <c r="L102" s="2077"/>
      <c r="M102" s="2078"/>
      <c r="N102" s="2112" t="s">
        <v>2308</v>
      </c>
      <c r="O102" s="2113"/>
      <c r="P102" s="2113"/>
      <c r="Q102" s="2113"/>
      <c r="R102" s="2113"/>
      <c r="S102" s="2113"/>
      <c r="T102" s="2114"/>
      <c r="U102" s="2076"/>
      <c r="V102" s="2077"/>
      <c r="W102" s="2077"/>
      <c r="X102" s="2078"/>
      <c r="Y102" s="2076"/>
      <c r="Z102" s="2077"/>
      <c r="AA102" s="2077"/>
      <c r="AB102" s="2078"/>
      <c r="AC102" s="2089"/>
      <c r="AD102" s="2090"/>
      <c r="AE102" s="2090"/>
      <c r="AF102" s="2091"/>
      <c r="AG102" s="2097"/>
      <c r="AH102" s="2098"/>
      <c r="AI102" s="2098"/>
      <c r="AJ102" s="2099"/>
      <c r="AK102" s="2106"/>
      <c r="AL102" s="2107"/>
      <c r="AM102" s="2107"/>
      <c r="AN102" s="2108"/>
      <c r="AP102" s="308"/>
      <c r="AQ102" s="308"/>
      <c r="AR102" s="308"/>
      <c r="AS102" s="308"/>
      <c r="AT102" s="308"/>
      <c r="AU102" s="308"/>
      <c r="AV102" s="308"/>
      <c r="AW102" s="308"/>
      <c r="AX102" s="308"/>
      <c r="AY102" s="308"/>
      <c r="AZ102" s="308"/>
      <c r="BA102" s="308"/>
      <c r="BB102" s="308"/>
      <c r="BC102" s="308"/>
      <c r="BD102" s="308"/>
      <c r="BE102" s="308"/>
      <c r="BF102" s="308"/>
    </row>
    <row r="103" spans="3:58" ht="13.5" hidden="1" customHeight="1">
      <c r="C103" s="2069"/>
      <c r="D103" s="2070"/>
      <c r="E103" s="2076"/>
      <c r="F103" s="2077"/>
      <c r="G103" s="2077"/>
      <c r="H103" s="2078"/>
      <c r="I103" s="2076"/>
      <c r="J103" s="2077"/>
      <c r="K103" s="2077"/>
      <c r="L103" s="2077"/>
      <c r="M103" s="2078"/>
      <c r="N103" s="2112" t="s">
        <v>2309</v>
      </c>
      <c r="O103" s="2113"/>
      <c r="P103" s="2113"/>
      <c r="Q103" s="2113"/>
      <c r="R103" s="2113"/>
      <c r="S103" s="2113"/>
      <c r="T103" s="2114"/>
      <c r="U103" s="2076"/>
      <c r="V103" s="2077"/>
      <c r="W103" s="2077"/>
      <c r="X103" s="2078"/>
      <c r="Y103" s="2076"/>
      <c r="Z103" s="2077"/>
      <c r="AA103" s="2077"/>
      <c r="AB103" s="2078"/>
      <c r="AC103" s="2089"/>
      <c r="AD103" s="2090"/>
      <c r="AE103" s="2090"/>
      <c r="AF103" s="2091"/>
      <c r="AG103" s="2097"/>
      <c r="AH103" s="2098"/>
      <c r="AI103" s="2098"/>
      <c r="AJ103" s="2099"/>
      <c r="AK103" s="2106"/>
      <c r="AL103" s="2107"/>
      <c r="AM103" s="2107"/>
      <c r="AN103" s="2108"/>
      <c r="AP103" s="308"/>
      <c r="AQ103" s="308"/>
      <c r="AR103" s="308"/>
      <c r="AS103" s="308"/>
      <c r="AT103" s="308"/>
      <c r="AU103" s="308"/>
      <c r="AV103" s="308"/>
      <c r="AW103" s="308"/>
      <c r="AX103" s="308"/>
      <c r="AY103" s="308"/>
      <c r="AZ103" s="308"/>
      <c r="BA103" s="308"/>
      <c r="BB103" s="308"/>
      <c r="BC103" s="308"/>
      <c r="BD103" s="308"/>
      <c r="BE103" s="308"/>
      <c r="BF103" s="308"/>
    </row>
    <row r="104" spans="3:58" ht="24.95" hidden="1" customHeight="1">
      <c r="C104" s="2071"/>
      <c r="D104" s="2072"/>
      <c r="E104" s="2079"/>
      <c r="F104" s="2080"/>
      <c r="G104" s="2080"/>
      <c r="H104" s="2081"/>
      <c r="I104" s="2079"/>
      <c r="J104" s="2080"/>
      <c r="K104" s="2080"/>
      <c r="L104" s="2080"/>
      <c r="M104" s="2081"/>
      <c r="N104" s="2115" t="s">
        <v>2310</v>
      </c>
      <c r="O104" s="2116"/>
      <c r="P104" s="2116"/>
      <c r="Q104" s="2116"/>
      <c r="R104" s="2116"/>
      <c r="S104" s="2116"/>
      <c r="T104" s="2117"/>
      <c r="U104" s="2079"/>
      <c r="V104" s="2080"/>
      <c r="W104" s="2080"/>
      <c r="X104" s="2081"/>
      <c r="Y104" s="2079"/>
      <c r="Z104" s="2080"/>
      <c r="AA104" s="2080"/>
      <c r="AB104" s="2081"/>
      <c r="AC104" s="2092"/>
      <c r="AD104" s="2093"/>
      <c r="AE104" s="2093"/>
      <c r="AF104" s="2094"/>
      <c r="AG104" s="2100"/>
      <c r="AH104" s="2101"/>
      <c r="AI104" s="2101"/>
      <c r="AJ104" s="2102"/>
      <c r="AK104" s="2109"/>
      <c r="AL104" s="2110"/>
      <c r="AM104" s="2110"/>
      <c r="AN104" s="2111"/>
      <c r="AP104" s="308"/>
      <c r="AQ104" s="308"/>
      <c r="AR104" s="308"/>
      <c r="AS104" s="308"/>
      <c r="AT104" s="308"/>
      <c r="AU104" s="308"/>
      <c r="AV104" s="308"/>
      <c r="AW104" s="308"/>
      <c r="AX104" s="308"/>
      <c r="AY104" s="308"/>
      <c r="AZ104" s="308"/>
      <c r="BA104" s="308"/>
      <c r="BB104" s="308"/>
      <c r="BC104" s="308"/>
      <c r="BD104" s="308"/>
      <c r="BE104" s="308"/>
      <c r="BF104" s="308"/>
    </row>
    <row r="105" spans="3:58" ht="49.5" customHeight="1">
      <c r="C105" s="2020" t="s">
        <v>1822</v>
      </c>
      <c r="D105" s="1421"/>
      <c r="E105" s="2065" t="s">
        <v>2302</v>
      </c>
      <c r="F105" s="2066"/>
      <c r="G105" s="2066"/>
      <c r="H105" s="2066"/>
      <c r="I105" s="2066" t="s">
        <v>2523</v>
      </c>
      <c r="J105" s="2066"/>
      <c r="K105" s="2066"/>
      <c r="L105" s="2066"/>
      <c r="M105" s="2066"/>
      <c r="N105" s="2021" t="s">
        <v>2502</v>
      </c>
      <c r="O105" s="2021"/>
      <c r="P105" s="2021"/>
      <c r="Q105" s="2021"/>
      <c r="R105" s="2021"/>
      <c r="S105" s="2021"/>
      <c r="T105" s="2021"/>
      <c r="U105" s="2029" t="s">
        <v>2524</v>
      </c>
      <c r="V105" s="2029"/>
      <c r="W105" s="2029"/>
      <c r="X105" s="2029"/>
      <c r="Y105" s="2029" t="s">
        <v>3</v>
      </c>
      <c r="Z105" s="2029"/>
      <c r="AA105" s="2029"/>
      <c r="AB105" s="2029"/>
      <c r="AC105" s="2029" t="s">
        <v>2526</v>
      </c>
      <c r="AD105" s="2029"/>
      <c r="AE105" s="2029"/>
      <c r="AF105" s="2029"/>
      <c r="AG105" s="2029" t="s">
        <v>2527</v>
      </c>
      <c r="AH105" s="2029"/>
      <c r="AI105" s="2029"/>
      <c r="AJ105" s="2029"/>
      <c r="AK105" s="2031">
        <v>249</v>
      </c>
      <c r="AL105" s="2031"/>
      <c r="AM105" s="2031"/>
      <c r="AN105" s="2031"/>
      <c r="AP105" s="308"/>
      <c r="AQ105" s="308"/>
      <c r="AR105" s="308"/>
      <c r="AS105" s="308"/>
      <c r="AT105" s="308"/>
      <c r="AU105" s="308"/>
      <c r="AV105" s="308"/>
      <c r="AW105" s="308"/>
      <c r="AX105" s="308"/>
      <c r="AY105" s="308"/>
      <c r="AZ105" s="308"/>
      <c r="BA105" s="308"/>
      <c r="BB105" s="308"/>
      <c r="BC105" s="308"/>
      <c r="BD105" s="308"/>
      <c r="BE105" s="308"/>
      <c r="BF105" s="308"/>
    </row>
    <row r="106" spans="3:58" ht="39.950000000000003" hidden="1" customHeight="1">
      <c r="C106" s="2063">
        <v>2</v>
      </c>
      <c r="D106" s="2064"/>
      <c r="E106" s="2045" t="s">
        <v>3</v>
      </c>
      <c r="F106" s="2029"/>
      <c r="G106" s="2029"/>
      <c r="H106" s="2029"/>
      <c r="I106" s="2029" t="s">
        <v>3</v>
      </c>
      <c r="J106" s="2029"/>
      <c r="K106" s="2029"/>
      <c r="L106" s="2029"/>
      <c r="M106" s="2029"/>
      <c r="N106" s="2019" t="s">
        <v>3</v>
      </c>
      <c r="O106" s="2019"/>
      <c r="P106" s="2019"/>
      <c r="Q106" s="2019"/>
      <c r="R106" s="2019"/>
      <c r="S106" s="2019"/>
      <c r="T106" s="2019"/>
      <c r="U106" s="2029" t="s">
        <v>3</v>
      </c>
      <c r="V106" s="2029"/>
      <c r="W106" s="2029"/>
      <c r="X106" s="2029"/>
      <c r="Y106" s="2029" t="s">
        <v>3</v>
      </c>
      <c r="Z106" s="2029"/>
      <c r="AA106" s="2029"/>
      <c r="AB106" s="2029"/>
      <c r="AC106" s="2029" t="s">
        <v>3</v>
      </c>
      <c r="AD106" s="2029"/>
      <c r="AE106" s="2029"/>
      <c r="AF106" s="2029"/>
      <c r="AG106" s="2029" t="s">
        <v>3</v>
      </c>
      <c r="AH106" s="2029"/>
      <c r="AI106" s="2029"/>
      <c r="AJ106" s="2029"/>
      <c r="AK106" s="2031">
        <v>0</v>
      </c>
      <c r="AL106" s="2031"/>
      <c r="AM106" s="2031"/>
      <c r="AN106" s="2031"/>
      <c r="AP106" s="308"/>
      <c r="AQ106" s="308"/>
      <c r="AR106" s="308"/>
      <c r="AS106" s="308"/>
      <c r="AT106" s="308"/>
      <c r="AU106" s="308"/>
      <c r="AV106" s="308"/>
      <c r="AW106" s="308"/>
      <c r="AX106" s="308"/>
      <c r="AY106" s="308"/>
      <c r="AZ106" s="308"/>
      <c r="BA106" s="308"/>
      <c r="BB106" s="308"/>
      <c r="BC106" s="308"/>
      <c r="BD106" s="308"/>
      <c r="BE106" s="308"/>
      <c r="BF106" s="308"/>
    </row>
    <row r="107" spans="3:58" s="300" customFormat="1" ht="12.75" hidden="1" customHeight="1">
      <c r="C107" s="2063" t="s">
        <v>1880</v>
      </c>
      <c r="D107" s="2064"/>
      <c r="E107" s="2045" t="s">
        <v>3</v>
      </c>
      <c r="F107" s="2029"/>
      <c r="G107" s="2029"/>
      <c r="H107" s="2029"/>
      <c r="I107" s="2029" t="s">
        <v>3</v>
      </c>
      <c r="J107" s="2029"/>
      <c r="K107" s="2029"/>
      <c r="L107" s="2029"/>
      <c r="M107" s="2029"/>
      <c r="N107" s="2019" t="s">
        <v>3</v>
      </c>
      <c r="O107" s="2019"/>
      <c r="P107" s="2019"/>
      <c r="Q107" s="2019"/>
      <c r="R107" s="2019"/>
      <c r="S107" s="2019"/>
      <c r="T107" s="2019"/>
      <c r="U107" s="2029" t="s">
        <v>3</v>
      </c>
      <c r="V107" s="2029"/>
      <c r="W107" s="2029"/>
      <c r="X107" s="2029"/>
      <c r="Y107" s="2029" t="s">
        <v>3</v>
      </c>
      <c r="Z107" s="2029"/>
      <c r="AA107" s="2029"/>
      <c r="AB107" s="2029"/>
      <c r="AC107" s="2029" t="s">
        <v>3</v>
      </c>
      <c r="AD107" s="2029"/>
      <c r="AE107" s="2029"/>
      <c r="AF107" s="2029"/>
      <c r="AG107" s="2029" t="s">
        <v>3</v>
      </c>
      <c r="AH107" s="2029"/>
      <c r="AI107" s="2029"/>
      <c r="AJ107" s="2029"/>
      <c r="AK107" s="2031">
        <v>0</v>
      </c>
      <c r="AL107" s="2031"/>
      <c r="AM107" s="2031"/>
      <c r="AN107" s="2031"/>
      <c r="AP107" s="308"/>
      <c r="AQ107" s="308"/>
      <c r="AR107" s="308"/>
      <c r="AS107" s="308"/>
      <c r="AT107" s="308"/>
      <c r="AU107" s="308"/>
      <c r="AV107" s="308"/>
      <c r="AW107" s="308"/>
      <c r="AX107" s="308"/>
      <c r="AY107" s="308"/>
      <c r="AZ107" s="308"/>
      <c r="BA107" s="308"/>
      <c r="BB107" s="308"/>
      <c r="BC107" s="308"/>
      <c r="BD107" s="308"/>
      <c r="BE107" s="308"/>
      <c r="BF107" s="308"/>
    </row>
    <row r="108" spans="3:58" s="300" customFormat="1" ht="12.75" hidden="1" customHeight="1">
      <c r="C108" s="2043" t="s">
        <v>1882</v>
      </c>
      <c r="D108" s="2044"/>
      <c r="E108" s="2045" t="s">
        <v>3</v>
      </c>
      <c r="F108" s="2029"/>
      <c r="G108" s="2029"/>
      <c r="H108" s="2029"/>
      <c r="I108" s="2029" t="s">
        <v>3</v>
      </c>
      <c r="J108" s="2029"/>
      <c r="K108" s="2029"/>
      <c r="L108" s="2029"/>
      <c r="M108" s="2029"/>
      <c r="N108" s="2019" t="s">
        <v>3</v>
      </c>
      <c r="O108" s="2019"/>
      <c r="P108" s="2019"/>
      <c r="Q108" s="2019"/>
      <c r="R108" s="2019"/>
      <c r="S108" s="2019"/>
      <c r="T108" s="2019"/>
      <c r="U108" s="2029" t="s">
        <v>3</v>
      </c>
      <c r="V108" s="2029"/>
      <c r="W108" s="2029"/>
      <c r="X108" s="2029"/>
      <c r="Y108" s="2029" t="s">
        <v>3</v>
      </c>
      <c r="Z108" s="2029"/>
      <c r="AA108" s="2029"/>
      <c r="AB108" s="2029"/>
      <c r="AC108" s="2029" t="s">
        <v>3</v>
      </c>
      <c r="AD108" s="2029"/>
      <c r="AE108" s="2029"/>
      <c r="AF108" s="2029"/>
      <c r="AG108" s="2029" t="s">
        <v>3</v>
      </c>
      <c r="AH108" s="2029"/>
      <c r="AI108" s="2029"/>
      <c r="AJ108" s="2029"/>
      <c r="AK108" s="2031">
        <v>0</v>
      </c>
      <c r="AL108" s="2031"/>
      <c r="AM108" s="2031"/>
      <c r="AN108" s="2031"/>
      <c r="AP108" s="308"/>
      <c r="AQ108" s="308"/>
      <c r="AR108" s="308"/>
      <c r="AS108" s="308"/>
      <c r="AT108" s="308"/>
      <c r="AU108" s="308"/>
      <c r="AV108" s="308"/>
      <c r="AW108" s="308"/>
      <c r="AX108" s="308"/>
      <c r="AY108" s="308"/>
      <c r="AZ108" s="308"/>
      <c r="BA108" s="308"/>
      <c r="BB108" s="308"/>
      <c r="BC108" s="308"/>
      <c r="BD108" s="308"/>
      <c r="BE108" s="308"/>
      <c r="BF108" s="308"/>
    </row>
    <row r="109" spans="3:58" s="300" customFormat="1" ht="12.75" hidden="1" customHeight="1">
      <c r="C109" s="2043" t="s">
        <v>1884</v>
      </c>
      <c r="D109" s="2044"/>
      <c r="E109" s="2045" t="s">
        <v>3</v>
      </c>
      <c r="F109" s="2029"/>
      <c r="G109" s="2029"/>
      <c r="H109" s="2029"/>
      <c r="I109" s="2029" t="s">
        <v>3</v>
      </c>
      <c r="J109" s="2029"/>
      <c r="K109" s="2029"/>
      <c r="L109" s="2029"/>
      <c r="M109" s="2029"/>
      <c r="N109" s="2019" t="s">
        <v>3</v>
      </c>
      <c r="O109" s="2019"/>
      <c r="P109" s="2019"/>
      <c r="Q109" s="2019"/>
      <c r="R109" s="2019"/>
      <c r="S109" s="2019"/>
      <c r="T109" s="2019"/>
      <c r="U109" s="2029" t="s">
        <v>3</v>
      </c>
      <c r="V109" s="2029"/>
      <c r="W109" s="2029"/>
      <c r="X109" s="2029"/>
      <c r="Y109" s="2029" t="s">
        <v>3</v>
      </c>
      <c r="Z109" s="2029"/>
      <c r="AA109" s="2029"/>
      <c r="AB109" s="2029"/>
      <c r="AC109" s="2029" t="s">
        <v>3</v>
      </c>
      <c r="AD109" s="2029"/>
      <c r="AE109" s="2029"/>
      <c r="AF109" s="2029"/>
      <c r="AG109" s="2029" t="s">
        <v>3</v>
      </c>
      <c r="AH109" s="2029"/>
      <c r="AI109" s="2029"/>
      <c r="AJ109" s="2029"/>
      <c r="AK109" s="2031">
        <v>0</v>
      </c>
      <c r="AL109" s="2031"/>
      <c r="AM109" s="2031"/>
      <c r="AN109" s="2031"/>
      <c r="AP109" s="308"/>
      <c r="AQ109" s="308"/>
      <c r="AR109" s="308"/>
      <c r="AS109" s="308"/>
      <c r="AT109" s="308"/>
      <c r="AU109" s="308"/>
      <c r="AV109" s="308"/>
      <c r="AW109" s="308"/>
      <c r="AX109" s="308"/>
      <c r="AY109" s="308"/>
      <c r="AZ109" s="308"/>
      <c r="BA109" s="308"/>
      <c r="BB109" s="308"/>
      <c r="BC109" s="308"/>
      <c r="BD109" s="308"/>
      <c r="BE109" s="308"/>
      <c r="BF109" s="308"/>
    </row>
    <row r="110" spans="3:58" s="300" customFormat="1" ht="20.100000000000001" customHeight="1">
      <c r="C110" s="2032" t="s">
        <v>2382</v>
      </c>
      <c r="D110" s="2033"/>
      <c r="E110" s="2033"/>
      <c r="F110" s="2033"/>
      <c r="G110" s="2033"/>
      <c r="H110" s="2033"/>
      <c r="I110" s="2033"/>
      <c r="J110" s="2033"/>
      <c r="K110" s="2033"/>
      <c r="L110" s="2033"/>
      <c r="M110" s="2033"/>
      <c r="N110" s="2033"/>
      <c r="O110" s="2033"/>
      <c r="P110" s="2033"/>
      <c r="Q110" s="2033"/>
      <c r="R110" s="2033"/>
      <c r="S110" s="2033"/>
      <c r="T110" s="2033"/>
      <c r="U110" s="2033"/>
      <c r="V110" s="2033"/>
      <c r="W110" s="2033"/>
      <c r="X110" s="2033"/>
      <c r="Y110" s="2033"/>
      <c r="Z110" s="2033"/>
      <c r="AA110" s="2033"/>
      <c r="AB110" s="2033"/>
      <c r="AC110" s="2033"/>
      <c r="AD110" s="2033"/>
      <c r="AE110" s="2033"/>
      <c r="AF110" s="2033"/>
      <c r="AG110" s="2033"/>
      <c r="AH110" s="2033"/>
      <c r="AI110" s="2033"/>
      <c r="AJ110" s="2034"/>
      <c r="AK110" s="2035">
        <f>SUM(AK105:AN109)</f>
        <v>249</v>
      </c>
      <c r="AL110" s="2035"/>
      <c r="AM110" s="2035"/>
      <c r="AN110" s="2036"/>
      <c r="AP110" s="308"/>
      <c r="AQ110" s="308"/>
      <c r="AR110" s="308"/>
      <c r="AS110" s="308"/>
      <c r="AT110" s="308"/>
      <c r="AU110" s="308"/>
      <c r="AV110" s="308"/>
      <c r="AW110" s="308"/>
      <c r="AX110" s="308"/>
      <c r="AY110" s="308"/>
      <c r="AZ110" s="308"/>
      <c r="BA110" s="308"/>
      <c r="BB110" s="308"/>
      <c r="BC110" s="308"/>
      <c r="BD110" s="308"/>
      <c r="BE110" s="308"/>
      <c r="BF110" s="308"/>
    </row>
    <row r="111" spans="3:58" s="300" customFormat="1" ht="5.0999999999999996" customHeight="1">
      <c r="C111" s="821"/>
      <c r="D111" s="774"/>
      <c r="E111" s="774"/>
      <c r="F111" s="774"/>
      <c r="G111" s="774"/>
      <c r="H111" s="774"/>
      <c r="I111" s="774"/>
      <c r="J111" s="774"/>
      <c r="K111" s="774"/>
      <c r="L111" s="774"/>
      <c r="M111" s="774"/>
      <c r="N111" s="774"/>
      <c r="O111" s="774"/>
      <c r="P111" s="774"/>
      <c r="Q111" s="774"/>
      <c r="R111" s="774"/>
      <c r="S111" s="774"/>
      <c r="T111" s="774"/>
      <c r="U111" s="774"/>
      <c r="V111" s="774"/>
      <c r="W111" s="774"/>
      <c r="X111" s="774"/>
      <c r="Y111" s="774"/>
      <c r="Z111" s="774"/>
      <c r="AA111" s="774"/>
      <c r="AB111" s="774"/>
      <c r="AC111" s="774"/>
      <c r="AD111" s="774"/>
      <c r="AE111" s="774"/>
      <c r="AF111" s="774"/>
      <c r="AG111" s="774"/>
      <c r="AH111" s="774"/>
      <c r="AI111" s="774"/>
      <c r="AJ111" s="822"/>
      <c r="AK111" s="823"/>
      <c r="AL111" s="823"/>
      <c r="AM111" s="823"/>
      <c r="AN111" s="824"/>
      <c r="AP111" s="308"/>
      <c r="AQ111" s="308"/>
      <c r="AR111" s="308"/>
      <c r="AS111" s="308"/>
      <c r="AT111" s="308"/>
      <c r="AU111" s="308"/>
      <c r="AV111" s="308"/>
      <c r="AW111" s="308"/>
      <c r="AX111" s="308"/>
      <c r="AY111" s="308"/>
      <c r="AZ111" s="308"/>
      <c r="BA111" s="308"/>
      <c r="BB111" s="308"/>
      <c r="BC111" s="308"/>
      <c r="BD111" s="308"/>
      <c r="BE111" s="308"/>
      <c r="BF111" s="308"/>
    </row>
    <row r="112" spans="3:58" s="300" customFormat="1" ht="20.100000000000001" customHeight="1">
      <c r="C112" s="821"/>
      <c r="D112" s="774"/>
      <c r="E112" s="774"/>
      <c r="F112" s="774"/>
      <c r="G112" s="774"/>
      <c r="H112" s="774"/>
      <c r="I112" s="774"/>
      <c r="J112" s="774"/>
      <c r="K112" s="774"/>
      <c r="L112" s="774"/>
      <c r="M112" s="774"/>
      <c r="N112" s="774"/>
      <c r="O112" s="774"/>
      <c r="P112" s="774"/>
      <c r="Q112" s="774"/>
      <c r="R112" s="774"/>
      <c r="S112" s="774"/>
      <c r="T112" s="774"/>
      <c r="U112" s="774"/>
      <c r="V112" s="357"/>
      <c r="X112" s="774"/>
      <c r="Y112" s="774"/>
      <c r="Z112" s="774"/>
      <c r="AA112" s="774"/>
      <c r="AB112" s="774"/>
      <c r="AC112" s="774"/>
      <c r="AD112" s="774"/>
      <c r="AE112" s="774"/>
      <c r="AF112" s="774"/>
      <c r="AG112" s="774"/>
      <c r="AH112" s="774"/>
      <c r="AI112" s="822" t="s">
        <v>2311</v>
      </c>
      <c r="AJ112" s="313" t="s">
        <v>5</v>
      </c>
      <c r="AK112" s="2037">
        <v>0</v>
      </c>
      <c r="AL112" s="2037"/>
      <c r="AM112" s="2037"/>
      <c r="AN112" s="2038"/>
      <c r="AP112" s="308"/>
      <c r="AQ112" s="308"/>
      <c r="AR112" s="308"/>
      <c r="AS112" s="308"/>
      <c r="AT112" s="308"/>
      <c r="AU112" s="308"/>
      <c r="AV112" s="308"/>
      <c r="AW112" s="308"/>
      <c r="AX112" s="308"/>
      <c r="AY112" s="308"/>
      <c r="AZ112" s="308"/>
      <c r="BA112" s="308"/>
      <c r="BB112" s="308"/>
      <c r="BC112" s="308"/>
      <c r="BD112" s="308"/>
      <c r="BE112" s="308"/>
      <c r="BF112" s="308"/>
    </row>
    <row r="113" spans="1:65" s="300" customFormat="1" ht="20.100000000000001" customHeight="1">
      <c r="C113" s="821"/>
      <c r="D113" s="774"/>
      <c r="E113" s="774"/>
      <c r="F113" s="774"/>
      <c r="G113" s="774"/>
      <c r="H113" s="774"/>
      <c r="I113" s="774"/>
      <c r="J113" s="774"/>
      <c r="K113" s="774"/>
      <c r="L113" s="774"/>
      <c r="M113" s="774"/>
      <c r="N113" s="774"/>
      <c r="O113" s="774"/>
      <c r="P113" s="774"/>
      <c r="Q113" s="774"/>
      <c r="R113" s="774"/>
      <c r="S113" s="774"/>
      <c r="T113" s="774"/>
      <c r="U113" s="774"/>
      <c r="V113" s="357"/>
      <c r="X113" s="774"/>
      <c r="Y113" s="774"/>
      <c r="Z113" s="774"/>
      <c r="AA113" s="774"/>
      <c r="AB113" s="774"/>
      <c r="AC113" s="774"/>
      <c r="AD113" s="774"/>
      <c r="AE113" s="774"/>
      <c r="AF113" s="774"/>
      <c r="AG113" s="774"/>
      <c r="AH113" s="774"/>
      <c r="AI113" s="825" t="s">
        <v>2471</v>
      </c>
      <c r="AJ113" s="765" t="s">
        <v>5</v>
      </c>
      <c r="AK113" s="2061">
        <f>AK110-AK112</f>
        <v>249</v>
      </c>
      <c r="AL113" s="2061"/>
      <c r="AM113" s="2061"/>
      <c r="AN113" s="2062"/>
      <c r="AP113" s="308"/>
      <c r="AQ113" s="308"/>
      <c r="AR113" s="308"/>
      <c r="AS113" s="308"/>
      <c r="AT113" s="308"/>
      <c r="AU113" s="308"/>
      <c r="AV113" s="308"/>
      <c r="AW113" s="308"/>
      <c r="AX113" s="308"/>
      <c r="AY113" s="308"/>
      <c r="AZ113" s="308"/>
      <c r="BA113" s="308"/>
      <c r="BB113" s="308"/>
      <c r="BC113" s="308"/>
      <c r="BD113" s="308"/>
      <c r="BE113" s="308"/>
      <c r="BF113" s="308"/>
    </row>
    <row r="114" spans="1:65" s="300" customFormat="1" ht="6" customHeight="1">
      <c r="C114" s="826"/>
      <c r="D114" s="808"/>
      <c r="E114" s="808"/>
      <c r="F114" s="808"/>
      <c r="G114" s="808"/>
      <c r="H114" s="808"/>
      <c r="I114" s="808"/>
      <c r="J114" s="808"/>
      <c r="K114" s="808"/>
      <c r="L114" s="808"/>
      <c r="M114" s="808"/>
      <c r="N114" s="808"/>
      <c r="O114" s="808"/>
      <c r="P114" s="808"/>
      <c r="Q114" s="808"/>
      <c r="R114" s="808"/>
      <c r="S114" s="808"/>
      <c r="T114" s="808"/>
      <c r="U114" s="808"/>
      <c r="V114" s="807"/>
      <c r="W114" s="336"/>
      <c r="X114" s="808"/>
      <c r="Y114" s="808"/>
      <c r="Z114" s="808"/>
      <c r="AA114" s="808"/>
      <c r="AB114" s="808"/>
      <c r="AC114" s="808"/>
      <c r="AD114" s="808"/>
      <c r="AE114" s="808"/>
      <c r="AF114" s="808"/>
      <c r="AG114" s="808"/>
      <c r="AH114" s="808"/>
      <c r="AI114" s="827"/>
      <c r="AJ114" s="828"/>
      <c r="AK114" s="829"/>
      <c r="AL114" s="829"/>
      <c r="AM114" s="829"/>
      <c r="AN114" s="830"/>
      <c r="AP114" s="308"/>
      <c r="AQ114" s="308"/>
      <c r="AR114" s="308"/>
      <c r="AS114" s="308"/>
      <c r="AT114" s="308"/>
      <c r="AU114" s="308"/>
      <c r="AV114" s="308"/>
      <c r="AW114" s="308"/>
      <c r="AX114" s="308"/>
      <c r="AY114" s="308"/>
      <c r="AZ114" s="308"/>
      <c r="BA114" s="308"/>
      <c r="BB114" s="308"/>
      <c r="BC114" s="308"/>
      <c r="BD114" s="308"/>
      <c r="BE114" s="308"/>
      <c r="BF114" s="308"/>
    </row>
    <row r="115" spans="1:65" s="300" customFormat="1" ht="30" customHeight="1">
      <c r="C115" s="308"/>
      <c r="D115" s="308"/>
      <c r="E115" s="308"/>
      <c r="F115" s="308"/>
      <c r="G115" s="308"/>
      <c r="H115" s="308"/>
      <c r="I115" s="308"/>
      <c r="J115" s="308"/>
      <c r="K115" s="308"/>
      <c r="L115" s="308"/>
      <c r="M115" s="308"/>
      <c r="N115" s="308"/>
      <c r="O115" s="308"/>
      <c r="P115" s="308"/>
      <c r="Q115" s="308"/>
      <c r="R115" s="308"/>
      <c r="S115" s="308"/>
      <c r="T115" s="308"/>
      <c r="U115" s="774"/>
      <c r="V115" s="357"/>
      <c r="W115" s="831"/>
      <c r="X115" s="774"/>
      <c r="Y115" s="774"/>
      <c r="Z115" s="774"/>
      <c r="AA115" s="774"/>
      <c r="AB115" s="774"/>
      <c r="AC115" s="774"/>
      <c r="AD115" s="774"/>
      <c r="AE115" s="774"/>
      <c r="AF115" s="774"/>
      <c r="AG115" s="774"/>
      <c r="AH115" s="774"/>
      <c r="AJ115" s="313"/>
      <c r="AK115" s="832"/>
      <c r="AL115" s="832"/>
      <c r="AM115" s="832"/>
      <c r="AN115" s="832"/>
      <c r="AP115" s="308"/>
      <c r="AQ115" s="308"/>
      <c r="AR115" s="308"/>
      <c r="AS115" s="308"/>
      <c r="AT115" s="308"/>
      <c r="AU115" s="308"/>
      <c r="AV115" s="308"/>
      <c r="AW115" s="308"/>
      <c r="AX115" s="308"/>
      <c r="AY115" s="308"/>
      <c r="AZ115" s="308"/>
      <c r="BA115" s="308"/>
      <c r="BB115" s="308"/>
      <c r="BC115" s="308"/>
      <c r="BD115" s="308"/>
      <c r="BE115" s="308"/>
      <c r="BF115" s="308"/>
    </row>
    <row r="116" spans="1:65" s="370" customFormat="1" ht="20.100000000000001" customHeight="1">
      <c r="C116" s="2060" t="s">
        <v>2312</v>
      </c>
      <c r="D116" s="2060"/>
      <c r="E116" s="2060"/>
      <c r="F116" s="2060"/>
      <c r="G116" s="2060"/>
      <c r="H116" s="2060"/>
      <c r="I116" s="2060"/>
      <c r="J116" s="2060"/>
      <c r="K116" s="2060"/>
      <c r="L116" s="2060"/>
      <c r="M116" s="2060"/>
      <c r="N116" s="2060"/>
      <c r="O116" s="2060"/>
      <c r="P116" s="2060"/>
      <c r="Q116" s="2060"/>
      <c r="R116" s="2060"/>
      <c r="S116" s="2060"/>
      <c r="T116" s="2060"/>
      <c r="U116" s="2060"/>
      <c r="V116" s="2060"/>
      <c r="W116" s="2060"/>
      <c r="X116" s="2060"/>
      <c r="Y116" s="2060"/>
      <c r="Z116" s="2060"/>
      <c r="AA116" s="2060"/>
      <c r="AB116" s="2060"/>
      <c r="AC116" s="2060"/>
      <c r="AD116" s="2060"/>
      <c r="AE116" s="2060"/>
      <c r="AF116" s="2060"/>
      <c r="AG116" s="2060"/>
      <c r="AH116" s="2060"/>
      <c r="AI116" s="2060"/>
      <c r="AJ116" s="2060"/>
      <c r="AK116" s="2060"/>
      <c r="AL116" s="2060"/>
      <c r="AM116" s="2060"/>
      <c r="AN116" s="2060"/>
      <c r="AP116" s="345"/>
      <c r="AQ116" s="345"/>
      <c r="AR116" s="345"/>
      <c r="AS116" s="345"/>
      <c r="AT116" s="345"/>
      <c r="AU116" s="345"/>
      <c r="AV116" s="345"/>
      <c r="AW116" s="345"/>
      <c r="AX116" s="345"/>
      <c r="AY116" s="345"/>
      <c r="AZ116" s="345"/>
      <c r="BA116" s="345"/>
      <c r="BB116" s="345"/>
      <c r="BC116" s="345"/>
      <c r="BD116" s="345"/>
      <c r="BE116" s="345"/>
      <c r="BF116" s="345"/>
      <c r="BG116" s="345"/>
      <c r="BH116" s="345"/>
      <c r="BI116" s="345"/>
    </row>
    <row r="117" spans="1:65" s="342" customFormat="1" ht="9.9499999999999993" customHeight="1">
      <c r="C117" s="809"/>
      <c r="D117" s="302"/>
      <c r="E117" s="302"/>
      <c r="F117" s="300"/>
      <c r="G117" s="300"/>
      <c r="H117" s="302"/>
      <c r="I117" s="302"/>
      <c r="J117" s="302"/>
      <c r="K117" s="312"/>
      <c r="L117" s="300"/>
      <c r="M117" s="300"/>
      <c r="N117" s="300"/>
      <c r="O117" s="300"/>
      <c r="P117" s="314"/>
      <c r="Q117" s="311"/>
      <c r="R117" s="302"/>
      <c r="S117" s="302"/>
      <c r="T117" s="302"/>
      <c r="U117" s="302"/>
      <c r="V117" s="300"/>
      <c r="W117" s="300"/>
      <c r="X117" s="312"/>
      <c r="Y117" s="300"/>
      <c r="Z117" s="311"/>
      <c r="AA117" s="311"/>
      <c r="AB117" s="311"/>
      <c r="AC117" s="311"/>
      <c r="AD117" s="311"/>
      <c r="AE117" s="311"/>
      <c r="AF117" s="311"/>
      <c r="AG117" s="311"/>
      <c r="AH117" s="311"/>
      <c r="AI117" s="311"/>
      <c r="AJ117" s="311"/>
      <c r="AK117" s="311"/>
      <c r="AL117" s="311"/>
      <c r="AM117" s="311"/>
      <c r="AN117" s="347"/>
      <c r="AP117" s="371"/>
      <c r="AQ117" s="372"/>
      <c r="AR117" s="372"/>
      <c r="AS117" s="372"/>
      <c r="AT117" s="372"/>
      <c r="AU117" s="372"/>
      <c r="AV117" s="372"/>
      <c r="AW117" s="373"/>
      <c r="AX117" s="373"/>
      <c r="AY117" s="373"/>
      <c r="AZ117" s="374"/>
      <c r="BA117" s="372"/>
      <c r="BB117" s="372"/>
      <c r="BC117" s="372"/>
      <c r="BD117" s="372"/>
      <c r="BE117" s="375"/>
      <c r="BF117" s="375"/>
      <c r="BG117" s="375"/>
      <c r="BH117" s="375"/>
      <c r="BI117" s="375"/>
      <c r="BJ117" s="311"/>
      <c r="BK117" s="311"/>
      <c r="BL117" s="311"/>
      <c r="BM117" s="311"/>
    </row>
    <row r="118" spans="1:65" s="304" customFormat="1" ht="19.5" customHeight="1">
      <c r="C118" s="1058"/>
      <c r="D118" s="1059" t="s">
        <v>1770</v>
      </c>
      <c r="E118" s="1060" t="s">
        <v>2458</v>
      </c>
      <c r="F118" s="1060"/>
      <c r="G118" s="1060"/>
      <c r="H118" s="1060"/>
      <c r="I118" s="1060"/>
      <c r="J118" s="1060"/>
      <c r="K118" s="1060"/>
      <c r="L118" s="1060"/>
      <c r="M118" s="1060"/>
      <c r="N118" s="1060"/>
      <c r="O118" s="1060"/>
      <c r="P118" s="1060"/>
      <c r="Q118" s="1060"/>
      <c r="R118" s="1060"/>
      <c r="S118" s="1060"/>
      <c r="T118" s="1060"/>
      <c r="U118" s="1060"/>
      <c r="V118" s="1060"/>
      <c r="W118" s="1060"/>
      <c r="X118" s="1060"/>
      <c r="Y118" s="1060"/>
      <c r="Z118" s="1060"/>
      <c r="AA118" s="1060"/>
      <c r="AB118" s="1060"/>
      <c r="AC118" s="1060"/>
      <c r="AD118" s="1060"/>
      <c r="AE118" s="1061" t="s">
        <v>5</v>
      </c>
      <c r="AF118" s="2058">
        <f>+'Surat-02'!T15</f>
        <v>1245000000</v>
      </c>
      <c r="AG118" s="2058"/>
      <c r="AH118" s="2058"/>
      <c r="AI118" s="2058"/>
      <c r="AJ118" s="2058"/>
      <c r="AK118" s="2058"/>
      <c r="AL118" s="2058"/>
      <c r="AM118" s="1062"/>
      <c r="AN118" s="835"/>
      <c r="AP118" s="371"/>
      <c r="AQ118" s="1063"/>
      <c r="AR118" s="1063"/>
      <c r="AS118" s="1063"/>
      <c r="AT118" s="1063"/>
      <c r="AU118" s="1063"/>
      <c r="AV118" s="1063"/>
      <c r="AW118" s="1064"/>
      <c r="AX118" s="1064"/>
      <c r="AY118" s="1064"/>
      <c r="AZ118" s="1065"/>
      <c r="BA118" s="1063"/>
      <c r="BB118" s="1063"/>
      <c r="BC118" s="1063"/>
      <c r="BD118" s="1063"/>
      <c r="BE118" s="1065"/>
      <c r="BF118" s="1065"/>
      <c r="BG118" s="1065"/>
      <c r="BH118" s="1065"/>
      <c r="BI118" s="1065"/>
    </row>
    <row r="119" spans="1:65" s="300" customFormat="1" ht="19.5" hidden="1" customHeight="1">
      <c r="C119" s="836"/>
      <c r="D119" s="1046" t="s">
        <v>1770</v>
      </c>
      <c r="E119" s="1047" t="s">
        <v>2449</v>
      </c>
      <c r="F119" s="1048"/>
      <c r="G119" s="1048"/>
      <c r="H119" s="1048"/>
      <c r="I119" s="1048"/>
      <c r="J119" s="1048"/>
      <c r="K119" s="1047"/>
      <c r="L119" s="1047"/>
      <c r="M119" s="1049"/>
      <c r="N119" s="1050"/>
      <c r="O119" s="1050"/>
      <c r="P119" s="1050"/>
      <c r="Q119" s="336"/>
      <c r="R119" s="1050"/>
      <c r="S119" s="1050"/>
      <c r="T119" s="1050"/>
      <c r="U119" s="1050"/>
      <c r="V119" s="1050"/>
      <c r="W119" s="1047"/>
      <c r="X119" s="1047"/>
      <c r="Y119" s="336"/>
      <c r="Z119" s="336"/>
      <c r="AA119" s="336"/>
      <c r="AB119" s="1047"/>
      <c r="AC119" s="1047"/>
      <c r="AD119" s="1047"/>
      <c r="AE119" s="828" t="s">
        <v>5</v>
      </c>
      <c r="AF119" s="2059" t="e">
        <f>+'Surat-02'!#REF!</f>
        <v>#REF!</v>
      </c>
      <c r="AG119" s="2059"/>
      <c r="AH119" s="2059"/>
      <c r="AI119" s="2059"/>
      <c r="AJ119" s="2059"/>
      <c r="AK119" s="2059"/>
      <c r="AL119" s="2059"/>
      <c r="AM119" s="1051"/>
      <c r="AN119" s="378"/>
      <c r="AP119"/>
      <c r="AQ119"/>
      <c r="AR119"/>
      <c r="AS119"/>
      <c r="AT119"/>
      <c r="AU119"/>
      <c r="AZ119" s="374"/>
      <c r="BA119" s="372"/>
      <c r="BB119" s="372"/>
      <c r="BC119" s="372"/>
      <c r="BD119" s="372"/>
      <c r="BE119" s="375"/>
      <c r="BF119" s="375"/>
      <c r="BG119" s="375"/>
      <c r="BH119" s="375"/>
      <c r="BI119" s="375"/>
    </row>
    <row r="120" spans="1:65" s="300" customFormat="1" ht="8.1" customHeight="1">
      <c r="C120" s="332"/>
      <c r="D120" s="1078"/>
      <c r="E120" s="1078"/>
      <c r="F120" s="1078"/>
      <c r="G120" s="1078"/>
      <c r="H120" s="1078"/>
      <c r="I120" s="1078"/>
      <c r="J120" s="1078"/>
      <c r="K120" s="1078"/>
      <c r="L120" s="1078"/>
      <c r="M120" s="1078"/>
      <c r="N120" s="1078"/>
      <c r="O120" s="1078"/>
      <c r="P120" s="1078"/>
      <c r="Q120" s="1078"/>
      <c r="R120" s="1078"/>
      <c r="S120" s="1078"/>
      <c r="T120" s="1078"/>
      <c r="U120" s="1078"/>
      <c r="V120" s="1078"/>
      <c r="W120" s="1078"/>
      <c r="X120" s="1078"/>
      <c r="Y120" s="1078"/>
      <c r="Z120" s="1078"/>
      <c r="AA120" s="1078"/>
      <c r="AB120" s="1078"/>
      <c r="AC120" s="1078"/>
      <c r="AD120" s="1078"/>
      <c r="AE120" s="1078"/>
      <c r="AF120" s="1078"/>
      <c r="AG120" s="1078"/>
      <c r="AH120" s="1078"/>
      <c r="AI120" s="1078"/>
      <c r="AJ120" s="1078"/>
      <c r="AK120" s="1078"/>
      <c r="AL120" s="1078"/>
      <c r="AM120" s="1078"/>
      <c r="AN120" s="337"/>
      <c r="AP120" s="371"/>
      <c r="AQ120" s="372"/>
      <c r="AR120" s="372"/>
      <c r="AS120" s="372"/>
      <c r="AT120" s="372"/>
      <c r="AU120" s="372"/>
      <c r="AV120" s="372"/>
      <c r="AW120" s="373"/>
      <c r="AX120" s="373"/>
      <c r="AY120" s="373"/>
      <c r="AZ120" s="374"/>
      <c r="BA120" s="372"/>
      <c r="BB120" s="372"/>
      <c r="BC120" s="372"/>
      <c r="BD120" s="372"/>
      <c r="BE120" s="375"/>
      <c r="BF120" s="375"/>
      <c r="BG120" s="375"/>
      <c r="BH120" s="375"/>
      <c r="BI120" s="375"/>
    </row>
    <row r="121" spans="1:65" s="300" customFormat="1" ht="30" customHeight="1">
      <c r="C121" s="381"/>
      <c r="D121" s="336"/>
      <c r="E121" s="336"/>
      <c r="F121" s="336"/>
      <c r="G121" s="336"/>
      <c r="H121" s="336"/>
      <c r="I121" s="336"/>
      <c r="J121" s="336"/>
      <c r="K121" s="336"/>
      <c r="L121" s="336"/>
      <c r="M121" s="336"/>
      <c r="N121" s="336"/>
      <c r="O121" s="336"/>
      <c r="P121" s="336"/>
      <c r="Q121" s="336"/>
      <c r="R121" s="336"/>
      <c r="S121" s="336"/>
      <c r="T121" s="336"/>
      <c r="U121" s="336"/>
      <c r="V121" s="336"/>
      <c r="W121" s="336"/>
      <c r="X121" s="336"/>
      <c r="Y121" s="336"/>
      <c r="Z121" s="336"/>
      <c r="AA121" s="336"/>
      <c r="AB121" s="336"/>
      <c r="AC121" s="336"/>
      <c r="AD121" s="336"/>
      <c r="AE121" s="336"/>
      <c r="AF121" s="336"/>
      <c r="AG121" s="336"/>
      <c r="AH121" s="336"/>
      <c r="AI121" s="336"/>
      <c r="AJ121" s="336"/>
      <c r="AK121" s="336"/>
      <c r="AL121" s="336"/>
      <c r="AM121" s="336"/>
      <c r="AN121" s="336"/>
      <c r="AP121" s="371"/>
      <c r="AQ121" s="372"/>
      <c r="AR121" s="372"/>
      <c r="AS121" s="372"/>
      <c r="AT121" s="372"/>
      <c r="AU121" s="372"/>
      <c r="AV121" s="372"/>
      <c r="AW121" s="373"/>
      <c r="AX121" s="373"/>
      <c r="AY121" s="373"/>
      <c r="AZ121" s="374"/>
      <c r="BA121" s="372"/>
      <c r="BB121" s="372"/>
      <c r="BC121" s="372"/>
      <c r="BD121" s="372"/>
      <c r="BE121" s="375"/>
      <c r="BF121" s="375"/>
      <c r="BG121" s="375"/>
      <c r="BH121" s="375"/>
      <c r="BI121" s="375"/>
    </row>
    <row r="122" spans="1:65" s="370" customFormat="1" ht="20.100000000000001" customHeight="1">
      <c r="C122" s="2060" t="s">
        <v>2442</v>
      </c>
      <c r="D122" s="2060"/>
      <c r="E122" s="2060"/>
      <c r="F122" s="2060"/>
      <c r="G122" s="2060"/>
      <c r="H122" s="2060"/>
      <c r="I122" s="2060"/>
      <c r="J122" s="2060"/>
      <c r="K122" s="2060"/>
      <c r="L122" s="2060"/>
      <c r="M122" s="2060"/>
      <c r="N122" s="2060"/>
      <c r="O122" s="2060"/>
      <c r="P122" s="2060"/>
      <c r="Q122" s="2060"/>
      <c r="R122" s="2060"/>
      <c r="S122" s="2060"/>
      <c r="T122" s="2060"/>
      <c r="U122" s="2060"/>
      <c r="V122" s="2060"/>
      <c r="W122" s="2060"/>
      <c r="X122" s="2060"/>
      <c r="Y122" s="2060"/>
      <c r="Z122" s="2060"/>
      <c r="AA122" s="2060"/>
      <c r="AB122" s="2060"/>
      <c r="AC122" s="2060"/>
      <c r="AD122" s="2060"/>
      <c r="AE122" s="2060"/>
      <c r="AF122" s="2060"/>
      <c r="AG122" s="2060"/>
      <c r="AH122" s="2060"/>
      <c r="AI122" s="2060"/>
      <c r="AJ122" s="2060"/>
      <c r="AK122" s="2060"/>
      <c r="AL122" s="2060"/>
      <c r="AM122" s="2060"/>
      <c r="AN122" s="2060"/>
      <c r="AP122" s="345"/>
      <c r="AQ122" s="345"/>
      <c r="AR122" s="345"/>
      <c r="AS122" s="345"/>
      <c r="AT122" s="345"/>
      <c r="AU122" s="345"/>
      <c r="AV122" s="345"/>
      <c r="AW122" s="345"/>
      <c r="AX122" s="345"/>
      <c r="AY122" s="345"/>
      <c r="AZ122" s="345"/>
      <c r="BA122" s="345"/>
      <c r="BB122" s="345"/>
      <c r="BC122" s="345"/>
      <c r="BD122" s="345"/>
      <c r="BE122" s="345"/>
      <c r="BF122" s="345"/>
      <c r="BG122" s="345"/>
      <c r="BH122" s="345"/>
      <c r="BI122" s="345"/>
    </row>
    <row r="123" spans="1:65" s="342" customFormat="1" ht="9.9499999999999993" customHeight="1">
      <c r="A123" s="311"/>
      <c r="C123" s="809"/>
      <c r="D123" s="302"/>
      <c r="E123" s="302"/>
      <c r="F123" s="300"/>
      <c r="G123" s="300"/>
      <c r="H123" s="302"/>
      <c r="I123" s="302"/>
      <c r="J123" s="302"/>
      <c r="K123" s="312"/>
      <c r="L123" s="300"/>
      <c r="M123" s="300"/>
      <c r="N123" s="300"/>
      <c r="O123" s="300"/>
      <c r="P123" s="314"/>
      <c r="Q123" s="311"/>
      <c r="R123" s="302"/>
      <c r="S123" s="302"/>
      <c r="T123" s="302"/>
      <c r="U123" s="302"/>
      <c r="V123" s="300"/>
      <c r="W123" s="300"/>
      <c r="X123" s="312"/>
      <c r="Y123" s="300"/>
      <c r="Z123" s="311"/>
      <c r="AA123" s="311"/>
      <c r="AB123" s="311"/>
      <c r="AC123" s="311"/>
      <c r="AD123" s="311"/>
      <c r="AE123" s="311"/>
      <c r="AF123" s="311"/>
      <c r="AG123" s="311"/>
      <c r="AH123" s="311"/>
      <c r="AI123" s="311"/>
      <c r="AJ123" s="311"/>
      <c r="AK123" s="311"/>
      <c r="AL123" s="311"/>
      <c r="AM123" s="311"/>
      <c r="AN123" s="347"/>
      <c r="AP123" s="371"/>
      <c r="AQ123" s="372"/>
      <c r="AR123" s="372"/>
      <c r="AS123" s="372"/>
      <c r="AT123" s="372"/>
      <c r="AU123" s="372"/>
      <c r="AV123" s="372"/>
      <c r="AW123" s="373"/>
      <c r="AX123" s="373"/>
      <c r="AY123" s="373"/>
      <c r="AZ123" s="374"/>
      <c r="BA123" s="372"/>
      <c r="BB123" s="372"/>
      <c r="BC123" s="372"/>
      <c r="BD123" s="372"/>
      <c r="BE123" s="375"/>
      <c r="BF123" s="375"/>
      <c r="BG123" s="375"/>
      <c r="BH123" s="375"/>
      <c r="BI123" s="375"/>
      <c r="BJ123" s="311"/>
      <c r="BK123" s="311"/>
      <c r="BL123" s="311"/>
      <c r="BM123" s="311"/>
    </row>
    <row r="124" spans="1:65" s="1080" customFormat="1" ht="6" customHeight="1">
      <c r="B124" s="1081"/>
      <c r="C124" s="1082"/>
      <c r="D124" s="1083"/>
      <c r="E124" s="1084"/>
      <c r="F124" s="1084"/>
      <c r="G124" s="1084"/>
      <c r="H124" s="1084"/>
      <c r="I124" s="1084"/>
      <c r="J124" s="1084"/>
      <c r="K124" s="1084"/>
      <c r="L124" s="1084"/>
      <c r="M124" s="1084"/>
      <c r="N124" s="1084"/>
      <c r="O124" s="1085"/>
      <c r="P124" s="1085"/>
      <c r="Q124" s="1085"/>
      <c r="R124" s="1085"/>
      <c r="S124" s="1085"/>
      <c r="T124" s="1085"/>
      <c r="U124" s="1085"/>
      <c r="V124" s="1085"/>
      <c r="W124" s="1086"/>
      <c r="AN124" s="1087"/>
      <c r="AP124" s="371"/>
      <c r="AQ124" s="372"/>
      <c r="AR124" s="372"/>
      <c r="AS124" s="372"/>
      <c r="AT124" s="372"/>
      <c r="AU124" s="372"/>
      <c r="AV124" s="372"/>
      <c r="AW124" s="373"/>
      <c r="AX124" s="373"/>
      <c r="AY124" s="373"/>
      <c r="AZ124" s="374"/>
      <c r="BA124" s="372"/>
      <c r="BB124" s="372"/>
      <c r="BC124" s="372"/>
      <c r="BD124" s="372"/>
      <c r="BE124" s="375"/>
      <c r="BF124" s="375"/>
      <c r="BG124" s="375"/>
      <c r="BH124" s="375"/>
      <c r="BI124" s="375"/>
      <c r="BJ124" s="311"/>
      <c r="BK124" s="311"/>
      <c r="BL124" s="311"/>
    </row>
    <row r="125" spans="1:65" s="1080" customFormat="1" ht="15" customHeight="1">
      <c r="B125" s="1081"/>
      <c r="C125" s="1088"/>
      <c r="D125" s="1089"/>
      <c r="E125" s="1090" t="s">
        <v>1770</v>
      </c>
      <c r="F125" s="1091" t="s">
        <v>2443</v>
      </c>
      <c r="H125" s="1092"/>
      <c r="I125" s="1092"/>
      <c r="J125" s="1092"/>
      <c r="K125" s="1092"/>
      <c r="L125" s="1092"/>
      <c r="M125" s="1092"/>
      <c r="O125" s="1093" t="s">
        <v>5</v>
      </c>
      <c r="P125" s="1121" t="s">
        <v>2469</v>
      </c>
      <c r="Q125" s="1121"/>
      <c r="R125" s="1121"/>
      <c r="S125" s="1121"/>
      <c r="T125" s="1121"/>
      <c r="U125" s="1121"/>
      <c r="V125" s="1121"/>
      <c r="W125" s="1122"/>
      <c r="AN125" s="1087"/>
      <c r="AP125" s="371"/>
      <c r="AQ125" s="372"/>
      <c r="AR125" s="372"/>
      <c r="AS125" s="372"/>
      <c r="AT125" s="372"/>
      <c r="AU125" s="372"/>
      <c r="AV125" s="2046"/>
      <c r="AW125" s="2030"/>
      <c r="AX125" s="2030"/>
      <c r="AY125" s="2030"/>
      <c r="AZ125" s="2030"/>
      <c r="BA125" s="2030"/>
      <c r="BB125" s="2030"/>
      <c r="BC125" s="2030"/>
      <c r="BD125" s="2030"/>
      <c r="BE125" s="2030"/>
      <c r="BF125" s="2030"/>
      <c r="BG125" s="2030"/>
      <c r="BH125" s="375"/>
      <c r="BI125" s="375"/>
      <c r="BJ125" s="311"/>
      <c r="BK125" s="311"/>
      <c r="BL125" s="311"/>
    </row>
    <row r="126" spans="1:65" s="1080" customFormat="1" ht="3" customHeight="1">
      <c r="B126" s="1081"/>
      <c r="C126" s="1082"/>
      <c r="D126" s="1089"/>
      <c r="F126" s="1092"/>
      <c r="G126" s="1092"/>
      <c r="H126" s="1092"/>
      <c r="I126" s="1092"/>
      <c r="J126" s="1092"/>
      <c r="K126" s="1092"/>
      <c r="L126" s="1092"/>
      <c r="M126" s="1092"/>
      <c r="O126" s="1092"/>
      <c r="P126" s="1123"/>
      <c r="Q126" s="1123"/>
      <c r="R126" s="1123"/>
      <c r="S126" s="1123"/>
      <c r="T126" s="1123"/>
      <c r="U126" s="1123"/>
      <c r="V126" s="1123"/>
      <c r="W126" s="1122"/>
      <c r="AN126" s="1087"/>
      <c r="AP126" s="371"/>
      <c r="AQ126" s="372"/>
      <c r="AR126" s="372"/>
      <c r="AS126" s="372"/>
      <c r="AT126" s="372"/>
      <c r="AU126" s="372"/>
      <c r="AV126" s="2046"/>
      <c r="AW126" s="2030"/>
      <c r="AX126" s="2030"/>
      <c r="AY126" s="2030"/>
      <c r="AZ126" s="2030"/>
      <c r="BA126" s="2030"/>
      <c r="BB126" s="2030"/>
      <c r="BC126" s="2030"/>
      <c r="BD126" s="2030"/>
      <c r="BE126" s="2030"/>
      <c r="BF126" s="2030"/>
      <c r="BG126" s="2030"/>
      <c r="BH126" s="375"/>
      <c r="BI126" s="375"/>
      <c r="BJ126" s="311"/>
      <c r="BK126" s="311"/>
      <c r="BL126" s="311"/>
    </row>
    <row r="127" spans="1:65" s="1080" customFormat="1" ht="15" customHeight="1">
      <c r="B127" s="1081"/>
      <c r="C127" s="1088"/>
      <c r="D127" s="1089"/>
      <c r="F127" s="1092"/>
      <c r="G127" s="1092"/>
      <c r="H127" s="1092"/>
      <c r="I127" s="1092"/>
      <c r="J127" s="1092"/>
      <c r="K127" s="1092"/>
      <c r="L127" s="1094"/>
      <c r="M127" s="1095" t="s">
        <v>2444</v>
      </c>
      <c r="O127" s="1096" t="s">
        <v>5</v>
      </c>
      <c r="P127" s="2047" t="s">
        <v>2465</v>
      </c>
      <c r="Q127" s="2048"/>
      <c r="R127" s="2048"/>
      <c r="S127" s="2048"/>
      <c r="T127" s="2048"/>
      <c r="U127" s="2048"/>
      <c r="V127" s="1123"/>
      <c r="W127" s="1122"/>
      <c r="AN127" s="1087"/>
      <c r="AP127" s="371"/>
      <c r="AQ127" s="372"/>
      <c r="AR127" s="372"/>
      <c r="AS127" s="372"/>
      <c r="AT127" s="372"/>
      <c r="AU127" s="372"/>
      <c r="AV127" s="2046"/>
      <c r="AW127" s="2049" t="e">
        <f>P127/0.65</f>
        <v>#VALUE!</v>
      </c>
      <c r="AX127" s="2049"/>
      <c r="AY127" s="2049"/>
      <c r="AZ127" s="2049"/>
      <c r="BA127" s="2049"/>
      <c r="BB127" s="2049"/>
      <c r="BC127" s="2049"/>
      <c r="BD127" s="2049"/>
      <c r="BE127" s="2049"/>
      <c r="BF127" s="2049"/>
      <c r="BG127" s="2049"/>
      <c r="BH127" s="375"/>
      <c r="BI127" s="375"/>
      <c r="BJ127" s="311"/>
      <c r="BK127" s="311"/>
      <c r="BL127" s="311"/>
    </row>
    <row r="128" spans="1:65" s="1080" customFormat="1" ht="3" customHeight="1">
      <c r="B128" s="1081"/>
      <c r="C128" s="1082"/>
      <c r="D128" s="1089"/>
      <c r="F128" s="1092"/>
      <c r="G128" s="1092"/>
      <c r="H128" s="1094"/>
      <c r="I128" s="1094"/>
      <c r="J128" s="1094"/>
      <c r="K128" s="1094"/>
      <c r="L128" s="1094"/>
      <c r="M128" s="1094"/>
      <c r="O128" s="1092"/>
      <c r="P128" s="1124"/>
      <c r="Q128" s="1125"/>
      <c r="R128" s="1125"/>
      <c r="S128" s="1125"/>
      <c r="T128" s="1126"/>
      <c r="U128" s="1126"/>
      <c r="V128" s="1127"/>
      <c r="W128" s="1122"/>
      <c r="AN128" s="1087"/>
      <c r="AP128" s="371"/>
      <c r="AQ128" s="372"/>
      <c r="AR128" s="372"/>
      <c r="AS128" s="372"/>
      <c r="AT128" s="372"/>
      <c r="AU128" s="372"/>
      <c r="AV128" s="2046"/>
      <c r="AW128" s="2049"/>
      <c r="AX128" s="2049"/>
      <c r="AY128" s="2049"/>
      <c r="AZ128" s="2049"/>
      <c r="BA128" s="2049"/>
      <c r="BB128" s="2049"/>
      <c r="BC128" s="2049"/>
      <c r="BD128" s="2049"/>
      <c r="BE128" s="2049"/>
      <c r="BF128" s="2049"/>
      <c r="BG128" s="2049"/>
      <c r="BH128" s="375"/>
      <c r="BI128" s="375"/>
      <c r="BJ128" s="311"/>
      <c r="BK128" s="311"/>
      <c r="BL128" s="311"/>
    </row>
    <row r="129" spans="2:64" s="1080" customFormat="1" ht="15" customHeight="1">
      <c r="B129" s="1081"/>
      <c r="C129" s="1097"/>
      <c r="D129" s="1089"/>
      <c r="F129" s="1092"/>
      <c r="G129" s="1092"/>
      <c r="H129" s="1094"/>
      <c r="I129" s="1094"/>
      <c r="J129" s="1094"/>
      <c r="K129" s="1094"/>
      <c r="L129" s="1094"/>
      <c r="M129" s="1095" t="s">
        <v>2445</v>
      </c>
      <c r="O129" s="1096" t="s">
        <v>5</v>
      </c>
      <c r="P129" s="2047" t="s">
        <v>2465</v>
      </c>
      <c r="Q129" s="2048"/>
      <c r="R129" s="2048"/>
      <c r="S129" s="2048"/>
      <c r="T129" s="2048"/>
      <c r="U129" s="2048"/>
      <c r="V129" s="1127"/>
      <c r="W129" s="1122"/>
      <c r="X129" s="1089"/>
      <c r="AN129" s="1087"/>
      <c r="AP129" s="371"/>
      <c r="AQ129" s="372"/>
      <c r="AR129" s="372"/>
      <c r="AS129" s="372"/>
      <c r="AT129" s="372"/>
      <c r="AU129" s="372"/>
      <c r="AV129" s="2046"/>
      <c r="AW129" s="2030"/>
      <c r="AX129" s="2030"/>
      <c r="AY129" s="2030"/>
      <c r="AZ129" s="2030"/>
      <c r="BA129" s="2030"/>
      <c r="BB129" s="2030"/>
      <c r="BC129" s="2030"/>
      <c r="BD129" s="2030"/>
      <c r="BE129" s="2030"/>
      <c r="BF129" s="2030"/>
      <c r="BG129" s="2030"/>
      <c r="BH129" s="375"/>
      <c r="BI129" s="375"/>
      <c r="BJ129" s="311"/>
      <c r="BK129" s="311"/>
      <c r="BL129" s="311"/>
    </row>
    <row r="130" spans="2:64" s="1080" customFormat="1" ht="3.95" customHeight="1">
      <c r="B130" s="1081"/>
      <c r="C130" s="1089"/>
      <c r="D130" s="1098"/>
      <c r="E130" s="1099"/>
      <c r="F130" s="1099"/>
      <c r="G130" s="1099"/>
      <c r="H130" s="1099"/>
      <c r="I130" s="1099"/>
      <c r="J130" s="1099"/>
      <c r="K130" s="1099"/>
      <c r="L130" s="1099"/>
      <c r="M130" s="1099"/>
      <c r="N130" s="1099"/>
      <c r="O130" s="1100"/>
      <c r="P130" s="1100"/>
      <c r="Q130" s="1100"/>
      <c r="R130" s="1100"/>
      <c r="S130" s="1100"/>
      <c r="T130" s="1100"/>
      <c r="U130" s="1100"/>
      <c r="V130" s="1100"/>
      <c r="W130" s="1101"/>
      <c r="X130" s="1089"/>
      <c r="AN130" s="1087"/>
      <c r="AP130" s="371"/>
      <c r="AQ130" s="372"/>
      <c r="AR130" s="372"/>
      <c r="AS130" s="372"/>
      <c r="AT130" s="372"/>
      <c r="AU130" s="372"/>
      <c r="AV130" s="2046"/>
      <c r="AW130" s="2030"/>
      <c r="AX130" s="2030"/>
      <c r="AY130" s="2030"/>
      <c r="AZ130" s="2030"/>
      <c r="BA130" s="2030"/>
      <c r="BB130" s="2030"/>
      <c r="BC130" s="2030"/>
      <c r="BD130" s="2030"/>
      <c r="BE130" s="2030"/>
      <c r="BF130" s="2030"/>
      <c r="BG130" s="2030"/>
      <c r="BH130" s="375"/>
      <c r="BI130" s="375"/>
      <c r="BJ130" s="311"/>
      <c r="BK130" s="311"/>
      <c r="BL130" s="311"/>
    </row>
    <row r="131" spans="2:64" s="300" customFormat="1" ht="8.1" customHeight="1">
      <c r="C131" s="332"/>
      <c r="D131" s="336"/>
      <c r="E131" s="336"/>
      <c r="F131" s="336"/>
      <c r="G131" s="336"/>
      <c r="H131" s="336"/>
      <c r="I131" s="336"/>
      <c r="J131" s="336"/>
      <c r="K131" s="336"/>
      <c r="L131" s="336"/>
      <c r="M131" s="336"/>
      <c r="N131" s="336"/>
      <c r="O131" s="336"/>
      <c r="P131" s="336"/>
      <c r="Q131" s="336"/>
      <c r="R131" s="336"/>
      <c r="S131" s="336"/>
      <c r="T131" s="336"/>
      <c r="U131" s="336"/>
      <c r="V131" s="336"/>
      <c r="W131" s="336"/>
      <c r="X131" s="336"/>
      <c r="Y131" s="336"/>
      <c r="Z131" s="336"/>
      <c r="AA131" s="336"/>
      <c r="AB131" s="336"/>
      <c r="AC131" s="336"/>
      <c r="AD131" s="336"/>
      <c r="AE131" s="336"/>
      <c r="AF131" s="336"/>
      <c r="AG131" s="336"/>
      <c r="AH131" s="336"/>
      <c r="AI131" s="336"/>
      <c r="AJ131" s="336"/>
      <c r="AK131" s="336"/>
      <c r="AL131" s="336"/>
      <c r="AM131" s="336"/>
      <c r="AN131" s="337"/>
      <c r="AP131" s="371"/>
      <c r="AQ131" s="372"/>
      <c r="AR131" s="372"/>
      <c r="AS131" s="372"/>
      <c r="AT131" s="372"/>
      <c r="AU131" s="372"/>
      <c r="AV131" s="372"/>
      <c r="AW131" s="373"/>
      <c r="AX131" s="373"/>
      <c r="AY131" s="373"/>
      <c r="AZ131" s="374"/>
      <c r="BA131" s="372"/>
      <c r="BB131" s="372"/>
      <c r="BC131" s="372"/>
      <c r="BD131" s="372"/>
      <c r="BE131" s="375"/>
      <c r="BF131" s="375"/>
      <c r="BG131" s="375"/>
      <c r="BH131" s="375"/>
      <c r="BI131" s="375"/>
    </row>
    <row r="132" spans="2:64" s="300" customFormat="1" ht="30" customHeight="1">
      <c r="C132" s="302"/>
      <c r="D132" s="302"/>
      <c r="E132" s="302"/>
      <c r="F132" s="302"/>
      <c r="G132" s="302"/>
      <c r="H132" s="302"/>
      <c r="I132" s="302"/>
      <c r="J132" s="302"/>
      <c r="K132" s="302"/>
      <c r="L132" s="302"/>
      <c r="M132" s="302"/>
      <c r="N132" s="302"/>
      <c r="O132" s="302"/>
      <c r="P132" s="302"/>
      <c r="Q132" s="302"/>
      <c r="R132" s="302"/>
      <c r="S132" s="302"/>
      <c r="T132" s="302"/>
      <c r="U132" s="302"/>
      <c r="V132" s="302"/>
      <c r="W132" s="302"/>
      <c r="X132" s="302"/>
      <c r="Y132" s="302"/>
      <c r="Z132" s="302"/>
      <c r="AA132" s="302"/>
      <c r="AB132" s="302"/>
      <c r="AC132" s="302"/>
      <c r="AD132" s="302"/>
      <c r="AE132" s="302"/>
      <c r="AF132" s="302"/>
      <c r="AG132" s="302"/>
      <c r="AH132" s="302"/>
      <c r="AI132" s="302"/>
      <c r="AJ132" s="302"/>
      <c r="AK132" s="302"/>
      <c r="AL132" s="302"/>
      <c r="AM132" s="302"/>
      <c r="AN132" s="302"/>
      <c r="AP132" s="371"/>
      <c r="AQ132" s="372"/>
      <c r="AR132" s="372"/>
      <c r="AS132" s="372"/>
      <c r="AT132" s="372"/>
      <c r="AU132" s="372"/>
      <c r="AV132" s="372"/>
      <c r="AW132" s="373"/>
      <c r="AX132" s="373"/>
      <c r="AY132" s="373"/>
      <c r="AZ132" s="374"/>
      <c r="BA132" s="372"/>
      <c r="BB132" s="372"/>
      <c r="BC132" s="372"/>
      <c r="BD132" s="372"/>
      <c r="BE132" s="375"/>
      <c r="BF132" s="375"/>
      <c r="BG132" s="375"/>
      <c r="BH132" s="375"/>
      <c r="BI132" s="375"/>
    </row>
    <row r="133" spans="2:64" s="300" customFormat="1" ht="20.100000000000001" customHeight="1">
      <c r="C133" s="2054" t="s">
        <v>1821</v>
      </c>
      <c r="D133" s="2055"/>
      <c r="E133" s="2055"/>
      <c r="F133" s="2055"/>
      <c r="G133" s="2055"/>
      <c r="H133" s="2055"/>
      <c r="I133" s="2055"/>
      <c r="J133" s="2055"/>
      <c r="K133" s="2055"/>
      <c r="L133" s="2055"/>
      <c r="M133" s="2055"/>
      <c r="N133" s="2055"/>
      <c r="O133" s="2055"/>
      <c r="P133" s="2055"/>
      <c r="Q133" s="2055"/>
      <c r="R133" s="2055"/>
      <c r="S133" s="2055"/>
      <c r="T133" s="2055"/>
      <c r="U133" s="2055"/>
      <c r="V133" s="2055"/>
      <c r="W133" s="2055"/>
      <c r="X133" s="2055"/>
      <c r="Y133" s="2055"/>
      <c r="Z133" s="2055"/>
      <c r="AA133" s="2055"/>
      <c r="AB133" s="2055"/>
      <c r="AC133" s="2055"/>
      <c r="AD133" s="2055"/>
      <c r="AE133" s="2055"/>
      <c r="AF133" s="2055"/>
      <c r="AG133" s="2055"/>
      <c r="AH133" s="2055"/>
      <c r="AI133" s="2055"/>
      <c r="AJ133" s="2055"/>
      <c r="AK133" s="2055"/>
      <c r="AL133" s="2055"/>
      <c r="AM133" s="2055"/>
      <c r="AN133" s="2056"/>
      <c r="AP133" s="345"/>
      <c r="AQ133" s="345"/>
      <c r="AR133" s="345"/>
      <c r="AS133" s="345"/>
      <c r="AT133" s="345"/>
      <c r="AU133" s="345"/>
      <c r="AV133" s="345"/>
      <c r="AW133" s="345"/>
      <c r="AX133" s="345"/>
      <c r="AY133" s="345"/>
      <c r="AZ133" s="307"/>
      <c r="BA133" s="307"/>
      <c r="BB133" s="307"/>
      <c r="BC133" s="307"/>
      <c r="BD133" s="307"/>
      <c r="BE133" s="307"/>
      <c r="BF133" s="307"/>
      <c r="BG133" s="307"/>
      <c r="BH133" s="307"/>
      <c r="BI133" s="307"/>
    </row>
    <row r="134" spans="2:64" s="300" customFormat="1" ht="6" customHeight="1">
      <c r="C134" s="809"/>
      <c r="D134" s="302"/>
      <c r="E134" s="302"/>
      <c r="H134" s="302"/>
      <c r="I134" s="302"/>
      <c r="J134" s="302"/>
      <c r="K134" s="312"/>
      <c r="P134" s="314"/>
      <c r="Q134" s="311"/>
      <c r="R134" s="302"/>
      <c r="S134" s="302"/>
      <c r="T134" s="302"/>
      <c r="U134" s="302"/>
      <c r="X134" s="312"/>
      <c r="AA134" s="302"/>
      <c r="AB134" s="302"/>
      <c r="AC134" s="302"/>
      <c r="AD134" s="302"/>
      <c r="AE134" s="302"/>
      <c r="AF134" s="302"/>
      <c r="AG134" s="302"/>
      <c r="AH134" s="302"/>
      <c r="AI134" s="302"/>
      <c r="AJ134" s="302"/>
      <c r="AK134" s="302"/>
      <c r="AL134" s="302"/>
      <c r="AM134" s="302"/>
      <c r="AN134" s="838"/>
      <c r="AP134" s="345"/>
      <c r="AQ134" s="345"/>
      <c r="AR134" s="345"/>
      <c r="AS134" s="345"/>
      <c r="AT134" s="345"/>
      <c r="AU134" s="345"/>
      <c r="AV134" s="345"/>
      <c r="AW134" s="345"/>
      <c r="AX134" s="345"/>
      <c r="AY134" s="345"/>
    </row>
    <row r="135" spans="2:64" s="300" customFormat="1" ht="14.25" customHeight="1">
      <c r="C135" s="839" t="s">
        <v>1822</v>
      </c>
      <c r="D135" s="2057" t="s">
        <v>3</v>
      </c>
      <c r="E135" s="2057"/>
      <c r="F135" s="2057"/>
      <c r="G135" s="2057"/>
      <c r="H135" s="2057"/>
      <c r="I135" s="2057"/>
      <c r="J135" s="2057"/>
      <c r="K135" s="2057"/>
      <c r="L135" s="2057"/>
      <c r="M135" s="2057"/>
      <c r="N135" s="2057"/>
      <c r="O135" s="2057"/>
      <c r="P135" s="2057"/>
      <c r="Q135" s="2057"/>
      <c r="R135" s="2057"/>
      <c r="S135" s="2057"/>
      <c r="T135" s="2057"/>
      <c r="U135" s="2057"/>
      <c r="V135" s="2057"/>
      <c r="W135" s="2057"/>
      <c r="X135" s="2057"/>
      <c r="Y135" s="2057"/>
      <c r="Z135" s="2057"/>
      <c r="AA135" s="2057"/>
      <c r="AB135" s="2057"/>
      <c r="AC135" s="2057"/>
      <c r="AD135" s="2057"/>
      <c r="AE135" s="2057"/>
      <c r="AF135" s="2057"/>
      <c r="AG135" s="2057"/>
      <c r="AH135" s="2057"/>
      <c r="AI135" s="2057"/>
      <c r="AJ135" s="2057"/>
      <c r="AK135" s="2057"/>
      <c r="AL135" s="2057"/>
      <c r="AM135" s="2057"/>
      <c r="AN135" s="838"/>
    </row>
    <row r="136" spans="2:64" s="300" customFormat="1" ht="27" customHeight="1">
      <c r="C136" s="839"/>
      <c r="D136" s="2057"/>
      <c r="E136" s="2057"/>
      <c r="F136" s="2057"/>
      <c r="G136" s="2057"/>
      <c r="H136" s="2057"/>
      <c r="I136" s="2057"/>
      <c r="J136" s="2057"/>
      <c r="K136" s="2057"/>
      <c r="L136" s="2057"/>
      <c r="M136" s="2057"/>
      <c r="N136" s="2057"/>
      <c r="O136" s="2057"/>
      <c r="P136" s="2057"/>
      <c r="Q136" s="2057"/>
      <c r="R136" s="2057"/>
      <c r="S136" s="2057"/>
      <c r="T136" s="2057"/>
      <c r="U136" s="2057"/>
      <c r="V136" s="2057"/>
      <c r="W136" s="2057"/>
      <c r="X136" s="2057"/>
      <c r="Y136" s="2057"/>
      <c r="Z136" s="2057"/>
      <c r="AA136" s="2057"/>
      <c r="AB136" s="2057"/>
      <c r="AC136" s="2057"/>
      <c r="AD136" s="2057"/>
      <c r="AE136" s="2057"/>
      <c r="AF136" s="2057"/>
      <c r="AG136" s="2057"/>
      <c r="AH136" s="2057"/>
      <c r="AI136" s="2057"/>
      <c r="AJ136" s="2057"/>
      <c r="AK136" s="2057"/>
      <c r="AL136" s="2057"/>
      <c r="AM136" s="2057"/>
      <c r="AN136" s="838"/>
    </row>
    <row r="137" spans="2:64" s="300" customFormat="1" ht="9" customHeight="1">
      <c r="C137" s="839"/>
      <c r="D137" s="840"/>
      <c r="E137" s="840"/>
      <c r="F137" s="840"/>
      <c r="G137" s="840"/>
      <c r="H137" s="840"/>
      <c r="I137" s="840"/>
      <c r="J137" s="840"/>
      <c r="K137" s="840"/>
      <c r="L137" s="840"/>
      <c r="M137" s="840"/>
      <c r="N137" s="840"/>
      <c r="O137" s="840"/>
      <c r="P137" s="840"/>
      <c r="Q137" s="840"/>
      <c r="R137" s="840"/>
      <c r="S137" s="840"/>
      <c r="T137" s="840"/>
      <c r="U137" s="840"/>
      <c r="V137" s="840"/>
      <c r="W137" s="840"/>
      <c r="X137" s="840"/>
      <c r="Y137" s="840"/>
      <c r="Z137" s="840"/>
      <c r="AA137" s="840"/>
      <c r="AB137" s="840"/>
      <c r="AC137" s="840"/>
      <c r="AD137" s="840"/>
      <c r="AE137" s="840"/>
      <c r="AF137" s="840"/>
      <c r="AG137" s="840"/>
      <c r="AH137" s="840"/>
      <c r="AI137" s="840"/>
      <c r="AJ137" s="840"/>
      <c r="AK137" s="840"/>
      <c r="AL137" s="840"/>
      <c r="AM137" s="840"/>
      <c r="AN137" s="838"/>
    </row>
    <row r="138" spans="2:64" s="300" customFormat="1" ht="14.25" customHeight="1">
      <c r="C138" s="841" t="s">
        <v>1823</v>
      </c>
      <c r="D138" s="2053" t="s">
        <v>3</v>
      </c>
      <c r="E138" s="2053"/>
      <c r="F138" s="2053"/>
      <c r="G138" s="2053"/>
      <c r="H138" s="2053"/>
      <c r="I138" s="2053"/>
      <c r="J138" s="2053"/>
      <c r="K138" s="2053"/>
      <c r="L138" s="2053"/>
      <c r="M138" s="2053"/>
      <c r="N138" s="2053"/>
      <c r="O138" s="2053"/>
      <c r="P138" s="2053"/>
      <c r="Q138" s="2053"/>
      <c r="R138" s="2053"/>
      <c r="S138" s="2053"/>
      <c r="T138" s="2053"/>
      <c r="U138" s="2053"/>
      <c r="V138" s="2053"/>
      <c r="W138" s="2053"/>
      <c r="X138" s="2053"/>
      <c r="Y138" s="2053"/>
      <c r="Z138" s="2053"/>
      <c r="AA138" s="2053"/>
      <c r="AB138" s="2053"/>
      <c r="AC138" s="2053"/>
      <c r="AD138" s="2053"/>
      <c r="AE138" s="2053"/>
      <c r="AF138" s="2053"/>
      <c r="AG138" s="2053"/>
      <c r="AH138" s="2053"/>
      <c r="AI138" s="2053"/>
      <c r="AJ138" s="2053"/>
      <c r="AK138" s="2053"/>
      <c r="AL138" s="2053"/>
      <c r="AM138" s="2053"/>
      <c r="AN138" s="838"/>
    </row>
    <row r="139" spans="2:64" s="300" customFormat="1" ht="28.5" customHeight="1">
      <c r="C139" s="839"/>
      <c r="D139" s="2053"/>
      <c r="E139" s="2053"/>
      <c r="F139" s="2053"/>
      <c r="G139" s="2053"/>
      <c r="H139" s="2053"/>
      <c r="I139" s="2053"/>
      <c r="J139" s="2053"/>
      <c r="K139" s="2053"/>
      <c r="L139" s="2053"/>
      <c r="M139" s="2053"/>
      <c r="N139" s="2053"/>
      <c r="O139" s="2053"/>
      <c r="P139" s="2053"/>
      <c r="Q139" s="2053"/>
      <c r="R139" s="2053"/>
      <c r="S139" s="2053"/>
      <c r="T139" s="2053"/>
      <c r="U139" s="2053"/>
      <c r="V139" s="2053"/>
      <c r="W139" s="2053"/>
      <c r="X139" s="2053"/>
      <c r="Y139" s="2053"/>
      <c r="Z139" s="2053"/>
      <c r="AA139" s="2053"/>
      <c r="AB139" s="2053"/>
      <c r="AC139" s="2053"/>
      <c r="AD139" s="2053"/>
      <c r="AE139" s="2053"/>
      <c r="AF139" s="2053"/>
      <c r="AG139" s="2053"/>
      <c r="AH139" s="2053"/>
      <c r="AI139" s="2053"/>
      <c r="AJ139" s="2053"/>
      <c r="AK139" s="2053"/>
      <c r="AL139" s="2053"/>
      <c r="AM139" s="2053"/>
      <c r="AN139" s="838"/>
    </row>
    <row r="140" spans="2:64" s="300" customFormat="1" ht="9" customHeight="1">
      <c r="C140" s="839"/>
      <c r="D140" s="380"/>
      <c r="E140" s="380"/>
      <c r="F140" s="380"/>
      <c r="G140" s="380"/>
      <c r="H140" s="380"/>
      <c r="I140" s="380"/>
      <c r="J140" s="380"/>
      <c r="K140" s="380"/>
      <c r="L140" s="380"/>
      <c r="M140" s="380"/>
      <c r="N140" s="380"/>
      <c r="O140" s="380"/>
      <c r="P140" s="380"/>
      <c r="Q140" s="380"/>
      <c r="R140" s="380"/>
      <c r="S140" s="380"/>
      <c r="T140" s="380"/>
      <c r="U140" s="380"/>
      <c r="V140" s="380"/>
      <c r="W140" s="380"/>
      <c r="X140" s="380"/>
      <c r="Y140" s="380"/>
      <c r="Z140" s="380"/>
      <c r="AA140" s="380"/>
      <c r="AB140" s="380"/>
      <c r="AC140" s="380"/>
      <c r="AD140" s="380"/>
      <c r="AE140" s="380"/>
      <c r="AF140" s="380"/>
      <c r="AG140" s="380"/>
      <c r="AH140" s="380"/>
      <c r="AI140" s="380"/>
      <c r="AJ140" s="380"/>
      <c r="AK140" s="380"/>
      <c r="AL140" s="380"/>
      <c r="AM140" s="380"/>
      <c r="AN140" s="838"/>
    </row>
    <row r="141" spans="2:64" s="300" customFormat="1" ht="14.25" customHeight="1">
      <c r="C141" s="842" t="s">
        <v>1880</v>
      </c>
      <c r="D141" s="2053" t="s">
        <v>3</v>
      </c>
      <c r="E141" s="2053"/>
      <c r="F141" s="2053"/>
      <c r="G141" s="2053"/>
      <c r="H141" s="2053"/>
      <c r="I141" s="2053"/>
      <c r="J141" s="2053"/>
      <c r="K141" s="2053"/>
      <c r="L141" s="2053"/>
      <c r="M141" s="2053"/>
      <c r="N141" s="2053"/>
      <c r="O141" s="2053"/>
      <c r="P141" s="2053"/>
      <c r="Q141" s="2053"/>
      <c r="R141" s="2053"/>
      <c r="S141" s="2053"/>
      <c r="T141" s="2053"/>
      <c r="U141" s="2053"/>
      <c r="V141" s="2053"/>
      <c r="W141" s="2053"/>
      <c r="X141" s="2053"/>
      <c r="Y141" s="2053"/>
      <c r="Z141" s="2053"/>
      <c r="AA141" s="2053"/>
      <c r="AB141" s="2053"/>
      <c r="AC141" s="2053"/>
      <c r="AD141" s="2053"/>
      <c r="AE141" s="2053"/>
      <c r="AF141" s="2053"/>
      <c r="AG141" s="2053"/>
      <c r="AH141" s="2053"/>
      <c r="AI141" s="2053"/>
      <c r="AJ141" s="2053"/>
      <c r="AK141" s="2053"/>
      <c r="AL141" s="2053"/>
      <c r="AM141" s="2053"/>
      <c r="AN141" s="838"/>
    </row>
    <row r="142" spans="2:64" ht="27.75" customHeight="1">
      <c r="B142" s="300"/>
      <c r="C142" s="843"/>
      <c r="D142" s="2053"/>
      <c r="E142" s="2053"/>
      <c r="F142" s="2053"/>
      <c r="G142" s="2053"/>
      <c r="H142" s="2053"/>
      <c r="I142" s="2053"/>
      <c r="J142" s="2053"/>
      <c r="K142" s="2053"/>
      <c r="L142" s="2053"/>
      <c r="M142" s="2053"/>
      <c r="N142" s="2053"/>
      <c r="O142" s="2053"/>
      <c r="P142" s="2053"/>
      <c r="Q142" s="2053"/>
      <c r="R142" s="2053"/>
      <c r="S142" s="2053"/>
      <c r="T142" s="2053"/>
      <c r="U142" s="2053"/>
      <c r="V142" s="2053"/>
      <c r="W142" s="2053"/>
      <c r="X142" s="2053"/>
      <c r="Y142" s="2053"/>
      <c r="Z142" s="2053"/>
      <c r="AA142" s="2053"/>
      <c r="AB142" s="2053"/>
      <c r="AC142" s="2053"/>
      <c r="AD142" s="2053"/>
      <c r="AE142" s="2053"/>
      <c r="AF142" s="2053"/>
      <c r="AG142" s="2053"/>
      <c r="AH142" s="2053"/>
      <c r="AI142" s="2053"/>
      <c r="AJ142" s="2053"/>
      <c r="AK142" s="2053"/>
      <c r="AL142" s="2053"/>
      <c r="AM142" s="2053"/>
      <c r="AN142" s="838"/>
      <c r="AP142" s="299"/>
      <c r="AQ142" s="299"/>
    </row>
    <row r="143" spans="2:64" ht="14.25" customHeight="1">
      <c r="C143" s="844"/>
      <c r="D143" s="845"/>
      <c r="E143" s="845"/>
      <c r="F143" s="845"/>
      <c r="G143" s="845"/>
      <c r="H143" s="845"/>
      <c r="I143" s="845"/>
      <c r="J143" s="845"/>
      <c r="K143" s="845"/>
      <c r="L143" s="845"/>
      <c r="M143" s="845"/>
      <c r="N143" s="845"/>
      <c r="O143" s="845"/>
      <c r="P143" s="845"/>
      <c r="Q143" s="845"/>
      <c r="R143" s="845"/>
      <c r="S143" s="845"/>
      <c r="T143" s="845"/>
      <c r="U143" s="845"/>
      <c r="V143" s="845"/>
      <c r="W143" s="845"/>
      <c r="X143" s="845"/>
      <c r="Y143" s="845"/>
      <c r="Z143" s="845"/>
      <c r="AA143" s="845"/>
      <c r="AB143" s="845"/>
      <c r="AC143" s="845"/>
      <c r="AD143" s="845"/>
      <c r="AE143" s="845"/>
      <c r="AF143" s="845"/>
      <c r="AG143" s="845"/>
      <c r="AH143" s="845"/>
      <c r="AI143" s="845"/>
      <c r="AJ143" s="845"/>
      <c r="AK143" s="845"/>
      <c r="AL143" s="845"/>
      <c r="AM143" s="845"/>
      <c r="AN143" s="337"/>
      <c r="AO143" s="372"/>
      <c r="AP143" s="372"/>
      <c r="AQ143" s="372"/>
      <c r="AR143" s="846"/>
    </row>
    <row r="144" spans="2:64" ht="12.75">
      <c r="C144" s="302"/>
      <c r="D144" s="302"/>
      <c r="E144" s="302"/>
      <c r="F144" s="302"/>
      <c r="G144" s="302"/>
      <c r="H144" s="302"/>
      <c r="I144" s="302"/>
      <c r="J144" s="302"/>
      <c r="K144" s="302"/>
      <c r="L144" s="302"/>
      <c r="M144" s="302"/>
      <c r="N144" s="302"/>
      <c r="O144" s="302"/>
      <c r="P144" s="302"/>
      <c r="Q144" s="302"/>
      <c r="R144" s="771"/>
      <c r="AO144" s="372"/>
      <c r="AP144" s="372"/>
      <c r="AQ144" s="372"/>
      <c r="AR144" s="846"/>
      <c r="AS144" s="846"/>
    </row>
    <row r="145" spans="2:46" ht="12.75">
      <c r="C145" s="302"/>
      <c r="D145" s="302"/>
      <c r="E145" s="302"/>
      <c r="F145" s="302"/>
      <c r="G145" s="302"/>
      <c r="H145" s="302"/>
      <c r="I145" s="302"/>
      <c r="J145" s="302"/>
      <c r="K145" s="302"/>
      <c r="L145" s="302"/>
      <c r="M145" s="302"/>
      <c r="N145" s="302"/>
      <c r="O145" s="302"/>
      <c r="P145" s="302"/>
      <c r="Q145" s="302"/>
      <c r="R145" s="771"/>
      <c r="AO145" s="372"/>
      <c r="AP145" s="372"/>
      <c r="AQ145" s="372"/>
      <c r="AR145" s="846"/>
      <c r="AS145" s="846"/>
    </row>
    <row r="146" spans="2:46" ht="12.75">
      <c r="C146" s="302"/>
      <c r="D146" s="302"/>
      <c r="E146" s="302"/>
      <c r="F146" s="302"/>
      <c r="G146" s="302"/>
      <c r="H146" s="302"/>
      <c r="I146" s="302"/>
      <c r="J146" s="302"/>
      <c r="K146" s="302"/>
      <c r="L146" s="302"/>
      <c r="M146" s="302"/>
      <c r="N146" s="302"/>
      <c r="O146" s="302"/>
      <c r="P146" s="302"/>
      <c r="Q146" s="302"/>
      <c r="R146" s="771"/>
      <c r="AO146" s="372"/>
      <c r="AP146" s="372"/>
      <c r="AQ146" s="372"/>
      <c r="AR146" s="846"/>
      <c r="AS146" s="846"/>
    </row>
    <row r="147" spans="2:46" ht="12.75">
      <c r="C147" s="302"/>
      <c r="D147" s="302"/>
      <c r="E147" s="302"/>
      <c r="F147" s="302"/>
      <c r="G147" s="302"/>
      <c r="H147" s="302"/>
      <c r="I147" s="302"/>
      <c r="J147" s="302"/>
      <c r="K147" s="302"/>
      <c r="L147" s="302"/>
      <c r="M147" s="302"/>
      <c r="N147" s="302"/>
      <c r="O147" s="302"/>
      <c r="P147" s="302"/>
      <c r="Q147" s="302"/>
      <c r="R147" s="771"/>
      <c r="AO147" s="372"/>
      <c r="AP147" s="372"/>
      <c r="AQ147" s="372"/>
      <c r="AR147" s="846"/>
      <c r="AS147" s="846"/>
    </row>
    <row r="148" spans="2:46" ht="12.75">
      <c r="C148" s="302"/>
      <c r="D148" s="302"/>
      <c r="E148" s="302"/>
      <c r="F148" s="302"/>
      <c r="G148" s="302"/>
      <c r="H148" s="302"/>
      <c r="I148" s="302"/>
      <c r="J148" s="302"/>
      <c r="K148" s="302"/>
      <c r="L148" s="302"/>
      <c r="M148" s="302"/>
      <c r="N148" s="302"/>
      <c r="O148" s="302"/>
      <c r="P148" s="302"/>
      <c r="Q148" s="302"/>
      <c r="R148" s="771"/>
      <c r="AO148" s="372"/>
      <c r="AP148" s="372"/>
      <c r="AQ148" s="372"/>
      <c r="AR148" s="846"/>
      <c r="AS148" s="846"/>
    </row>
    <row r="149" spans="2:46" ht="12.75">
      <c r="C149" s="302"/>
      <c r="D149" s="302"/>
      <c r="E149" s="302"/>
      <c r="F149" s="302"/>
      <c r="G149" s="302"/>
      <c r="H149" s="302"/>
      <c r="I149" s="302"/>
      <c r="J149" s="302"/>
      <c r="K149" s="302"/>
      <c r="L149" s="302"/>
      <c r="M149" s="302"/>
      <c r="N149" s="302"/>
      <c r="O149" s="302"/>
      <c r="P149" s="302"/>
      <c r="Q149" s="302"/>
      <c r="R149" s="771"/>
      <c r="AO149" s="372"/>
      <c r="AP149" s="372"/>
      <c r="AQ149" s="372"/>
      <c r="AR149" s="846"/>
      <c r="AS149" s="846"/>
    </row>
    <row r="150" spans="2:46" ht="12.75">
      <c r="C150" s="302"/>
      <c r="D150" s="302"/>
      <c r="E150" s="302"/>
      <c r="F150" s="302"/>
      <c r="G150" s="302"/>
      <c r="H150" s="302"/>
      <c r="I150" s="302"/>
      <c r="J150" s="302"/>
      <c r="K150" s="302"/>
      <c r="L150" s="302"/>
      <c r="M150" s="302"/>
      <c r="N150" s="302"/>
      <c r="O150" s="302"/>
      <c r="P150" s="302"/>
      <c r="Q150" s="302"/>
      <c r="R150" s="771"/>
      <c r="AO150" s="372"/>
      <c r="AP150" s="372"/>
      <c r="AQ150" s="372"/>
      <c r="AR150" s="846"/>
      <c r="AS150" s="846"/>
    </row>
    <row r="151" spans="2:46" ht="9.75" customHeight="1">
      <c r="C151" s="302"/>
      <c r="D151" s="302"/>
      <c r="E151" s="302"/>
      <c r="F151" s="302"/>
      <c r="G151" s="302"/>
      <c r="H151" s="302"/>
      <c r="I151" s="302"/>
      <c r="J151" s="302"/>
      <c r="K151" s="302"/>
      <c r="L151" s="302"/>
      <c r="M151" s="302"/>
      <c r="N151" s="302"/>
      <c r="O151" s="302"/>
      <c r="P151" s="302"/>
      <c r="Q151" s="302"/>
      <c r="R151" s="771"/>
      <c r="AO151" s="372"/>
      <c r="AP151" s="372"/>
      <c r="AQ151" s="372"/>
      <c r="AR151" s="846"/>
      <c r="AS151" s="846"/>
    </row>
    <row r="152" spans="2:46" ht="9.75" customHeight="1">
      <c r="C152" s="302"/>
      <c r="D152" s="302"/>
      <c r="E152" s="302"/>
      <c r="F152" s="302"/>
      <c r="G152" s="302"/>
      <c r="H152" s="302"/>
      <c r="I152" s="302"/>
      <c r="J152" s="302"/>
      <c r="K152" s="302"/>
      <c r="L152" s="302"/>
      <c r="M152" s="302"/>
      <c r="N152" s="302"/>
      <c r="O152" s="302"/>
      <c r="P152" s="302"/>
      <c r="Q152" s="302"/>
      <c r="R152" s="771"/>
      <c r="AO152" s="372"/>
      <c r="AP152" s="372"/>
      <c r="AQ152" s="372"/>
      <c r="AR152" s="846"/>
      <c r="AS152" s="846"/>
    </row>
    <row r="153" spans="2:46" ht="9.75" customHeight="1">
      <c r="C153" s="302"/>
      <c r="D153" s="302"/>
      <c r="E153" s="302"/>
      <c r="F153" s="302"/>
      <c r="G153" s="302"/>
      <c r="H153" s="302"/>
      <c r="I153" s="302"/>
      <c r="J153" s="302"/>
      <c r="K153" s="302"/>
      <c r="L153" s="302"/>
      <c r="M153" s="302"/>
      <c r="N153" s="302"/>
      <c r="O153" s="302"/>
      <c r="P153" s="302"/>
      <c r="Q153" s="302"/>
      <c r="R153" s="771"/>
      <c r="AO153" s="372"/>
      <c r="AP153" s="372"/>
      <c r="AQ153" s="372"/>
      <c r="AR153" s="846"/>
      <c r="AS153" s="846"/>
    </row>
    <row r="154" spans="2:46" ht="12.75">
      <c r="C154" s="302"/>
      <c r="D154" s="302"/>
      <c r="E154" s="302"/>
      <c r="F154" s="302"/>
      <c r="G154" s="302"/>
      <c r="H154" s="302"/>
      <c r="I154" s="302"/>
      <c r="J154" s="302"/>
      <c r="K154" s="302"/>
      <c r="L154" s="302"/>
      <c r="M154" s="302"/>
      <c r="N154" s="302"/>
      <c r="O154" s="302"/>
      <c r="P154" s="302"/>
      <c r="Q154" s="302"/>
      <c r="R154" s="771"/>
      <c r="AO154" s="372"/>
      <c r="AP154" s="372"/>
      <c r="AQ154" s="372"/>
      <c r="AR154" s="846"/>
      <c r="AS154" s="846"/>
    </row>
    <row r="155" spans="2:46" ht="12.75">
      <c r="C155" s="302"/>
      <c r="D155" s="302"/>
      <c r="E155" s="302"/>
      <c r="F155" s="302"/>
      <c r="G155" s="302"/>
      <c r="H155" s="302"/>
      <c r="I155" s="302"/>
      <c r="J155" s="302"/>
      <c r="K155" s="302"/>
      <c r="L155" s="302"/>
      <c r="M155" s="302"/>
      <c r="N155" s="302"/>
      <c r="O155" s="302"/>
      <c r="P155" s="302"/>
      <c r="Q155" s="302"/>
      <c r="R155" s="771"/>
      <c r="AO155" s="372"/>
      <c r="AP155" s="372"/>
      <c r="AQ155" s="372"/>
      <c r="AR155" s="846"/>
      <c r="AS155" s="846"/>
    </row>
    <row r="156" spans="2:46" ht="13.5" thickBot="1">
      <c r="C156" s="302"/>
      <c r="D156" s="302"/>
      <c r="E156" s="302"/>
      <c r="F156" s="302"/>
      <c r="G156" s="302"/>
      <c r="H156" s="302"/>
      <c r="I156" s="302"/>
      <c r="J156" s="302"/>
      <c r="K156" s="302"/>
      <c r="L156" s="302"/>
      <c r="M156" s="302"/>
      <c r="N156" s="302"/>
      <c r="O156" s="302"/>
      <c r="P156" s="302"/>
      <c r="Q156" s="302"/>
      <c r="R156" s="771"/>
      <c r="AO156" s="372"/>
      <c r="AP156" s="372"/>
      <c r="AQ156" s="372"/>
      <c r="AR156" s="846"/>
      <c r="AS156" s="846"/>
    </row>
    <row r="157" spans="2:46" s="388" customFormat="1" ht="14.25" thickBot="1">
      <c r="B157" s="383"/>
      <c r="C157" s="383"/>
      <c r="D157" s="383"/>
      <c r="E157" s="383"/>
      <c r="F157" s="383"/>
      <c r="G157" s="383"/>
      <c r="H157" s="383"/>
      <c r="I157" s="383"/>
      <c r="J157" s="383"/>
      <c r="K157" s="383"/>
      <c r="L157" s="383"/>
      <c r="M157" s="383"/>
      <c r="N157" s="383"/>
      <c r="O157" s="383"/>
      <c r="P157" s="383"/>
      <c r="Q157" s="383"/>
      <c r="R157" s="383"/>
      <c r="S157" s="383"/>
      <c r="T157" s="383"/>
      <c r="U157" s="383"/>
      <c r="V157" s="383"/>
      <c r="W157" s="383"/>
      <c r="X157" s="383"/>
      <c r="Y157" s="383"/>
      <c r="Z157" s="383"/>
      <c r="AA157" s="383"/>
      <c r="AB157" s="383"/>
      <c r="AC157" s="383"/>
      <c r="AD157" s="383"/>
      <c r="AE157" s="383"/>
      <c r="AF157" s="383"/>
      <c r="AG157" s="383"/>
      <c r="AH157" s="383"/>
      <c r="AI157" s="383"/>
      <c r="AJ157" s="384"/>
      <c r="AK157" s="384"/>
      <c r="AL157" s="384"/>
      <c r="AM157" s="385"/>
      <c r="AN157" s="384" t="str">
        <f>CONCATENATE("Hal - ",AP157,"  dari  ",AS157)</f>
        <v>Hal - 5  dari  10</v>
      </c>
      <c r="AO157" s="386"/>
      <c r="AP157" s="1881">
        <f>AP95+1</f>
        <v>5</v>
      </c>
      <c r="AQ157" s="1882"/>
      <c r="AR157" s="387" t="s">
        <v>3</v>
      </c>
      <c r="AS157" s="1881">
        <f>'Surat-01'!$AW$55</f>
        <v>10</v>
      </c>
      <c r="AT157" s="1882"/>
    </row>
    <row r="158" spans="2:46" ht="14.1" customHeight="1"/>
    <row r="159" spans="2:46" ht="14.1" customHeight="1"/>
  </sheetData>
  <sheetProtection formatCells="0" formatColumns="0" formatRows="0" insertColumns="0" insertRows="0" insertHyperlinks="0" deleteColumns="0" deleteRows="0" sort="0" autoFilter="0" pivotTables="0"/>
  <protectedRanges>
    <protectedRange sqref="X134 AM6 Z6 L6 K134" name="Range2_1_4_10_1"/>
    <protectedRange sqref="K117 X117" name="Range2_1_4_10_1_1"/>
    <protectedRange sqref="X118:X119" name="Range2_1_4_10_1_1_1"/>
    <protectedRange sqref="K123 X123" name="Range2_1_4_10_1_1_2"/>
    <protectedRange sqref="X85:X92 AF63:AF64 AF68 X74 M74 X83 M93:M94 AF70:AF73 X77:X81 X62 X60 AF66 M63:M71" name="Range2_1_4_10_1_5_1_1"/>
    <protectedRange sqref="R47:R48 X55:X56 R55:R56 X51:X52 R43:R44 AM43:AM54 AI56:AI57 AM56:AM57 AK56:AK57 AK37:AK41 AM37:AM41 AK43:AK54 AK28:AK29 AK31:AK34 AM31:AM34 AM28:AM29 AK21:AK24 AM21:AM24 AM17:AM19 AK17:AK19 O21:O22 O17:O18 U17:U18 H25:H26 H29:H30 U29:U30 U25:U26 U21:U22 H17:H18 H21:H22 O25:O26 O29:O30 AI17:AI19 AI21:AI24 AI28:AI29 AI31:AI34 AI37:AI41 AI43:AI54 X43:X44 X47:X48 R51:R52" name="Range2_1_4_10_1_2_1_1_1"/>
  </protectedRanges>
  <mergeCells count="236">
    <mergeCell ref="C27:G28"/>
    <mergeCell ref="AB28:AH29"/>
    <mergeCell ref="AI28:AI29"/>
    <mergeCell ref="C49:F50"/>
    <mergeCell ref="AM28:AM29"/>
    <mergeCell ref="C29:G30"/>
    <mergeCell ref="H29:H30"/>
    <mergeCell ref="O29:O30"/>
    <mergeCell ref="P29:T30"/>
    <mergeCell ref="V31:Y32"/>
    <mergeCell ref="AM18:AM19"/>
    <mergeCell ref="P17:T18"/>
    <mergeCell ref="U17:U18"/>
    <mergeCell ref="V17:Y18"/>
    <mergeCell ref="AK18:AK19"/>
    <mergeCell ref="O17:O18"/>
    <mergeCell ref="C106:D106"/>
    <mergeCell ref="E106:H106"/>
    <mergeCell ref="N106:T106"/>
    <mergeCell ref="U106:X106"/>
    <mergeCell ref="Y106:AB106"/>
    <mergeCell ref="U29:U30"/>
    <mergeCell ref="V29:Y30"/>
    <mergeCell ref="AB30:AH31"/>
    <mergeCell ref="C31:G32"/>
    <mergeCell ref="G49:G50"/>
    <mergeCell ref="I21:N22"/>
    <mergeCell ref="AG106:AJ106"/>
    <mergeCell ref="AK106:AN106"/>
    <mergeCell ref="AK28:AK29"/>
    <mergeCell ref="AG10:AN10"/>
    <mergeCell ref="AG11:AN11"/>
    <mergeCell ref="C14:Y15"/>
    <mergeCell ref="AA14:AN15"/>
    <mergeCell ref="C17:G18"/>
    <mergeCell ref="H17:H18"/>
    <mergeCell ref="AG8:AN8"/>
    <mergeCell ref="AG9:AN9"/>
    <mergeCell ref="C19:G20"/>
    <mergeCell ref="AB20:AH21"/>
    <mergeCell ref="C21:G22"/>
    <mergeCell ref="H21:H22"/>
    <mergeCell ref="O21:O22"/>
    <mergeCell ref="P21:T22"/>
    <mergeCell ref="AB18:AH19"/>
    <mergeCell ref="I17:N18"/>
    <mergeCell ref="AK23:AK24"/>
    <mergeCell ref="I25:N26"/>
    <mergeCell ref="C3:K3"/>
    <mergeCell ref="U21:U22"/>
    <mergeCell ref="V21:Y22"/>
    <mergeCell ref="C23:G24"/>
    <mergeCell ref="AB23:AH24"/>
    <mergeCell ref="AI23:AI24"/>
    <mergeCell ref="AI18:AI19"/>
    <mergeCell ref="C5:AN5"/>
    <mergeCell ref="AK48:AK49"/>
    <mergeCell ref="AM48:AM49"/>
    <mergeCell ref="AM23:AM24"/>
    <mergeCell ref="C25:G26"/>
    <mergeCell ref="H25:H26"/>
    <mergeCell ref="O25:O26"/>
    <mergeCell ref="P25:T26"/>
    <mergeCell ref="U25:U26"/>
    <mergeCell ref="V25:Y26"/>
    <mergeCell ref="AB25:AH26"/>
    <mergeCell ref="AI43:AI44"/>
    <mergeCell ref="AK43:AK44"/>
    <mergeCell ref="AM43:AM44"/>
    <mergeCell ref="AK38:AK39"/>
    <mergeCell ref="AM38:AM39"/>
    <mergeCell ref="AB40:AH41"/>
    <mergeCell ref="AI33:AI34"/>
    <mergeCell ref="AK33:AK34"/>
    <mergeCell ref="AM33:AM34"/>
    <mergeCell ref="C35:Y36"/>
    <mergeCell ref="AB35:AH36"/>
    <mergeCell ref="T37:Y41"/>
    <mergeCell ref="AB38:AH39"/>
    <mergeCell ref="AI38:AI39"/>
    <mergeCell ref="AB33:AH34"/>
    <mergeCell ref="AB50:AH51"/>
    <mergeCell ref="AP40:AR42"/>
    <mergeCell ref="AT40:BA50"/>
    <mergeCell ref="C43:F44"/>
    <mergeCell ref="G43:G44"/>
    <mergeCell ref="R43:R44"/>
    <mergeCell ref="T43:W44"/>
    <mergeCell ref="X43:X44"/>
    <mergeCell ref="AB43:AH44"/>
    <mergeCell ref="C51:F52"/>
    <mergeCell ref="C45:F46"/>
    <mergeCell ref="G45:G46"/>
    <mergeCell ref="AB45:AH46"/>
    <mergeCell ref="C47:F48"/>
    <mergeCell ref="G47:G48"/>
    <mergeCell ref="R47:R48"/>
    <mergeCell ref="T47:W48"/>
    <mergeCell ref="X47:X48"/>
    <mergeCell ref="AB48:AH49"/>
    <mergeCell ref="G51:G52"/>
    <mergeCell ref="R51:R52"/>
    <mergeCell ref="AM53:AM54"/>
    <mergeCell ref="H47:I48"/>
    <mergeCell ref="J47:Q48"/>
    <mergeCell ref="H49:I50"/>
    <mergeCell ref="H51:I52"/>
    <mergeCell ref="J51:Q52"/>
    <mergeCell ref="T51:W52"/>
    <mergeCell ref="X51:X52"/>
    <mergeCell ref="C53:F54"/>
    <mergeCell ref="AB53:AH54"/>
    <mergeCell ref="AI53:AI54"/>
    <mergeCell ref="AK53:AK54"/>
    <mergeCell ref="H55:I56"/>
    <mergeCell ref="J55:Q56"/>
    <mergeCell ref="AC63:AF63"/>
    <mergeCell ref="AI48:AI49"/>
    <mergeCell ref="T55:W56"/>
    <mergeCell ref="X55:X56"/>
    <mergeCell ref="AB55:AH56"/>
    <mergeCell ref="C59:AN59"/>
    <mergeCell ref="C61:AN61"/>
    <mergeCell ref="C55:F56"/>
    <mergeCell ref="G55:G56"/>
    <mergeCell ref="R55:R56"/>
    <mergeCell ref="AC71:AM71"/>
    <mergeCell ref="D72:H73"/>
    <mergeCell ref="AC73:AM73"/>
    <mergeCell ref="AC65:AD65"/>
    <mergeCell ref="AF65:AH65"/>
    <mergeCell ref="AC67:AM67"/>
    <mergeCell ref="AC69:AM69"/>
    <mergeCell ref="C76:AN76"/>
    <mergeCell ref="J78:T78"/>
    <mergeCell ref="J80:T80"/>
    <mergeCell ref="J82:T82"/>
    <mergeCell ref="J84:T84"/>
    <mergeCell ref="J86:T86"/>
    <mergeCell ref="N90:Q90"/>
    <mergeCell ref="N92:Q92"/>
    <mergeCell ref="AI92:AN92"/>
    <mergeCell ref="N88:P88"/>
    <mergeCell ref="AP95:AQ95"/>
    <mergeCell ref="AS95:AT95"/>
    <mergeCell ref="U99:X99"/>
    <mergeCell ref="Y99:AB99"/>
    <mergeCell ref="AC99:AF99"/>
    <mergeCell ref="AG99:AJ99"/>
    <mergeCell ref="E98:H99"/>
    <mergeCell ref="I98:M99"/>
    <mergeCell ref="Y100:AB104"/>
    <mergeCell ref="AC100:AF104"/>
    <mergeCell ref="AG100:AJ104"/>
    <mergeCell ref="AK100:AN104"/>
    <mergeCell ref="N101:T101"/>
    <mergeCell ref="N102:T102"/>
    <mergeCell ref="N103:T103"/>
    <mergeCell ref="N104:T104"/>
    <mergeCell ref="E105:H105"/>
    <mergeCell ref="I105:M105"/>
    <mergeCell ref="C100:D104"/>
    <mergeCell ref="E100:H104"/>
    <mergeCell ref="N100:T100"/>
    <mergeCell ref="U100:X104"/>
    <mergeCell ref="I100:M104"/>
    <mergeCell ref="AG107:AJ107"/>
    <mergeCell ref="AK107:AN107"/>
    <mergeCell ref="U105:X105"/>
    <mergeCell ref="Y105:AB105"/>
    <mergeCell ref="AC105:AF105"/>
    <mergeCell ref="AG105:AJ105"/>
    <mergeCell ref="AK105:AN105"/>
    <mergeCell ref="AC106:AF106"/>
    <mergeCell ref="C107:D107"/>
    <mergeCell ref="E107:H107"/>
    <mergeCell ref="N107:T107"/>
    <mergeCell ref="U107:X107"/>
    <mergeCell ref="Y107:AB107"/>
    <mergeCell ref="AC107:AF107"/>
    <mergeCell ref="AF118:AL118"/>
    <mergeCell ref="AF119:AL119"/>
    <mergeCell ref="C122:AN122"/>
    <mergeCell ref="U108:X108"/>
    <mergeCell ref="Y108:AB108"/>
    <mergeCell ref="AC108:AF108"/>
    <mergeCell ref="AG108:AJ108"/>
    <mergeCell ref="AK108:AN108"/>
    <mergeCell ref="AK113:AN113"/>
    <mergeCell ref="C116:AN116"/>
    <mergeCell ref="D141:AM142"/>
    <mergeCell ref="AP157:AQ157"/>
    <mergeCell ref="AS157:AT157"/>
    <mergeCell ref="C133:AN133"/>
    <mergeCell ref="D135:AM136"/>
    <mergeCell ref="D138:AM139"/>
    <mergeCell ref="AW127:BG128"/>
    <mergeCell ref="P129:U129"/>
    <mergeCell ref="AV129:AV130"/>
    <mergeCell ref="AW129:BG130"/>
    <mergeCell ref="N98:T99"/>
    <mergeCell ref="U98:AB98"/>
    <mergeCell ref="AC98:AJ98"/>
    <mergeCell ref="AK98:AN99"/>
    <mergeCell ref="AV125:AV126"/>
    <mergeCell ref="AG109:AJ109"/>
    <mergeCell ref="H43:I44"/>
    <mergeCell ref="J43:Q44"/>
    <mergeCell ref="H45:I46"/>
    <mergeCell ref="C108:D108"/>
    <mergeCell ref="E108:H108"/>
    <mergeCell ref="AV127:AV128"/>
    <mergeCell ref="P127:U127"/>
    <mergeCell ref="I109:M109"/>
    <mergeCell ref="C109:D109"/>
    <mergeCell ref="E109:H109"/>
    <mergeCell ref="I108:M108"/>
    <mergeCell ref="AW125:BG126"/>
    <mergeCell ref="AK109:AN109"/>
    <mergeCell ref="C110:AJ110"/>
    <mergeCell ref="AK110:AN110"/>
    <mergeCell ref="AK112:AN112"/>
    <mergeCell ref="N109:T109"/>
    <mergeCell ref="U109:X109"/>
    <mergeCell ref="Y109:AB109"/>
    <mergeCell ref="AC109:AF109"/>
    <mergeCell ref="I29:N30"/>
    <mergeCell ref="C37:I41"/>
    <mergeCell ref="J37:S41"/>
    <mergeCell ref="N108:T108"/>
    <mergeCell ref="C105:D105"/>
    <mergeCell ref="N105:T105"/>
    <mergeCell ref="C97:AN97"/>
    <mergeCell ref="C98:D99"/>
    <mergeCell ref="I106:M106"/>
    <mergeCell ref="I107:M107"/>
  </mergeCells>
  <dataValidations count="17">
    <dataValidation type="list" allowBlank="1" showInputMessage="1" showErrorMessage="1" sqref="Z6 M74 AI43:AI54 AF72 AF68 AI33:AI34 AM43:AM54 AM56:AM57 X55 R43 AI38:AI39 X43:X44 R47 R55 AI56:AI57 AK56:AK57 X51 X47:X48 M93:M94 X83 X87 X81 AK43:AK54 AI28:AI29 AM38:AM39 AK38:AK39 AF66 O25:O26 O29:O30 AK28:AK29 AI23:AI24 AK33:AK34 AM33:AM34 AM28:AM29 AI18:AI19 AK23:AK24 AM23:AM24 AM18:AM19 AK18:AK19 H21:H22 H17:H18 O21:O22 R51:R52 O17:O18 U17:U18 H25:H26 H29:H30 U29:U30 U25:U26 U21:U22 M63:M71 X123 AM6 L6 K134 X117:X119 X134">
      <formula1>"√, -"</formula1>
    </dataValidation>
    <dataValidation operator="lessThan" allowBlank="1" showInputMessage="1" showErrorMessage="1" sqref="AJ157:AL157 T37 J37 C37 AJ95:AL95 AN95 AP95 AS95 M127 P126:V126 F125 M129 AS157 AN157 AP157"/>
    <dataValidation type="whole" operator="lessThan" allowBlank="1" showInputMessage="1" showErrorMessage="1" sqref="D157:AE157 C35 D95:AE95 C5:AN5 AT40 AP40:AR48 C133:AN133 AP13:AY13 C116:AN116 AP133:AY134 C117:D119 F117:V119 E117 C120:C121 E124:V124 W124:W130 F130:V130 D124:D130 F126:M126 E126:E130 B124:C129 C123:V123 O126 C131 AN124:AN130">
      <formula1>-5</formula1>
    </dataValidation>
    <dataValidation type="list" allowBlank="1" showInputMessage="1" showErrorMessage="1" sqref="E100">
      <formula1>"'-,Hak Milik,HGB,HMASRS,HS,HPL,HGU,GIRIK,AJB"</formula1>
    </dataValidation>
    <dataValidation type="list" allowBlank="1" showInputMessage="1" showErrorMessage="1" sqref="AC98:AJ98">
      <formula1>"Gambar Situasi,Surat Ukur,'- - - - - - - - - -"</formula1>
    </dataValidation>
    <dataValidation type="list" allowBlank="1" showInputMessage="1" showErrorMessage="1" sqref="E105:H109">
      <formula1>"'-,Hak Milik,HGB,HMASRS,HS,HPL,HGU,GIRIK,AJB, PPJB,"</formula1>
    </dataValidation>
    <dataValidation type="list" allowBlank="1" showInputMessage="1" showErrorMessage="1" sqref="J78">
      <formula1>"Datar,Datar &amp; Menurun,Bergelombang,Berbukit, Datar &amp; sebagian berbukit,Datar &amp; sebagian bergelombang,'- - - - - - - - - -"</formula1>
    </dataValidation>
    <dataValidation type="list" allowBlank="1" showInputMessage="1" showErrorMessage="1" sqref="AC69:AM69">
      <formula1>"Terbuka, Tertutup, Terbuka &amp; Tertutup,  '- - - - - - -"</formula1>
    </dataValidation>
    <dataValidation type="list" allowBlank="1" showInputMessage="1" showErrorMessage="1" sqref="U84:X84">
      <formula1>"Terbuka, Tertutup, '- - - - - - -"</formula1>
    </dataValidation>
    <dataValidation type="list" allowBlank="1" showInputMessage="1" showErrorMessage="1" sqref="AE84:AN84 J84">
      <formula1>"Tidak pernah terjadi, Sering terjadi, Pernah terjadi,'- - - - - - - - - -"</formula1>
    </dataValidation>
    <dataValidation type="list" allowBlank="1" showInputMessage="1" showErrorMessage="1" sqref="J86 AE86">
      <formula1>"Tengah,Sudut / Hook,Tusuk sate,Jalan buntu,Hadap taman,'- - - - - - - - - -"</formula1>
    </dataValidation>
    <dataValidation type="list" allowBlank="1" showInputMessage="1" showErrorMessage="1" sqref="AE78">
      <formula1>"Datar,Bergelombang,Berbukit, Datar &amp; sebagian berbukit,Datar &amp; sebagian bergelombang,'- - - - - - - - - -"</formula1>
    </dataValidation>
    <dataValidation type="list" allowBlank="1" showInputMessage="1" showErrorMessage="1" sqref="J80 AE80">
      <formula1>"Tanah matang,Tanah sawah,Tanah kosong,Rawa-rawa,Pertanian,Kebun,'- - - - - - - - - -"</formula1>
    </dataValidation>
    <dataValidation type="list" allowBlank="1" showInputMessage="1" showErrorMessage="1" sqref="J82 AE82">
      <formula1>"Baik,Cukup,Kurang,'- - - - - - - - - -"</formula1>
    </dataValidation>
    <dataValidation type="list" allowBlank="1" showInputMessage="1" showErrorMessage="1" sqref="N90 AI90">
      <formula1>"Ada,Tidak ada,'-"</formula1>
    </dataValidation>
    <dataValidation type="list" allowBlank="1" showInputMessage="1" showErrorMessage="1" sqref="U82:X82 AC67">
      <formula1>"Aspal,Aspal hotmix,Beton,Paving,Tanah,Semen,Kerikil,Bebatuan,'- - - - - - -"</formula1>
    </dataValidation>
    <dataValidation type="list" allowBlank="1" showInputMessage="1" showErrorMessage="1" sqref="U85:U86 AC70:AC71 AC73 U88">
      <formula1>"Ada,Tidak ada,'- - - - - - -"</formula1>
    </dataValidation>
  </dataValidations>
  <pageMargins left="0.75" right="0" top="0" bottom="0.39370078740157499" header="0.31496062992126" footer="0"/>
  <pageSetup paperSize="9" scale="90" orientation="portrait" r:id="rId1"/>
  <headerFooter alignWithMargins="0"/>
  <rowBreaks count="1" manualBreakCount="1">
    <brk id="95" min="1" max="38"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CC"/>
  </sheetPr>
  <dimension ref="B2:CE161"/>
  <sheetViews>
    <sheetView showGridLines="0" view="pageBreakPreview" topLeftCell="A19" zoomScaleSheetLayoutView="100" workbookViewId="0">
      <selection activeCell="AG14" sqref="AG14:AI14"/>
    </sheetView>
  </sheetViews>
  <sheetFormatPr defaultColWidth="2.7109375" defaultRowHeight="12.95" customHeight="1"/>
  <cols>
    <col min="1" max="1" width="5.7109375" style="299" customWidth="1"/>
    <col min="2" max="2" width="8.7109375" style="299" customWidth="1"/>
    <col min="3" max="3" width="2.28515625" style="298" customWidth="1"/>
    <col min="4" max="39" width="2.7109375" style="299" customWidth="1"/>
    <col min="40" max="41" width="1.7109375" style="299" customWidth="1"/>
    <col min="42" max="49" width="2.7109375" style="300" customWidth="1"/>
    <col min="50" max="50" width="7.140625" style="300" customWidth="1"/>
    <col min="51" max="55" width="2.7109375" style="300" customWidth="1"/>
    <col min="56" max="56" width="2.7109375" style="299"/>
    <col min="57" max="57" width="2.7109375" style="299" customWidth="1"/>
    <col min="58" max="16384" width="2.7109375" style="299"/>
  </cols>
  <sheetData>
    <row r="2" spans="3:66" ht="75" customHeight="1"/>
    <row r="3" spans="3:66" s="300" customFormat="1" ht="20.100000000000001" customHeight="1">
      <c r="C3" s="2168" t="s">
        <v>1768</v>
      </c>
      <c r="D3" s="2169"/>
      <c r="E3" s="2169"/>
      <c r="F3" s="2169"/>
      <c r="G3" s="2169"/>
      <c r="H3" s="2169"/>
      <c r="I3" s="2169"/>
      <c r="J3" s="2169"/>
      <c r="K3" s="2169"/>
      <c r="L3" s="2169"/>
      <c r="M3" s="2169"/>
      <c r="N3" s="1151"/>
      <c r="O3" s="1152"/>
      <c r="P3" s="1152"/>
      <c r="Q3" s="1152"/>
      <c r="R3" s="301"/>
      <c r="S3" s="301"/>
      <c r="T3" s="301"/>
      <c r="U3" s="301"/>
      <c r="V3" s="301"/>
      <c r="W3" s="301"/>
      <c r="X3" s="301"/>
      <c r="Y3" s="301"/>
      <c r="Z3" s="301"/>
      <c r="AA3" s="301"/>
      <c r="AB3" s="301"/>
      <c r="AC3" s="301"/>
    </row>
    <row r="4" spans="3:66" s="300" customFormat="1" ht="9.9499999999999993" customHeight="1">
      <c r="C4" s="302"/>
      <c r="O4" s="303"/>
      <c r="P4" s="303"/>
      <c r="Q4" s="304"/>
      <c r="R4" s="304"/>
      <c r="S4" s="304"/>
      <c r="T4" s="304"/>
      <c r="U4" s="304"/>
      <c r="V4" s="304"/>
      <c r="W4" s="304"/>
      <c r="X4" s="305"/>
      <c r="Y4" s="304"/>
      <c r="AJ4" s="306"/>
      <c r="AK4" s="306"/>
      <c r="AL4" s="306"/>
      <c r="AM4" s="306"/>
    </row>
    <row r="5" spans="3:66" s="309" customFormat="1" ht="20.100000000000001" customHeight="1">
      <c r="C5" s="2054" t="s">
        <v>1769</v>
      </c>
      <c r="D5" s="2055"/>
      <c r="E5" s="2055"/>
      <c r="F5" s="2055"/>
      <c r="G5" s="2055"/>
      <c r="H5" s="2055"/>
      <c r="I5" s="2055"/>
      <c r="J5" s="2055"/>
      <c r="K5" s="2055"/>
      <c r="L5" s="2055"/>
      <c r="M5" s="2055"/>
      <c r="N5" s="2055"/>
      <c r="O5" s="2055"/>
      <c r="P5" s="2055"/>
      <c r="Q5" s="2055"/>
      <c r="R5" s="2055"/>
      <c r="S5" s="2055"/>
      <c r="T5" s="2055"/>
      <c r="U5" s="2055"/>
      <c r="V5" s="2055"/>
      <c r="W5" s="2055"/>
      <c r="X5" s="2055"/>
      <c r="Y5" s="2055"/>
      <c r="Z5" s="2055"/>
      <c r="AA5" s="2055"/>
      <c r="AB5" s="2055"/>
      <c r="AC5" s="2055"/>
      <c r="AD5" s="2055"/>
      <c r="AE5" s="2055"/>
      <c r="AF5" s="2055"/>
      <c r="AG5" s="2055"/>
      <c r="AH5" s="2055"/>
      <c r="AI5" s="2055"/>
      <c r="AJ5" s="2055"/>
      <c r="AK5" s="2055"/>
      <c r="AL5" s="2055"/>
      <c r="AM5" s="2055"/>
      <c r="AN5" s="2056"/>
      <c r="AO5" s="1071"/>
      <c r="AP5" s="307"/>
      <c r="AQ5" s="307"/>
      <c r="AR5" s="307"/>
      <c r="AS5" s="307"/>
      <c r="AT5" s="308"/>
      <c r="AU5" s="308"/>
      <c r="AV5" s="308"/>
      <c r="AW5" s="308"/>
      <c r="AX5" s="308"/>
      <c r="AY5" s="308"/>
      <c r="AZ5" s="308"/>
      <c r="BA5" s="308"/>
      <c r="BB5" s="308"/>
      <c r="BC5" s="308"/>
      <c r="BD5" s="308"/>
    </row>
    <row r="6" spans="3:66" s="300" customFormat="1" ht="6" customHeight="1">
      <c r="C6" s="310"/>
      <c r="D6" s="311"/>
      <c r="E6" s="311"/>
      <c r="G6" s="307"/>
      <c r="H6" s="307"/>
      <c r="I6" s="307"/>
      <c r="J6" s="307"/>
      <c r="K6" s="307"/>
      <c r="L6" s="312"/>
      <c r="O6" s="313"/>
      <c r="R6" s="314"/>
      <c r="S6" s="311"/>
      <c r="T6" s="311"/>
      <c r="X6" s="302"/>
      <c r="Y6" s="302"/>
      <c r="Z6" s="312"/>
      <c r="AE6" s="314"/>
      <c r="AF6" s="311"/>
      <c r="AG6" s="302"/>
      <c r="AH6" s="302"/>
      <c r="AI6" s="302"/>
      <c r="AJ6" s="302"/>
      <c r="AM6" s="312"/>
      <c r="AN6" s="315"/>
      <c r="AP6" s="302"/>
      <c r="AQ6" s="302"/>
      <c r="AR6" s="302"/>
      <c r="AS6" s="302"/>
      <c r="AT6" s="302"/>
      <c r="AU6" s="302"/>
      <c r="AV6" s="302"/>
      <c r="AW6" s="302"/>
      <c r="AX6" s="302"/>
      <c r="AY6" s="302"/>
      <c r="AZ6" s="302"/>
      <c r="BA6" s="302"/>
      <c r="BB6" s="302"/>
      <c r="BC6" s="302"/>
    </row>
    <row r="7" spans="3:66" s="319" customFormat="1" ht="18" customHeight="1">
      <c r="C7" s="316" t="s">
        <v>1770</v>
      </c>
      <c r="D7" s="317" t="str">
        <f>Entry!B15</f>
        <v>Pemberi Tugas</v>
      </c>
      <c r="E7" s="317"/>
      <c r="F7" s="317"/>
      <c r="G7" s="317"/>
      <c r="H7" s="317"/>
      <c r="I7" s="317"/>
      <c r="J7" s="318"/>
      <c r="M7" s="320" t="s">
        <v>5</v>
      </c>
      <c r="N7" s="321" t="str">
        <f>Entry!L15</f>
        <v>PT. BANK ABCDE</v>
      </c>
      <c r="O7" s="320"/>
      <c r="P7" s="318"/>
      <c r="Q7" s="318"/>
      <c r="R7" s="322"/>
      <c r="S7" s="317"/>
      <c r="T7" s="317"/>
      <c r="U7" s="318"/>
      <c r="V7" s="318"/>
      <c r="W7" s="323" t="s">
        <v>1770</v>
      </c>
      <c r="X7" s="318" t="s">
        <v>1771</v>
      </c>
      <c r="Y7" s="324"/>
      <c r="Z7" s="317"/>
      <c r="AA7" s="317"/>
      <c r="AB7" s="317"/>
      <c r="AC7" s="317"/>
      <c r="AD7" s="325" t="s">
        <v>5</v>
      </c>
      <c r="AE7" s="326">
        <f>Entry!L8</f>
        <v>43216</v>
      </c>
      <c r="AF7" s="318"/>
      <c r="AG7" s="318"/>
      <c r="AH7" s="327"/>
      <c r="AI7" s="317"/>
      <c r="AJ7" s="317"/>
      <c r="AK7" s="318"/>
      <c r="AL7" s="318"/>
      <c r="AM7" s="317"/>
      <c r="AN7" s="328"/>
      <c r="AO7" s="317"/>
      <c r="AP7" s="317"/>
      <c r="AQ7" s="317"/>
      <c r="AR7" s="317"/>
      <c r="AS7" s="317"/>
      <c r="AT7" s="317"/>
      <c r="AU7" s="317"/>
      <c r="AV7" s="317"/>
      <c r="AW7" s="317"/>
      <c r="AX7" s="317"/>
      <c r="AY7" s="317"/>
      <c r="AZ7" s="317"/>
      <c r="BA7" s="317"/>
      <c r="BB7" s="317"/>
      <c r="BC7" s="317"/>
    </row>
    <row r="8" spans="3:66" s="319" customFormat="1" ht="30" customHeight="1">
      <c r="C8" s="316" t="s">
        <v>1770</v>
      </c>
      <c r="D8" s="317" t="s">
        <v>1772</v>
      </c>
      <c r="E8" s="317"/>
      <c r="F8" s="317"/>
      <c r="G8" s="317"/>
      <c r="H8" s="317"/>
      <c r="I8" s="317"/>
      <c r="J8" s="317"/>
      <c r="M8" s="320" t="s">
        <v>5</v>
      </c>
      <c r="N8" s="2279" t="str">
        <f>Entry!AD34</f>
        <v>Jl. ABCDE, Kel. Sangiang Jaya, Kec. Periuk, Kota Adm. Tangerang, Prop. Banten</v>
      </c>
      <c r="O8" s="2279"/>
      <c r="P8" s="2279"/>
      <c r="Q8" s="2279"/>
      <c r="R8" s="2279"/>
      <c r="S8" s="2279"/>
      <c r="T8" s="2279"/>
      <c r="U8" s="2279"/>
      <c r="V8" s="2279"/>
      <c r="W8" s="2279"/>
      <c r="X8" s="2279"/>
      <c r="Y8" s="2279"/>
      <c r="Z8" s="2279"/>
      <c r="AA8" s="2279"/>
      <c r="AB8" s="2279"/>
      <c r="AC8" s="2279"/>
      <c r="AD8" s="2279"/>
      <c r="AE8" s="2279"/>
      <c r="AF8" s="2279"/>
      <c r="AG8" s="2279"/>
      <c r="AH8" s="2279"/>
      <c r="AI8" s="2279"/>
      <c r="AJ8" s="2279"/>
      <c r="AK8" s="2279"/>
      <c r="AL8" s="2279"/>
      <c r="AM8" s="2279"/>
      <c r="AN8" s="329"/>
      <c r="AO8" s="1072"/>
      <c r="AP8" s="317"/>
      <c r="AQ8" s="317"/>
      <c r="AR8" s="317"/>
      <c r="AS8" s="317"/>
      <c r="AT8" s="317"/>
    </row>
    <row r="9" spans="3:66" s="319" customFormat="1" ht="15" customHeight="1">
      <c r="C9" s="316" t="s">
        <v>1770</v>
      </c>
      <c r="D9" s="317" t="s">
        <v>1773</v>
      </c>
      <c r="E9" s="317"/>
      <c r="F9" s="317"/>
      <c r="G9" s="317"/>
      <c r="H9" s="317"/>
      <c r="I9" s="317"/>
      <c r="J9" s="330"/>
      <c r="M9" s="320" t="s">
        <v>5</v>
      </c>
      <c r="N9" s="2281" t="s">
        <v>1206</v>
      </c>
      <c r="O9" s="2281"/>
      <c r="P9" s="2281"/>
      <c r="Q9" s="2281"/>
      <c r="R9" s="2281"/>
      <c r="S9" s="2281"/>
      <c r="T9" s="2281"/>
      <c r="U9" s="331"/>
      <c r="V9" s="318"/>
      <c r="W9" s="323" t="s">
        <v>1770</v>
      </c>
      <c r="X9" s="318" t="s">
        <v>1774</v>
      </c>
      <c r="Y9" s="324"/>
      <c r="Z9" s="317"/>
      <c r="AA9" s="317"/>
      <c r="AB9" s="317"/>
      <c r="AC9" s="317"/>
      <c r="AD9" s="325" t="s">
        <v>5</v>
      </c>
      <c r="AE9" s="2280" t="s">
        <v>1177</v>
      </c>
      <c r="AF9" s="2280"/>
      <c r="AG9" s="2280"/>
      <c r="AH9" s="2280"/>
      <c r="AI9" s="2280"/>
      <c r="AJ9" s="2280"/>
      <c r="AK9" s="2280"/>
      <c r="AL9" s="2280"/>
      <c r="AM9" s="2280"/>
      <c r="AN9" s="328"/>
      <c r="AO9" s="317"/>
      <c r="AQ9" s="317"/>
      <c r="AR9" s="317"/>
      <c r="AS9" s="317"/>
      <c r="AT9" s="317"/>
      <c r="AU9" s="317"/>
      <c r="AV9" s="317"/>
      <c r="AW9" s="317"/>
      <c r="AX9" s="317"/>
      <c r="AY9" s="317"/>
      <c r="AZ9" s="317"/>
      <c r="BA9" s="317"/>
      <c r="BB9" s="317"/>
      <c r="BC9" s="317"/>
    </row>
    <row r="10" spans="3:66" ht="4.5" customHeight="1">
      <c r="C10" s="332"/>
      <c r="D10" s="333"/>
      <c r="E10" s="336"/>
      <c r="F10" s="334"/>
      <c r="G10" s="334"/>
      <c r="H10" s="334"/>
      <c r="I10" s="334"/>
      <c r="J10" s="335"/>
      <c r="K10" s="334"/>
      <c r="L10" s="334"/>
      <c r="M10" s="334"/>
      <c r="N10" s="334"/>
      <c r="O10" s="334"/>
      <c r="P10" s="334"/>
      <c r="Q10" s="334"/>
      <c r="R10" s="334"/>
      <c r="S10" s="334"/>
      <c r="T10" s="334"/>
      <c r="U10" s="334"/>
      <c r="V10" s="334"/>
      <c r="W10" s="334"/>
      <c r="X10" s="334"/>
      <c r="Y10" s="336"/>
      <c r="Z10" s="336"/>
      <c r="AA10" s="336"/>
      <c r="AB10" s="336"/>
      <c r="AC10" s="336"/>
      <c r="AD10" s="336"/>
      <c r="AE10" s="336"/>
      <c r="AF10" s="336"/>
      <c r="AG10" s="336"/>
      <c r="AH10" s="336"/>
      <c r="AI10" s="336"/>
      <c r="AJ10" s="336"/>
      <c r="AK10" s="336"/>
      <c r="AL10" s="336"/>
      <c r="AM10" s="336"/>
      <c r="AN10" s="337"/>
      <c r="AO10" s="300"/>
    </row>
    <row r="11" spans="3:66" s="304" customFormat="1" ht="9.9499999999999993" customHeight="1">
      <c r="C11" s="338"/>
      <c r="D11" s="305"/>
      <c r="E11" s="305"/>
      <c r="AB11" s="305"/>
      <c r="AE11" s="339"/>
      <c r="AF11" s="339"/>
      <c r="AI11" s="340"/>
      <c r="AJ11" s="340"/>
      <c r="AK11" s="340"/>
      <c r="AL11" s="340"/>
      <c r="AM11" s="340"/>
    </row>
    <row r="12" spans="3:66" s="309" customFormat="1" ht="18" customHeight="1">
      <c r="C12" s="2155" t="str">
        <f>"LUAS BANGUNAN "&amp;N9&amp;""</f>
        <v>LUAS BANGUNAN RUMAH TINGGAL</v>
      </c>
      <c r="D12" s="2156"/>
      <c r="E12" s="2156"/>
      <c r="F12" s="2156"/>
      <c r="G12" s="2156"/>
      <c r="H12" s="2156"/>
      <c r="I12" s="2156"/>
      <c r="J12" s="2156"/>
      <c r="K12" s="2156"/>
      <c r="L12" s="2156"/>
      <c r="M12" s="2156"/>
      <c r="N12" s="2156"/>
      <c r="O12" s="2156"/>
      <c r="P12" s="2156"/>
      <c r="Q12" s="2156"/>
      <c r="R12" s="2156"/>
      <c r="S12" s="2156"/>
      <c r="T12" s="2156"/>
      <c r="U12" s="2156"/>
      <c r="V12" s="2156"/>
      <c r="W12" s="2156"/>
      <c r="X12" s="2156"/>
      <c r="Y12" s="2156"/>
      <c r="Z12" s="2156"/>
      <c r="AA12" s="2156"/>
      <c r="AB12" s="2156"/>
      <c r="AC12" s="2156"/>
      <c r="AD12" s="2156"/>
      <c r="AE12" s="2156"/>
      <c r="AF12" s="2156"/>
      <c r="AG12" s="2156"/>
      <c r="AH12" s="2156"/>
      <c r="AI12" s="2156"/>
      <c r="AJ12" s="2156"/>
      <c r="AK12" s="2156"/>
      <c r="AL12" s="2156"/>
      <c r="AM12" s="2156"/>
      <c r="AN12" s="2156"/>
      <c r="AO12" s="1071"/>
      <c r="AP12" s="2303" t="s">
        <v>1985</v>
      </c>
      <c r="AQ12" s="2303"/>
      <c r="AR12" s="2303"/>
      <c r="AS12" s="2303" t="s">
        <v>1986</v>
      </c>
      <c r="AT12" s="2303"/>
      <c r="AU12" s="2303"/>
      <c r="AV12" s="307"/>
      <c r="AW12" s="2304" t="s">
        <v>2383</v>
      </c>
      <c r="AX12" s="2305"/>
      <c r="AY12" s="2305"/>
      <c r="AZ12" s="2305"/>
      <c r="BA12" s="2305"/>
      <c r="BB12" s="2306"/>
      <c r="BC12" s="308"/>
      <c r="BD12" s="308"/>
      <c r="BE12" s="308"/>
      <c r="BF12" s="308"/>
    </row>
    <row r="13" spans="3:66" s="341" customFormat="1" ht="30" customHeight="1">
      <c r="C13" s="2283" t="s">
        <v>1510</v>
      </c>
      <c r="D13" s="2284"/>
      <c r="E13" s="2284"/>
      <c r="F13" s="2284"/>
      <c r="G13" s="2284"/>
      <c r="H13" s="2284"/>
      <c r="I13" s="2282" t="s">
        <v>1511</v>
      </c>
      <c r="J13" s="2282"/>
      <c r="K13" s="2282"/>
      <c r="L13" s="2282" t="s">
        <v>1775</v>
      </c>
      <c r="M13" s="2282"/>
      <c r="N13" s="2282"/>
      <c r="O13" s="2282" t="s">
        <v>1776</v>
      </c>
      <c r="P13" s="2282"/>
      <c r="Q13" s="2282"/>
      <c r="R13" s="2282" t="s">
        <v>2360</v>
      </c>
      <c r="S13" s="2282"/>
      <c r="T13" s="2282"/>
      <c r="U13" s="2282" t="s">
        <v>2359</v>
      </c>
      <c r="V13" s="2282"/>
      <c r="W13" s="2282"/>
      <c r="X13" s="2282" t="s">
        <v>1777</v>
      </c>
      <c r="Y13" s="2282"/>
      <c r="Z13" s="2282"/>
      <c r="AA13" s="2282" t="s">
        <v>1778</v>
      </c>
      <c r="AB13" s="2282"/>
      <c r="AC13" s="2282"/>
      <c r="AD13" s="2282" t="s">
        <v>2397</v>
      </c>
      <c r="AE13" s="2282"/>
      <c r="AF13" s="2282"/>
      <c r="AG13" s="2285" t="s">
        <v>1958</v>
      </c>
      <c r="AH13" s="2286"/>
      <c r="AI13" s="2287"/>
      <c r="AJ13" s="2285" t="s">
        <v>1779</v>
      </c>
      <c r="AK13" s="2286"/>
      <c r="AL13" s="2286"/>
      <c r="AM13" s="2286"/>
      <c r="AN13" s="2288"/>
      <c r="AO13" s="1073"/>
      <c r="AP13" s="2303"/>
      <c r="AQ13" s="2303"/>
      <c r="AR13" s="2303"/>
      <c r="AS13" s="2303"/>
      <c r="AT13" s="2303"/>
      <c r="AU13" s="2303"/>
      <c r="AW13" s="2307" t="s">
        <v>2384</v>
      </c>
      <c r="AX13" s="2308"/>
      <c r="AY13" s="2309"/>
      <c r="AZ13" s="2307" t="s">
        <v>2385</v>
      </c>
      <c r="BA13" s="2308"/>
      <c r="BB13" s="2309"/>
    </row>
    <row r="14" spans="3:66" s="342" customFormat="1" ht="27.75" customHeight="1">
      <c r="C14" s="2277" t="s">
        <v>1780</v>
      </c>
      <c r="D14" s="2278"/>
      <c r="E14" s="2278"/>
      <c r="F14" s="2278"/>
      <c r="G14" s="2278"/>
      <c r="H14" s="2278"/>
      <c r="I14" s="2268">
        <v>0</v>
      </c>
      <c r="J14" s="2275"/>
      <c r="K14" s="2276"/>
      <c r="L14" s="2268">
        <v>0</v>
      </c>
      <c r="M14" s="2269"/>
      <c r="N14" s="2270"/>
      <c r="O14" s="2268">
        <v>0</v>
      </c>
      <c r="P14" s="2269"/>
      <c r="Q14" s="2270"/>
      <c r="R14" s="2268">
        <v>0</v>
      </c>
      <c r="S14" s="2269"/>
      <c r="T14" s="2270"/>
      <c r="U14" s="2268">
        <v>0</v>
      </c>
      <c r="V14" s="2269"/>
      <c r="W14" s="2270"/>
      <c r="X14" s="2268">
        <v>0</v>
      </c>
      <c r="Y14" s="2269"/>
      <c r="Z14" s="2270"/>
      <c r="AA14" s="2268">
        <v>0</v>
      </c>
      <c r="AB14" s="2269"/>
      <c r="AC14" s="2270"/>
      <c r="AD14" s="2268">
        <v>0</v>
      </c>
      <c r="AE14" s="2269"/>
      <c r="AF14" s="2270"/>
      <c r="AG14" s="2268">
        <v>249</v>
      </c>
      <c r="AH14" s="2269"/>
      <c r="AI14" s="2270"/>
      <c r="AJ14" s="2291">
        <f>SUM(L14:AI14)</f>
        <v>249</v>
      </c>
      <c r="AK14" s="2292"/>
      <c r="AL14" s="2292"/>
      <c r="AM14" s="2292"/>
      <c r="AN14" s="2293"/>
      <c r="AO14" s="1074"/>
      <c r="AP14" s="2289">
        <v>0</v>
      </c>
      <c r="AQ14" s="2289"/>
      <c r="AR14" s="2289"/>
      <c r="AS14" s="2303"/>
      <c r="AT14" s="2303"/>
      <c r="AU14" s="2303"/>
      <c r="AW14" s="2310">
        <v>0</v>
      </c>
      <c r="AX14" s="2311"/>
      <c r="AY14" s="2312"/>
      <c r="AZ14" s="2310">
        <v>0</v>
      </c>
      <c r="BA14" s="2311"/>
      <c r="BB14" s="2312"/>
    </row>
    <row r="15" spans="3:66" s="342" customFormat="1" ht="27.75" hidden="1" customHeight="1">
      <c r="C15" s="2277" t="s">
        <v>1781</v>
      </c>
      <c r="D15" s="2278"/>
      <c r="E15" s="2278"/>
      <c r="F15" s="2278"/>
      <c r="G15" s="2278"/>
      <c r="H15" s="2278"/>
      <c r="I15" s="2268" t="s">
        <v>3</v>
      </c>
      <c r="J15" s="2275"/>
      <c r="K15" s="2276"/>
      <c r="L15" s="2268">
        <v>0</v>
      </c>
      <c r="M15" s="2269"/>
      <c r="N15" s="2270"/>
      <c r="O15" s="2268">
        <v>0</v>
      </c>
      <c r="P15" s="2269"/>
      <c r="Q15" s="2270"/>
      <c r="R15" s="2268">
        <v>0</v>
      </c>
      <c r="S15" s="2269"/>
      <c r="T15" s="2270"/>
      <c r="U15" s="2268">
        <v>0</v>
      </c>
      <c r="V15" s="2269"/>
      <c r="W15" s="2270"/>
      <c r="X15" s="2268">
        <v>0</v>
      </c>
      <c r="Y15" s="2269"/>
      <c r="Z15" s="2270"/>
      <c r="AA15" s="2268">
        <v>0</v>
      </c>
      <c r="AB15" s="2269"/>
      <c r="AC15" s="2270"/>
      <c r="AD15" s="2268">
        <v>0</v>
      </c>
      <c r="AE15" s="2269"/>
      <c r="AF15" s="2270"/>
      <c r="AG15" s="2268">
        <v>0</v>
      </c>
      <c r="AH15" s="2269"/>
      <c r="AI15" s="2270"/>
      <c r="AJ15" s="2291">
        <f>SUM(L15:AI15)</f>
        <v>0</v>
      </c>
      <c r="AK15" s="2292"/>
      <c r="AL15" s="2292"/>
      <c r="AM15" s="2292"/>
      <c r="AN15" s="2293"/>
      <c r="AO15" s="1074"/>
      <c r="AP15" s="2289">
        <v>0</v>
      </c>
      <c r="AQ15" s="2289"/>
      <c r="AR15" s="2289"/>
      <c r="AS15" s="2289">
        <v>0</v>
      </c>
      <c r="AT15" s="2289"/>
      <c r="AU15" s="2289"/>
      <c r="AX15" s="2290"/>
      <c r="AY15" s="2290"/>
      <c r="BA15" s="343"/>
      <c r="BB15" s="343"/>
      <c r="BC15" s="343"/>
      <c r="BD15" s="343"/>
      <c r="BE15" s="343"/>
      <c r="BF15" s="343"/>
      <c r="BG15" s="343"/>
      <c r="BH15" s="343"/>
      <c r="BI15" s="343"/>
      <c r="BJ15" s="343"/>
      <c r="BK15" s="343"/>
      <c r="BL15" s="343"/>
      <c r="BM15" s="343"/>
      <c r="BN15" s="343"/>
    </row>
    <row r="16" spans="3:66" s="342" customFormat="1" ht="18.75" hidden="1" customHeight="1">
      <c r="C16" s="2277" t="s">
        <v>1782</v>
      </c>
      <c r="D16" s="2278"/>
      <c r="E16" s="2278"/>
      <c r="F16" s="2278"/>
      <c r="G16" s="2278"/>
      <c r="H16" s="2278"/>
      <c r="I16" s="2268" t="s">
        <v>3</v>
      </c>
      <c r="J16" s="2275"/>
      <c r="K16" s="2276"/>
      <c r="L16" s="2268">
        <v>0</v>
      </c>
      <c r="M16" s="2269"/>
      <c r="N16" s="2270"/>
      <c r="O16" s="2268">
        <v>0</v>
      </c>
      <c r="P16" s="2269"/>
      <c r="Q16" s="2270"/>
      <c r="R16" s="2268">
        <v>0</v>
      </c>
      <c r="S16" s="2269"/>
      <c r="T16" s="2270"/>
      <c r="U16" s="2268">
        <v>0</v>
      </c>
      <c r="V16" s="2269"/>
      <c r="W16" s="2270"/>
      <c r="X16" s="2268">
        <v>0</v>
      </c>
      <c r="Y16" s="2269"/>
      <c r="Z16" s="2270"/>
      <c r="AA16" s="2268">
        <v>0</v>
      </c>
      <c r="AB16" s="2269"/>
      <c r="AC16" s="2270"/>
      <c r="AD16" s="2268">
        <v>0</v>
      </c>
      <c r="AE16" s="2269"/>
      <c r="AF16" s="2270"/>
      <c r="AG16" s="2268">
        <v>0</v>
      </c>
      <c r="AH16" s="2269"/>
      <c r="AI16" s="2270"/>
      <c r="AJ16" s="2291">
        <f>SUM(L16:AI16)</f>
        <v>0</v>
      </c>
      <c r="AK16" s="2292"/>
      <c r="AL16" s="2292"/>
      <c r="AM16" s="2292"/>
      <c r="AN16" s="2293"/>
      <c r="AO16" s="1074"/>
      <c r="AP16" s="2289">
        <v>0</v>
      </c>
      <c r="AQ16" s="2289"/>
      <c r="AR16" s="2289"/>
      <c r="AS16" s="2289">
        <v>0</v>
      </c>
      <c r="AT16" s="2289"/>
      <c r="AU16" s="2289"/>
      <c r="AX16" s="2290">
        <v>0</v>
      </c>
      <c r="AY16" s="2290"/>
      <c r="AZ16" s="308"/>
      <c r="BA16" s="308"/>
      <c r="BB16" s="308"/>
      <c r="BC16" s="308"/>
      <c r="BD16" s="308"/>
      <c r="BE16" s="308"/>
      <c r="BF16" s="308"/>
      <c r="BG16" s="308"/>
      <c r="BH16" s="308"/>
      <c r="BI16" s="308"/>
      <c r="BJ16" s="308"/>
      <c r="BK16" s="308"/>
      <c r="BL16" s="308"/>
      <c r="BM16" s="308"/>
      <c r="BN16" s="343"/>
    </row>
    <row r="17" spans="3:65" s="342" customFormat="1" ht="18.75" hidden="1" customHeight="1">
      <c r="C17" s="2277" t="s">
        <v>1783</v>
      </c>
      <c r="D17" s="2278"/>
      <c r="E17" s="2278"/>
      <c r="F17" s="2278"/>
      <c r="G17" s="2278"/>
      <c r="H17" s="2278"/>
      <c r="I17" s="2268" t="s">
        <v>3</v>
      </c>
      <c r="J17" s="2275"/>
      <c r="K17" s="2276"/>
      <c r="L17" s="2268">
        <v>0</v>
      </c>
      <c r="M17" s="2269"/>
      <c r="N17" s="2270"/>
      <c r="O17" s="2268">
        <v>0</v>
      </c>
      <c r="P17" s="2269"/>
      <c r="Q17" s="2270"/>
      <c r="R17" s="2268">
        <v>0</v>
      </c>
      <c r="S17" s="2269"/>
      <c r="T17" s="2270"/>
      <c r="U17" s="2268">
        <v>0</v>
      </c>
      <c r="V17" s="2269"/>
      <c r="W17" s="2270"/>
      <c r="X17" s="2268">
        <v>0</v>
      </c>
      <c r="Y17" s="2269"/>
      <c r="Z17" s="2270"/>
      <c r="AA17" s="2268">
        <v>0</v>
      </c>
      <c r="AB17" s="2269"/>
      <c r="AC17" s="2270"/>
      <c r="AD17" s="2268">
        <v>0</v>
      </c>
      <c r="AE17" s="2269"/>
      <c r="AF17" s="2270"/>
      <c r="AG17" s="2268">
        <v>0</v>
      </c>
      <c r="AH17" s="2269"/>
      <c r="AI17" s="2270"/>
      <c r="AJ17" s="2291">
        <f>SUM(L17:AI17)</f>
        <v>0</v>
      </c>
      <c r="AK17" s="2292"/>
      <c r="AL17" s="2292"/>
      <c r="AM17" s="2292"/>
      <c r="AN17" s="2293"/>
      <c r="AO17" s="1074"/>
      <c r="AP17" s="2289">
        <v>0</v>
      </c>
      <c r="AQ17" s="2289"/>
      <c r="AR17" s="2289"/>
      <c r="AS17" s="2289">
        <v>0</v>
      </c>
      <c r="AT17" s="2289"/>
      <c r="AU17" s="2289"/>
      <c r="AW17" s="2315"/>
      <c r="AX17" s="2316"/>
      <c r="AY17" s="2316"/>
      <c r="AZ17" s="2316"/>
      <c r="BA17" s="2316"/>
      <c r="BB17" s="2316"/>
      <c r="BC17" s="2317"/>
      <c r="BD17" s="308"/>
      <c r="BE17" s="308"/>
      <c r="BF17" s="308"/>
      <c r="BG17" s="308"/>
      <c r="BH17" s="308"/>
      <c r="BI17" s="308"/>
      <c r="BJ17" s="308"/>
      <c r="BK17" s="308"/>
      <c r="BL17" s="308"/>
      <c r="BM17" s="308"/>
    </row>
    <row r="18" spans="3:65" s="342" customFormat="1" ht="18.75" hidden="1" customHeight="1">
      <c r="C18" s="2277" t="s">
        <v>1784</v>
      </c>
      <c r="D18" s="2278"/>
      <c r="E18" s="2278"/>
      <c r="F18" s="2278"/>
      <c r="G18" s="2278"/>
      <c r="H18" s="2278"/>
      <c r="I18" s="2268" t="s">
        <v>3</v>
      </c>
      <c r="J18" s="2275"/>
      <c r="K18" s="2276"/>
      <c r="L18" s="2268">
        <v>0</v>
      </c>
      <c r="M18" s="2269"/>
      <c r="N18" s="2270"/>
      <c r="O18" s="2268">
        <v>0</v>
      </c>
      <c r="P18" s="2269"/>
      <c r="Q18" s="2270"/>
      <c r="R18" s="2268">
        <v>0</v>
      </c>
      <c r="S18" s="2269"/>
      <c r="T18" s="2270"/>
      <c r="U18" s="2268">
        <v>0</v>
      </c>
      <c r="V18" s="2269"/>
      <c r="W18" s="2270"/>
      <c r="X18" s="2268">
        <v>0</v>
      </c>
      <c r="Y18" s="2269"/>
      <c r="Z18" s="2270"/>
      <c r="AA18" s="2268">
        <v>0</v>
      </c>
      <c r="AB18" s="2269"/>
      <c r="AC18" s="2270"/>
      <c r="AD18" s="2268">
        <v>0</v>
      </c>
      <c r="AE18" s="2269"/>
      <c r="AF18" s="2270"/>
      <c r="AG18" s="2268">
        <v>0</v>
      </c>
      <c r="AH18" s="2269"/>
      <c r="AI18" s="2270"/>
      <c r="AJ18" s="2291">
        <f>SUM(L18:AI18)</f>
        <v>0</v>
      </c>
      <c r="AK18" s="2292"/>
      <c r="AL18" s="2292"/>
      <c r="AM18" s="2292"/>
      <c r="AN18" s="2293"/>
      <c r="AO18" s="1074"/>
      <c r="AP18" s="2289">
        <v>0</v>
      </c>
      <c r="AQ18" s="2289"/>
      <c r="AR18" s="2289"/>
      <c r="AS18" s="2289">
        <v>0</v>
      </c>
      <c r="AT18" s="2289"/>
      <c r="AU18" s="2289"/>
    </row>
    <row r="19" spans="3:65" s="344" customFormat="1" ht="20.100000000000001" customHeight="1">
      <c r="C19" s="2298" t="str">
        <f>"LUAS PENGUKURAN FISIK BANGUNAN "&amp;N9&amp;" "</f>
        <v xml:space="preserve">LUAS PENGUKURAN FISIK BANGUNAN RUMAH TINGGAL </v>
      </c>
      <c r="D19" s="2299"/>
      <c r="E19" s="2299"/>
      <c r="F19" s="2299"/>
      <c r="G19" s="2299"/>
      <c r="H19" s="2299"/>
      <c r="I19" s="2299"/>
      <c r="J19" s="2299"/>
      <c r="K19" s="2299"/>
      <c r="L19" s="2299"/>
      <c r="M19" s="2299"/>
      <c r="N19" s="2299"/>
      <c r="O19" s="2299"/>
      <c r="P19" s="2299"/>
      <c r="Q19" s="2299"/>
      <c r="R19" s="2299"/>
      <c r="S19" s="2299"/>
      <c r="T19" s="2299"/>
      <c r="U19" s="2299"/>
      <c r="V19" s="2299"/>
      <c r="W19" s="2299"/>
      <c r="X19" s="2299"/>
      <c r="Y19" s="2299"/>
      <c r="Z19" s="2299"/>
      <c r="AA19" s="2299"/>
      <c r="AB19" s="2299"/>
      <c r="AC19" s="2299"/>
      <c r="AD19" s="2299"/>
      <c r="AE19" s="2299"/>
      <c r="AF19" s="2299"/>
      <c r="AG19" s="2299"/>
      <c r="AH19" s="2299"/>
      <c r="AI19" s="2300"/>
      <c r="AJ19" s="2295">
        <f>SUM(AJ14:AN18)</f>
        <v>249</v>
      </c>
      <c r="AK19" s="2296"/>
      <c r="AL19" s="2296"/>
      <c r="AM19" s="2296"/>
      <c r="AN19" s="2297"/>
      <c r="AO19" s="1075"/>
      <c r="AP19" s="2294">
        <f>SUM(AP14:AR18)</f>
        <v>0</v>
      </c>
      <c r="AQ19" s="2294"/>
      <c r="AR19" s="2294"/>
      <c r="AS19" s="2294">
        <f>SUM(AS15:AU18)</f>
        <v>0</v>
      </c>
      <c r="AT19" s="2294"/>
      <c r="AU19" s="2294"/>
      <c r="AW19" s="2318">
        <v>1</v>
      </c>
      <c r="AX19" s="2319"/>
      <c r="AY19" s="2320"/>
      <c r="AZ19" s="2313" t="s">
        <v>1785</v>
      </c>
      <c r="BA19" s="2313"/>
      <c r="BB19" s="2313"/>
      <c r="BC19" s="2314"/>
    </row>
    <row r="20" spans="3:65" ht="4.7" customHeight="1">
      <c r="C20" s="1068"/>
      <c r="D20" s="833"/>
      <c r="E20" s="833"/>
      <c r="F20" s="833"/>
      <c r="G20" s="833"/>
      <c r="H20" s="833"/>
      <c r="I20" s="833"/>
      <c r="J20" s="833"/>
      <c r="K20" s="833"/>
      <c r="L20" s="833"/>
      <c r="M20" s="833"/>
      <c r="N20" s="833"/>
      <c r="O20" s="833"/>
      <c r="P20" s="833"/>
      <c r="Q20" s="833"/>
      <c r="R20" s="833"/>
      <c r="S20" s="833"/>
      <c r="T20" s="833"/>
      <c r="U20" s="833"/>
      <c r="V20" s="833"/>
      <c r="W20" s="833"/>
      <c r="X20" s="833"/>
      <c r="Y20" s="833"/>
      <c r="Z20" s="833"/>
      <c r="AA20" s="833"/>
      <c r="AB20" s="833"/>
      <c r="AC20" s="833"/>
      <c r="AD20" s="833"/>
      <c r="AE20" s="833"/>
      <c r="AF20" s="833"/>
      <c r="AG20" s="833"/>
      <c r="AH20" s="833"/>
      <c r="AI20" s="833"/>
      <c r="AJ20" s="833"/>
      <c r="AK20" s="833"/>
      <c r="AL20" s="833"/>
      <c r="AM20" s="833"/>
      <c r="AN20" s="834"/>
      <c r="AO20" s="300"/>
    </row>
    <row r="21" spans="3:65" ht="15.95" customHeight="1">
      <c r="C21" s="1077"/>
      <c r="D21" s="1078"/>
      <c r="E21" s="1078"/>
      <c r="F21" s="1078"/>
      <c r="G21" s="1078"/>
      <c r="H21" s="1078"/>
      <c r="I21" s="1078"/>
      <c r="J21" s="1078"/>
      <c r="K21" s="1078"/>
      <c r="L21" s="1078"/>
      <c r="M21" s="1078"/>
      <c r="N21" s="1078"/>
      <c r="O21" s="1078"/>
      <c r="P21" s="1078"/>
      <c r="Q21" s="1078"/>
      <c r="R21" s="1078"/>
      <c r="S21" s="1078"/>
      <c r="T21" s="1078"/>
      <c r="U21" s="1078"/>
      <c r="V21" s="1078"/>
      <c r="W21" s="1078"/>
      <c r="X21" s="1078"/>
      <c r="Y21" s="1078"/>
      <c r="Z21" s="1078"/>
      <c r="AA21" s="1078"/>
      <c r="AB21" s="1078"/>
      <c r="AC21" s="1078"/>
      <c r="AD21" s="1078"/>
      <c r="AE21" s="1078"/>
      <c r="AF21" s="1078"/>
      <c r="AG21" s="1078"/>
      <c r="AH21" s="1078"/>
      <c r="AI21" s="1079" t="s">
        <v>2320</v>
      </c>
      <c r="AJ21" s="2188">
        <f>+AP19</f>
        <v>0</v>
      </c>
      <c r="AK21" s="2189"/>
      <c r="AL21" s="2189"/>
      <c r="AM21" s="2189"/>
      <c r="AN21" s="2190"/>
      <c r="AO21" s="300"/>
    </row>
    <row r="22" spans="3:65" ht="4.5" customHeight="1">
      <c r="C22" s="769"/>
      <c r="D22" s="300"/>
      <c r="E22" s="300"/>
      <c r="F22" s="300"/>
      <c r="G22" s="300"/>
      <c r="H22" s="300"/>
      <c r="I22" s="300"/>
      <c r="J22" s="300"/>
      <c r="K22" s="300"/>
      <c r="L22" s="300"/>
      <c r="M22" s="300"/>
      <c r="N22" s="300"/>
      <c r="O22" s="300"/>
      <c r="P22" s="300"/>
      <c r="Q22" s="300"/>
      <c r="R22" s="300"/>
      <c r="S22" s="300"/>
      <c r="T22" s="300"/>
      <c r="U22" s="300"/>
      <c r="V22" s="300"/>
      <c r="W22" s="300"/>
      <c r="X22" s="300"/>
      <c r="Y22" s="300"/>
      <c r="Z22" s="300"/>
      <c r="AA22" s="300"/>
      <c r="AB22" s="300"/>
      <c r="AC22" s="300"/>
      <c r="AD22" s="300"/>
      <c r="AE22" s="300"/>
      <c r="AF22" s="300"/>
      <c r="AG22" s="300"/>
      <c r="AH22" s="300"/>
      <c r="AI22" s="300"/>
      <c r="AJ22" s="300"/>
      <c r="AK22" s="300"/>
      <c r="AL22" s="300"/>
      <c r="AM22" s="300"/>
      <c r="AN22" s="315"/>
      <c r="AO22" s="300"/>
    </row>
    <row r="23" spans="3:65" s="342" customFormat="1" ht="8.1" customHeight="1">
      <c r="C23" s="467"/>
      <c r="D23" s="467"/>
      <c r="E23" s="467"/>
      <c r="F23" s="467"/>
      <c r="G23" s="467"/>
      <c r="H23" s="467"/>
      <c r="I23" s="467"/>
      <c r="J23" s="467"/>
      <c r="K23" s="467"/>
      <c r="L23" s="467"/>
      <c r="M23" s="467"/>
      <c r="N23" s="467"/>
      <c r="O23" s="467"/>
      <c r="P23" s="467"/>
      <c r="Q23" s="467"/>
      <c r="R23" s="467"/>
      <c r="S23" s="467"/>
      <c r="T23" s="467"/>
      <c r="U23" s="467"/>
      <c r="V23" s="467"/>
      <c r="W23" s="467"/>
      <c r="X23" s="467"/>
      <c r="Y23" s="467"/>
      <c r="Z23" s="467"/>
      <c r="AA23" s="467"/>
      <c r="AB23" s="467"/>
      <c r="AC23" s="467"/>
      <c r="AD23" s="467"/>
      <c r="AE23" s="467"/>
      <c r="AF23" s="467"/>
      <c r="AG23" s="467"/>
      <c r="AH23" s="467"/>
      <c r="AI23" s="467"/>
      <c r="AJ23" s="467"/>
      <c r="AK23" s="467"/>
      <c r="AL23" s="467"/>
      <c r="AM23" s="467"/>
      <c r="AN23" s="467"/>
      <c r="AP23"/>
      <c r="AQ23"/>
      <c r="AR23"/>
      <c r="AS23"/>
      <c r="AT23"/>
      <c r="AU23"/>
      <c r="AV23"/>
      <c r="AW23"/>
      <c r="AX23"/>
      <c r="AY23"/>
      <c r="AZ23"/>
      <c r="BA23"/>
      <c r="BB23"/>
      <c r="BC23"/>
      <c r="BD23"/>
    </row>
    <row r="24" spans="3:65" s="309" customFormat="1" ht="18" customHeight="1">
      <c r="C24" s="2054" t="s">
        <v>1786</v>
      </c>
      <c r="D24" s="2055"/>
      <c r="E24" s="2055"/>
      <c r="F24" s="2055"/>
      <c r="G24" s="2055"/>
      <c r="H24" s="2055"/>
      <c r="I24" s="2055"/>
      <c r="J24" s="2055"/>
      <c r="K24" s="2055"/>
      <c r="L24" s="2055"/>
      <c r="M24" s="2055"/>
      <c r="N24" s="2055"/>
      <c r="O24" s="2055"/>
      <c r="P24" s="2055"/>
      <c r="Q24" s="2055"/>
      <c r="R24" s="2055"/>
      <c r="S24" s="2055"/>
      <c r="T24" s="2055"/>
      <c r="U24" s="2055"/>
      <c r="V24" s="2055"/>
      <c r="W24" s="2055"/>
      <c r="X24" s="2055"/>
      <c r="Y24" s="2055"/>
      <c r="Z24" s="2055"/>
      <c r="AA24" s="2055"/>
      <c r="AB24" s="2055"/>
      <c r="AC24" s="2055"/>
      <c r="AD24" s="2055"/>
      <c r="AE24" s="2055"/>
      <c r="AF24" s="2055"/>
      <c r="AG24" s="2055"/>
      <c r="AH24" s="2055"/>
      <c r="AI24" s="2055"/>
      <c r="AJ24" s="2055"/>
      <c r="AK24" s="2055"/>
      <c r="AL24" s="2055"/>
      <c r="AM24" s="2055"/>
      <c r="AN24" s="2056"/>
      <c r="AO24" s="1071"/>
      <c r="AP24"/>
      <c r="AQ24"/>
      <c r="AR24"/>
      <c r="AS24"/>
      <c r="AT24"/>
      <c r="AU24"/>
      <c r="AV24"/>
      <c r="AW24"/>
      <c r="AX24"/>
      <c r="AY24"/>
      <c r="AZ24"/>
      <c r="BA24"/>
      <c r="BB24"/>
      <c r="BC24"/>
      <c r="BD24"/>
      <c r="BM24" s="345"/>
    </row>
    <row r="25" spans="3:65" s="342" customFormat="1" ht="6.75" customHeight="1">
      <c r="C25" s="310"/>
      <c r="D25" s="311"/>
      <c r="E25" s="311"/>
      <c r="F25" s="311"/>
      <c r="G25" s="311"/>
      <c r="H25" s="339"/>
      <c r="I25" s="346"/>
      <c r="J25" s="346"/>
      <c r="K25" s="346"/>
      <c r="L25" s="346"/>
      <c r="M25" s="346"/>
      <c r="N25" s="346"/>
      <c r="O25" s="311"/>
      <c r="P25" s="314"/>
      <c r="Q25" s="300"/>
      <c r="R25" s="311"/>
      <c r="S25" s="311"/>
      <c r="T25" s="339"/>
      <c r="U25" s="346"/>
      <c r="V25" s="346"/>
      <c r="W25" s="346"/>
      <c r="X25" s="346"/>
      <c r="Y25" s="346"/>
      <c r="Z25" s="346"/>
      <c r="AA25" s="311"/>
      <c r="AB25" s="311"/>
      <c r="AC25" s="314"/>
      <c r="AD25" s="304"/>
      <c r="AE25" s="311"/>
      <c r="AF25" s="311"/>
      <c r="AG25" s="339"/>
      <c r="AH25" s="346"/>
      <c r="AI25" s="346"/>
      <c r="AJ25" s="346"/>
      <c r="AK25" s="346"/>
      <c r="AL25" s="346"/>
      <c r="AM25" s="346"/>
      <c r="AN25" s="347"/>
      <c r="AO25" s="311"/>
      <c r="AP25"/>
      <c r="AQ25"/>
      <c r="AR25"/>
      <c r="AS25"/>
      <c r="AT25"/>
      <c r="AU25"/>
      <c r="AV25"/>
      <c r="AW25"/>
      <c r="AX25"/>
      <c r="AY25"/>
      <c r="AZ25"/>
      <c r="BA25"/>
      <c r="BB25"/>
      <c r="BC25"/>
      <c r="BD25"/>
      <c r="BE25" s="348"/>
      <c r="BF25" s="348"/>
      <c r="BG25" s="348"/>
      <c r="BH25" s="348"/>
      <c r="BI25" s="348"/>
      <c r="BJ25" s="348"/>
      <c r="BK25" s="348"/>
      <c r="BL25" s="348"/>
      <c r="BM25" s="348"/>
    </row>
    <row r="26" spans="3:65" s="342" customFormat="1" ht="15" customHeight="1">
      <c r="C26" s="316" t="s">
        <v>1770</v>
      </c>
      <c r="D26" s="317" t="s">
        <v>1787</v>
      </c>
      <c r="E26" s="317"/>
      <c r="F26" s="317"/>
      <c r="G26" s="317"/>
      <c r="H26" s="317"/>
      <c r="I26" s="317"/>
      <c r="J26" s="317"/>
      <c r="K26" s="317"/>
      <c r="L26" s="325" t="s">
        <v>5</v>
      </c>
      <c r="M26" s="2273" t="s">
        <v>2528</v>
      </c>
      <c r="N26" s="2274"/>
      <c r="O26" s="2274"/>
      <c r="P26" s="2274"/>
      <c r="Q26" s="2274"/>
      <c r="R26" s="2274"/>
      <c r="S26" s="2274"/>
      <c r="T26" s="349"/>
      <c r="U26" s="349"/>
      <c r="V26" s="323" t="s">
        <v>1770</v>
      </c>
      <c r="W26" s="349" t="s">
        <v>1788</v>
      </c>
      <c r="X26" s="349"/>
      <c r="Y26" s="349"/>
      <c r="Z26" s="349"/>
      <c r="AA26" s="349"/>
      <c r="AB26" s="349"/>
      <c r="AC26" s="349"/>
      <c r="AD26" s="349"/>
      <c r="AF26" s="325" t="s">
        <v>5</v>
      </c>
      <c r="AG26" s="350" t="s">
        <v>2531</v>
      </c>
      <c r="AI26" s="351"/>
      <c r="AJ26" s="351"/>
      <c r="AK26" s="351"/>
      <c r="AL26" s="351"/>
      <c r="AM26" s="351"/>
      <c r="AN26" s="352"/>
      <c r="AO26" s="351"/>
      <c r="AP26"/>
      <c r="AQ26"/>
      <c r="AR26"/>
      <c r="AS26"/>
      <c r="AT26"/>
      <c r="AU26"/>
      <c r="AV26"/>
      <c r="AW26"/>
      <c r="AX26"/>
      <c r="AY26"/>
      <c r="AZ26"/>
      <c r="BA26"/>
      <c r="BB26"/>
      <c r="BC26"/>
      <c r="BD26"/>
      <c r="BE26" s="353"/>
    </row>
    <row r="27" spans="3:65" s="342" customFormat="1" ht="15" customHeight="1">
      <c r="C27" s="354" t="s">
        <v>1770</v>
      </c>
      <c r="D27" s="311" t="s">
        <v>1789</v>
      </c>
      <c r="E27" s="311"/>
      <c r="F27" s="311"/>
      <c r="G27" s="311"/>
      <c r="H27" s="311"/>
      <c r="I27" s="311"/>
      <c r="J27" s="311"/>
      <c r="K27" s="311"/>
      <c r="L27" s="339" t="s">
        <v>5</v>
      </c>
      <c r="M27" s="2187" t="s">
        <v>2531</v>
      </c>
      <c r="N27" s="2187"/>
      <c r="O27" s="2187"/>
      <c r="P27" s="2187"/>
      <c r="Q27" s="2187"/>
      <c r="R27" s="2187"/>
      <c r="S27" s="355"/>
      <c r="T27" s="356"/>
      <c r="U27" s="356"/>
      <c r="V27" s="357" t="s">
        <v>1770</v>
      </c>
      <c r="W27" s="305" t="s">
        <v>1790</v>
      </c>
      <c r="X27" s="305"/>
      <c r="Y27" s="305"/>
      <c r="Z27" s="305"/>
      <c r="AA27" s="305"/>
      <c r="AB27" s="305"/>
      <c r="AC27" s="305"/>
      <c r="AD27" s="305"/>
      <c r="AE27" s="311"/>
      <c r="AF27" s="339" t="s">
        <v>5</v>
      </c>
      <c r="AG27" s="1185" t="s">
        <v>2531</v>
      </c>
      <c r="AH27" s="311"/>
      <c r="AI27" s="351"/>
      <c r="AJ27" s="351"/>
      <c r="AK27" s="351"/>
      <c r="AL27" s="351"/>
      <c r="AM27" s="351"/>
      <c r="AN27" s="352"/>
      <c r="AO27" s="351"/>
      <c r="AP27"/>
      <c r="AQ27"/>
      <c r="AR27"/>
      <c r="AS27"/>
      <c r="AT27"/>
      <c r="AU27"/>
      <c r="AV27"/>
      <c r="AW27"/>
      <c r="AX27"/>
      <c r="AY27"/>
      <c r="AZ27"/>
      <c r="BA27"/>
      <c r="BB27"/>
      <c r="BC27"/>
      <c r="BD27"/>
      <c r="BE27" s="353"/>
    </row>
    <row r="28" spans="3:65" s="342" customFormat="1" ht="15" customHeight="1">
      <c r="C28" s="354" t="s">
        <v>1770</v>
      </c>
      <c r="D28" s="311" t="s">
        <v>1791</v>
      </c>
      <c r="E28" s="311"/>
      <c r="F28" s="311"/>
      <c r="G28" s="311"/>
      <c r="H28" s="311"/>
      <c r="I28" s="311"/>
      <c r="J28" s="311"/>
      <c r="K28" s="311"/>
      <c r="L28" s="339" t="s">
        <v>5</v>
      </c>
      <c r="M28" s="2271" t="str">
        <f>+M27</f>
        <v>Tidak Terinformasi</v>
      </c>
      <c r="N28" s="2271"/>
      <c r="O28" s="2272" t="str">
        <f>IF(M28=M27,"(Tidak terinformasi)"," ")</f>
        <v>(Tidak terinformasi)</v>
      </c>
      <c r="P28" s="2272"/>
      <c r="Q28" s="2272"/>
      <c r="R28" s="2272"/>
      <c r="S28" s="2272"/>
      <c r="T28" s="2272"/>
      <c r="U28" s="2272"/>
      <c r="V28" s="357" t="s">
        <v>1770</v>
      </c>
      <c r="W28" s="305" t="s">
        <v>1792</v>
      </c>
      <c r="X28" s="305"/>
      <c r="Y28" s="305"/>
      <c r="Z28" s="305"/>
      <c r="AA28" s="305"/>
      <c r="AB28" s="305"/>
      <c r="AC28" s="305"/>
      <c r="AD28" s="305"/>
      <c r="AE28" s="305"/>
      <c r="AF28" s="305"/>
      <c r="AG28" s="311"/>
      <c r="AH28" s="339" t="s">
        <v>5</v>
      </c>
      <c r="AI28" s="2265">
        <v>0</v>
      </c>
      <c r="AJ28" s="2265"/>
      <c r="AK28" s="2265"/>
      <c r="AL28" s="2265"/>
      <c r="AM28" s="358"/>
      <c r="AN28" s="1162"/>
      <c r="AO28" s="358"/>
      <c r="AP28"/>
      <c r="AQ28" s="1150"/>
      <c r="AR28" s="1149"/>
      <c r="AS28" s="2302"/>
      <c r="AT28" s="2302"/>
      <c r="AU28" s="2302"/>
      <c r="AV28" s="2302"/>
      <c r="AW28"/>
      <c r="AX28"/>
      <c r="AY28"/>
      <c r="AZ28"/>
      <c r="BA28"/>
      <c r="BB28"/>
      <c r="BC28"/>
      <c r="BD28"/>
      <c r="BE28" s="353"/>
    </row>
    <row r="29" spans="3:65" s="342" customFormat="1" ht="15" customHeight="1">
      <c r="C29" s="354" t="s">
        <v>1770</v>
      </c>
      <c r="D29" s="300" t="s">
        <v>1793</v>
      </c>
      <c r="E29" s="300"/>
      <c r="F29" s="311"/>
      <c r="G29" s="311"/>
      <c r="H29" s="311"/>
      <c r="I29" s="311"/>
      <c r="J29" s="311"/>
      <c r="K29" s="311"/>
      <c r="L29" s="339" t="s">
        <v>5</v>
      </c>
      <c r="M29" s="2118" t="s">
        <v>2529</v>
      </c>
      <c r="N29" s="2257"/>
      <c r="O29" s="2257"/>
      <c r="P29" s="2257"/>
      <c r="Q29" s="2257"/>
      <c r="R29" s="2257"/>
      <c r="S29" s="2257"/>
      <c r="T29" s="305"/>
      <c r="U29" s="305"/>
      <c r="V29" s="357" t="s">
        <v>1770</v>
      </c>
      <c r="W29" s="305" t="s">
        <v>1794</v>
      </c>
      <c r="X29" s="305"/>
      <c r="Y29" s="305"/>
      <c r="Z29" s="305"/>
      <c r="AA29" s="305"/>
      <c r="AB29" s="305"/>
      <c r="AC29" s="305"/>
      <c r="AD29" s="305"/>
      <c r="AE29" s="305"/>
      <c r="AF29" s="305"/>
      <c r="AG29" s="311"/>
      <c r="AH29" s="339" t="s">
        <v>5</v>
      </c>
      <c r="AI29" s="2265">
        <f>+AJ19-AI28</f>
        <v>249</v>
      </c>
      <c r="AJ29" s="2265"/>
      <c r="AK29" s="2265"/>
      <c r="AL29" s="2265"/>
      <c r="AM29" s="356"/>
      <c r="AN29" s="1163"/>
      <c r="AO29" s="356"/>
      <c r="AP29"/>
      <c r="AQ29" s="1150"/>
      <c r="AR29"/>
      <c r="AS29" s="2302"/>
      <c r="AT29" s="2302"/>
      <c r="AU29" s="2302"/>
      <c r="AV29" s="2302"/>
      <c r="AW29"/>
      <c r="AX29"/>
      <c r="AY29"/>
      <c r="AZ29"/>
      <c r="BA29"/>
      <c r="BB29"/>
      <c r="BC29"/>
      <c r="BD29"/>
      <c r="BE29" s="353"/>
    </row>
    <row r="30" spans="3:65" s="342" customFormat="1" ht="15" customHeight="1">
      <c r="C30" s="354" t="s">
        <v>1770</v>
      </c>
      <c r="D30" s="318" t="s">
        <v>1795</v>
      </c>
      <c r="E30" s="318"/>
      <c r="F30" s="311"/>
      <c r="G30" s="311"/>
      <c r="H30" s="311"/>
      <c r="I30" s="311"/>
      <c r="J30" s="311"/>
      <c r="K30" s="311"/>
      <c r="L30" s="339" t="s">
        <v>5</v>
      </c>
      <c r="M30" s="2118" t="s">
        <v>2530</v>
      </c>
      <c r="N30" s="2257"/>
      <c r="O30" s="2257"/>
      <c r="P30" s="2257"/>
      <c r="Q30" s="2257"/>
      <c r="R30" s="2257"/>
      <c r="S30" s="2257"/>
      <c r="T30" s="305"/>
      <c r="U30" s="305"/>
      <c r="V30" s="357" t="s">
        <v>1770</v>
      </c>
      <c r="W30" s="305" t="s">
        <v>1796</v>
      </c>
      <c r="X30" s="305"/>
      <c r="Y30" s="305"/>
      <c r="Z30" s="305"/>
      <c r="AA30" s="305"/>
      <c r="AB30" s="305"/>
      <c r="AC30" s="305"/>
      <c r="AD30" s="305"/>
      <c r="AE30" s="305"/>
      <c r="AF30" s="305"/>
      <c r="AG30" s="311"/>
      <c r="AH30" s="339" t="s">
        <v>5</v>
      </c>
      <c r="AI30" s="2266">
        <v>0</v>
      </c>
      <c r="AJ30" s="2266"/>
      <c r="AK30" s="2266"/>
      <c r="AL30" s="2266"/>
      <c r="AM30" s="356"/>
      <c r="AN30" s="1163"/>
      <c r="AO30" s="356"/>
      <c r="AP30"/>
      <c r="AQ30"/>
      <c r="AR30"/>
      <c r="AS30" s="2301"/>
      <c r="AT30" s="2301"/>
      <c r="AU30" s="2301"/>
      <c r="AV30" s="2301"/>
      <c r="AW30"/>
      <c r="AX30"/>
      <c r="AY30"/>
      <c r="AZ30"/>
      <c r="BA30"/>
      <c r="BB30"/>
      <c r="BC30"/>
      <c r="BD30"/>
    </row>
    <row r="31" spans="3:65" s="342" customFormat="1" ht="15" customHeight="1">
      <c r="C31" s="354" t="s">
        <v>1770</v>
      </c>
      <c r="D31" s="305" t="s">
        <v>1797</v>
      </c>
      <c r="E31" s="305"/>
      <c r="F31" s="304"/>
      <c r="G31" s="304"/>
      <c r="H31" s="304"/>
      <c r="I31" s="304"/>
      <c r="J31" s="304"/>
      <c r="K31" s="304"/>
      <c r="L31" s="359"/>
      <c r="M31" s="305"/>
      <c r="N31" s="305"/>
      <c r="O31" s="305"/>
      <c r="P31" s="339" t="s">
        <v>5</v>
      </c>
      <c r="Q31" s="2267">
        <f>Tnh!N88</f>
        <v>20</v>
      </c>
      <c r="R31" s="2267"/>
      <c r="S31" s="2267"/>
      <c r="T31" s="305"/>
      <c r="U31" s="305"/>
      <c r="V31" s="357" t="s">
        <v>1770</v>
      </c>
      <c r="W31" s="305" t="s">
        <v>1798</v>
      </c>
      <c r="X31" s="305"/>
      <c r="Y31" s="305"/>
      <c r="Z31" s="305"/>
      <c r="AA31" s="305"/>
      <c r="AB31" s="305"/>
      <c r="AC31" s="305"/>
      <c r="AD31" s="305"/>
      <c r="AE31" s="305"/>
      <c r="AF31" s="305"/>
      <c r="AG31" s="311"/>
      <c r="AH31" s="339" t="s">
        <v>5</v>
      </c>
      <c r="AI31" s="2266">
        <v>0</v>
      </c>
      <c r="AJ31" s="2266"/>
      <c r="AK31" s="2266"/>
      <c r="AL31" s="2266"/>
      <c r="AM31" s="356"/>
      <c r="AN31" s="1163"/>
      <c r="AO31" s="356"/>
      <c r="AP31" s="308"/>
      <c r="AQ31" s="308"/>
      <c r="AR31" s="308"/>
      <c r="AS31" s="2262"/>
      <c r="AT31" s="2262"/>
      <c r="AU31" s="308"/>
      <c r="AV31" s="308"/>
      <c r="AW31" s="308"/>
      <c r="AX31" s="308"/>
      <c r="AY31" s="308"/>
      <c r="AZ31" s="308"/>
      <c r="BA31" s="308"/>
      <c r="BB31" s="308"/>
    </row>
    <row r="32" spans="3:65" s="342" customFormat="1" ht="15" customHeight="1">
      <c r="C32" s="354" t="s">
        <v>1770</v>
      </c>
      <c r="D32" s="305" t="s">
        <v>1799</v>
      </c>
      <c r="E32" s="305"/>
      <c r="F32" s="305"/>
      <c r="G32" s="305"/>
      <c r="H32" s="305"/>
      <c r="I32" s="305"/>
      <c r="J32" s="305"/>
      <c r="K32" s="305"/>
      <c r="L32" s="305"/>
      <c r="M32" s="305"/>
      <c r="N32" s="305"/>
      <c r="O32" s="305"/>
      <c r="P32" s="339" t="s">
        <v>5</v>
      </c>
      <c r="Q32" s="2121">
        <v>0</v>
      </c>
      <c r="R32" s="2121"/>
      <c r="S32" s="2121"/>
      <c r="T32" s="305"/>
      <c r="U32" s="305"/>
      <c r="V32" s="357" t="s">
        <v>1770</v>
      </c>
      <c r="W32" s="2263" t="s">
        <v>2470</v>
      </c>
      <c r="X32" s="2263"/>
      <c r="Y32" s="2263"/>
      <c r="Z32" s="2263"/>
      <c r="AA32" s="2263"/>
      <c r="AB32" s="2263"/>
      <c r="AC32" s="2263"/>
      <c r="AD32" s="2263"/>
      <c r="AE32" s="2263"/>
      <c r="AF32" s="2263"/>
      <c r="AG32" s="2263"/>
      <c r="AH32" s="339" t="s">
        <v>5</v>
      </c>
      <c r="AI32" s="2264">
        <f>AJ19-AI30-AI31</f>
        <v>249</v>
      </c>
      <c r="AJ32" s="2264"/>
      <c r="AK32" s="2264"/>
      <c r="AL32" s="2264"/>
      <c r="AM32" s="2264"/>
      <c r="AN32" s="361"/>
      <c r="AO32" s="305"/>
      <c r="AP32" s="308"/>
      <c r="AQ32" s="308"/>
      <c r="AR32" s="308"/>
      <c r="AS32" s="308"/>
      <c r="AT32" s="308"/>
      <c r="AU32" s="308"/>
      <c r="AV32" s="308"/>
      <c r="AW32" s="308"/>
      <c r="AX32" s="308"/>
      <c r="AY32" s="308"/>
      <c r="AZ32" s="308"/>
      <c r="BA32" s="308"/>
      <c r="BB32" s="308"/>
    </row>
    <row r="33" spans="3:83" s="342" customFormat="1" ht="6" customHeight="1">
      <c r="C33" s="362"/>
      <c r="D33" s="363"/>
      <c r="E33" s="363"/>
      <c r="F33" s="363"/>
      <c r="G33" s="363"/>
      <c r="H33" s="363"/>
      <c r="I33" s="363"/>
      <c r="J33" s="363"/>
      <c r="K33" s="363"/>
      <c r="L33" s="363"/>
      <c r="M33" s="363"/>
      <c r="N33" s="363"/>
      <c r="O33" s="363"/>
      <c r="P33" s="363"/>
      <c r="Q33" s="363"/>
      <c r="R33" s="363"/>
      <c r="S33" s="363"/>
      <c r="T33" s="363"/>
      <c r="U33" s="363"/>
      <c r="V33" s="363"/>
      <c r="W33" s="363"/>
      <c r="X33" s="363"/>
      <c r="Y33" s="363"/>
      <c r="Z33" s="363"/>
      <c r="AA33" s="363"/>
      <c r="AB33" s="363"/>
      <c r="AC33" s="363"/>
      <c r="AD33" s="363"/>
      <c r="AE33" s="363"/>
      <c r="AF33" s="363"/>
      <c r="AG33" s="363"/>
      <c r="AH33" s="363"/>
      <c r="AI33" s="363"/>
      <c r="AJ33" s="363"/>
      <c r="AK33" s="363"/>
      <c r="AL33" s="363"/>
      <c r="AM33" s="363"/>
      <c r="AN33" s="364"/>
      <c r="AO33" s="311"/>
      <c r="AP33" s="308"/>
      <c r="AQ33" s="308"/>
      <c r="AR33" s="308"/>
      <c r="AS33" s="308"/>
      <c r="AT33" s="308"/>
      <c r="AU33" s="308"/>
      <c r="AV33" s="308"/>
      <c r="AW33" s="308"/>
      <c r="AX33" s="308"/>
      <c r="AY33" s="308"/>
      <c r="AZ33" s="308"/>
      <c r="BA33" s="308"/>
      <c r="BB33" s="308"/>
    </row>
    <row r="34" spans="3:83" s="300" customFormat="1" ht="6" customHeight="1">
      <c r="C34" s="302"/>
      <c r="D34" s="302"/>
      <c r="E34" s="302"/>
      <c r="F34" s="302"/>
      <c r="G34" s="302"/>
      <c r="H34" s="302"/>
      <c r="I34" s="302"/>
      <c r="J34" s="302"/>
      <c r="K34" s="302"/>
      <c r="L34" s="302"/>
      <c r="M34" s="302"/>
      <c r="N34" s="302"/>
      <c r="O34" s="302"/>
      <c r="P34" s="302"/>
      <c r="Q34" s="302"/>
      <c r="R34" s="302"/>
      <c r="S34" s="302"/>
      <c r="T34" s="302"/>
      <c r="U34" s="302"/>
      <c r="V34" s="302"/>
      <c r="W34" s="302"/>
      <c r="X34" s="302"/>
      <c r="Y34" s="302"/>
      <c r="Z34" s="302"/>
      <c r="AA34" s="302"/>
      <c r="AB34" s="302"/>
      <c r="AC34" s="302"/>
      <c r="AD34" s="302"/>
      <c r="AE34" s="302"/>
      <c r="AF34" s="302"/>
      <c r="AG34" s="302"/>
      <c r="AH34" s="302"/>
      <c r="AI34" s="302"/>
      <c r="AJ34" s="302"/>
      <c r="AK34" s="302"/>
      <c r="AL34" s="302"/>
      <c r="AM34" s="302"/>
      <c r="AN34" s="838"/>
      <c r="AO34" s="302"/>
      <c r="AP34" s="308"/>
      <c r="AQ34" s="308"/>
      <c r="AR34" s="308"/>
      <c r="AS34" s="308"/>
      <c r="AT34" s="308"/>
      <c r="AU34" s="308"/>
      <c r="AV34" s="308"/>
      <c r="AW34" s="308"/>
      <c r="AX34" s="308"/>
      <c r="AY34" s="308"/>
      <c r="AZ34" s="308"/>
      <c r="BA34" s="308"/>
      <c r="BB34" s="308"/>
    </row>
    <row r="35" spans="3:83" s="309" customFormat="1" ht="18" customHeight="1">
      <c r="C35" s="2054" t="s">
        <v>1800</v>
      </c>
      <c r="D35" s="2055"/>
      <c r="E35" s="2055"/>
      <c r="F35" s="2055"/>
      <c r="G35" s="2055"/>
      <c r="H35" s="2055"/>
      <c r="I35" s="2055"/>
      <c r="J35" s="2055"/>
      <c r="K35" s="2055"/>
      <c r="L35" s="2055"/>
      <c r="M35" s="2055"/>
      <c r="N35" s="2055"/>
      <c r="O35" s="2055"/>
      <c r="P35" s="2055"/>
      <c r="Q35" s="2055"/>
      <c r="R35" s="2055"/>
      <c r="S35" s="2055"/>
      <c r="T35" s="2055"/>
      <c r="U35" s="2055"/>
      <c r="V35" s="2055"/>
      <c r="W35" s="2055"/>
      <c r="X35" s="2055"/>
      <c r="Y35" s="2055"/>
      <c r="Z35" s="2055"/>
      <c r="AA35" s="2055"/>
      <c r="AB35" s="2055"/>
      <c r="AC35" s="2055"/>
      <c r="AD35" s="2055"/>
      <c r="AE35" s="2055"/>
      <c r="AF35" s="2055"/>
      <c r="AG35" s="2055"/>
      <c r="AH35" s="2055"/>
      <c r="AI35" s="2055"/>
      <c r="AJ35" s="2055"/>
      <c r="AK35" s="2055"/>
      <c r="AL35" s="2055"/>
      <c r="AM35" s="2055"/>
      <c r="AN35" s="2056"/>
      <c r="AO35" s="1071"/>
      <c r="AP35" s="308"/>
      <c r="AQ35" s="308"/>
      <c r="AR35" s="308"/>
      <c r="AS35" s="308"/>
      <c r="AY35" s="308"/>
      <c r="AZ35" s="308"/>
      <c r="BA35" s="308"/>
      <c r="BB35" s="308"/>
      <c r="BC35" s="307"/>
    </row>
    <row r="36" spans="3:83" s="342" customFormat="1" ht="2.1" customHeight="1">
      <c r="C36" s="310"/>
      <c r="D36" s="311"/>
      <c r="E36" s="311"/>
      <c r="F36" s="311"/>
      <c r="G36" s="311"/>
      <c r="H36" s="339"/>
      <c r="I36" s="346"/>
      <c r="J36" s="346"/>
      <c r="K36" s="346"/>
      <c r="L36" s="346"/>
      <c r="M36" s="346"/>
      <c r="N36" s="346"/>
      <c r="O36" s="311"/>
      <c r="P36" s="314"/>
      <c r="Q36" s="300"/>
      <c r="R36" s="311"/>
      <c r="S36" s="311"/>
      <c r="T36" s="339"/>
      <c r="U36" s="346"/>
      <c r="V36" s="346"/>
      <c r="W36" s="346"/>
      <c r="X36" s="346"/>
      <c r="Y36" s="346"/>
      <c r="Z36" s="346"/>
      <c r="AA36" s="311"/>
      <c r="AB36" s="311"/>
      <c r="AC36" s="314"/>
      <c r="AD36" s="304"/>
      <c r="AE36" s="311"/>
      <c r="AF36" s="311"/>
      <c r="AG36" s="339"/>
      <c r="AH36" s="346"/>
      <c r="AI36" s="346"/>
      <c r="AJ36" s="346"/>
      <c r="AK36" s="346"/>
      <c r="AL36" s="346"/>
      <c r="AM36" s="346"/>
      <c r="AN36" s="347"/>
      <c r="AO36" s="311"/>
      <c r="AP36" s="308"/>
      <c r="AQ36" s="308"/>
      <c r="AR36" s="308"/>
      <c r="AS36" s="308"/>
      <c r="AY36" s="308"/>
      <c r="AZ36" s="308"/>
      <c r="BA36" s="308"/>
      <c r="BB36" s="308"/>
    </row>
    <row r="37" spans="3:83" s="342" customFormat="1" ht="15" customHeight="1">
      <c r="C37" s="354" t="s">
        <v>1770</v>
      </c>
      <c r="D37" s="311" t="s">
        <v>1801</v>
      </c>
      <c r="E37" s="311"/>
      <c r="F37" s="311"/>
      <c r="G37" s="311"/>
      <c r="H37" s="311"/>
      <c r="I37" s="339" t="s">
        <v>5</v>
      </c>
      <c r="J37" s="2118" t="s">
        <v>2532</v>
      </c>
      <c r="K37" s="2257"/>
      <c r="L37" s="2257"/>
      <c r="M37" s="2257"/>
      <c r="N37" s="2257"/>
      <c r="O37" s="2257"/>
      <c r="P37" s="305"/>
      <c r="Q37" s="357" t="s">
        <v>1770</v>
      </c>
      <c r="R37" s="304" t="s">
        <v>1785</v>
      </c>
      <c r="S37" s="305"/>
      <c r="U37" s="339" t="s">
        <v>5</v>
      </c>
      <c r="V37" s="2118" t="s">
        <v>2534</v>
      </c>
      <c r="W37" s="2118"/>
      <c r="X37" s="2118"/>
      <c r="Y37" s="2118"/>
      <c r="Z37" s="2118"/>
      <c r="AA37" s="2118"/>
      <c r="AB37" s="2118"/>
      <c r="AC37" s="357" t="s">
        <v>1770</v>
      </c>
      <c r="AD37" s="304" t="s">
        <v>1802</v>
      </c>
      <c r="AF37" s="305"/>
      <c r="AG37" s="339" t="s">
        <v>5</v>
      </c>
      <c r="AH37" s="2118" t="s">
        <v>2537</v>
      </c>
      <c r="AI37" s="2257"/>
      <c r="AJ37" s="2257"/>
      <c r="AK37" s="2257"/>
      <c r="AL37" s="2257"/>
      <c r="AM37" s="2257"/>
      <c r="AN37" s="347"/>
      <c r="AO37" s="311"/>
      <c r="AP37" s="308"/>
      <c r="AQ37" s="308"/>
      <c r="AR37" s="308"/>
      <c r="AS37" s="308"/>
      <c r="AY37" s="308"/>
      <c r="AZ37" s="308"/>
      <c r="BA37" s="308"/>
      <c r="BB37" s="308"/>
    </row>
    <row r="38" spans="3:83" s="342" customFormat="1" ht="15" customHeight="1">
      <c r="C38" s="354" t="s">
        <v>1770</v>
      </c>
      <c r="D38" s="365" t="s">
        <v>1803</v>
      </c>
      <c r="E38" s="365"/>
      <c r="F38" s="311"/>
      <c r="G38" s="311"/>
      <c r="H38" s="311"/>
      <c r="I38" s="339" t="s">
        <v>5</v>
      </c>
      <c r="J38" s="2118" t="s">
        <v>2533</v>
      </c>
      <c r="K38" s="2257"/>
      <c r="L38" s="2257"/>
      <c r="M38" s="2257"/>
      <c r="N38" s="2257"/>
      <c r="O38" s="2257"/>
      <c r="P38" s="305"/>
      <c r="Q38" s="357" t="s">
        <v>1770</v>
      </c>
      <c r="R38" s="304" t="s">
        <v>1804</v>
      </c>
      <c r="S38" s="305"/>
      <c r="U38" s="339" t="s">
        <v>5</v>
      </c>
      <c r="V38" s="2118" t="s">
        <v>2535</v>
      </c>
      <c r="W38" s="2118"/>
      <c r="X38" s="2118"/>
      <c r="Y38" s="2118"/>
      <c r="Z38" s="2118"/>
      <c r="AA38" s="2118"/>
      <c r="AB38" s="2118"/>
      <c r="AC38" s="357" t="s">
        <v>1770</v>
      </c>
      <c r="AD38" s="304" t="s">
        <v>1805</v>
      </c>
      <c r="AF38" s="305"/>
      <c r="AG38" s="339" t="s">
        <v>5</v>
      </c>
      <c r="AH38" s="2118" t="s">
        <v>2538</v>
      </c>
      <c r="AI38" s="2257"/>
      <c r="AJ38" s="2257"/>
      <c r="AK38" s="2257"/>
      <c r="AL38" s="2257"/>
      <c r="AM38" s="2257"/>
      <c r="AN38" s="347"/>
      <c r="AO38" s="311"/>
      <c r="AP38" s="308"/>
      <c r="AQ38" s="308"/>
      <c r="AR38" s="308"/>
      <c r="AS38" s="308"/>
    </row>
    <row r="39" spans="3:83" s="342" customFormat="1" ht="15" customHeight="1">
      <c r="C39" s="354" t="s">
        <v>1770</v>
      </c>
      <c r="D39" s="300" t="s">
        <v>1806</v>
      </c>
      <c r="E39" s="300"/>
      <c r="F39" s="311"/>
      <c r="G39" s="311"/>
      <c r="H39" s="311"/>
      <c r="I39" s="339" t="s">
        <v>5</v>
      </c>
      <c r="J39" s="2118" t="s">
        <v>2533</v>
      </c>
      <c r="K39" s="2257"/>
      <c r="L39" s="2257"/>
      <c r="M39" s="2257"/>
      <c r="N39" s="2257"/>
      <c r="O39" s="2257"/>
      <c r="P39" s="305"/>
      <c r="Q39" s="357" t="s">
        <v>1770</v>
      </c>
      <c r="R39" s="304" t="s">
        <v>1807</v>
      </c>
      <c r="S39" s="305"/>
      <c r="U39" s="339" t="s">
        <v>5</v>
      </c>
      <c r="V39" s="2118" t="s">
        <v>2536</v>
      </c>
      <c r="W39" s="2118"/>
      <c r="X39" s="2118"/>
      <c r="Y39" s="2118"/>
      <c r="Z39" s="2118"/>
      <c r="AA39" s="2118"/>
      <c r="AB39" s="2118"/>
      <c r="AC39" s="357" t="s">
        <v>1770</v>
      </c>
      <c r="AD39" s="304" t="s">
        <v>1808</v>
      </c>
      <c r="AF39" s="305"/>
      <c r="AG39" s="339" t="s">
        <v>5</v>
      </c>
      <c r="AH39" s="2258" t="s">
        <v>2529</v>
      </c>
      <c r="AI39" s="2259"/>
      <c r="AJ39" s="2259"/>
      <c r="AK39" s="2259"/>
      <c r="AL39" s="2259"/>
      <c r="AM39" s="2259"/>
      <c r="AN39" s="347"/>
      <c r="AO39" s="311"/>
      <c r="AP39" s="308"/>
      <c r="AQ39" s="308"/>
      <c r="AR39" s="308"/>
      <c r="AS39" s="308"/>
    </row>
    <row r="40" spans="3:83" s="342" customFormat="1" ht="2.1" customHeight="1">
      <c r="C40" s="362"/>
      <c r="D40" s="363"/>
      <c r="E40" s="363"/>
      <c r="F40" s="363"/>
      <c r="G40" s="363"/>
      <c r="H40" s="363"/>
      <c r="I40" s="363"/>
      <c r="J40" s="363"/>
      <c r="K40" s="363"/>
      <c r="L40" s="363"/>
      <c r="M40" s="363"/>
      <c r="N40" s="363"/>
      <c r="O40" s="363"/>
      <c r="P40" s="363"/>
      <c r="Q40" s="363"/>
      <c r="R40" s="363"/>
      <c r="S40" s="363"/>
      <c r="U40" s="363"/>
      <c r="V40" s="363"/>
      <c r="W40" s="363"/>
      <c r="X40" s="363"/>
      <c r="Y40" s="363"/>
      <c r="Z40" s="363"/>
      <c r="AA40" s="363"/>
      <c r="AB40" s="363"/>
      <c r="AC40" s="363"/>
      <c r="AD40" s="363"/>
      <c r="AE40" s="363"/>
      <c r="AF40" s="363"/>
      <c r="AG40" s="363"/>
      <c r="AH40" s="363"/>
      <c r="AI40" s="363"/>
      <c r="AJ40" s="363"/>
      <c r="AK40" s="363"/>
      <c r="AL40" s="363"/>
      <c r="AM40" s="363"/>
      <c r="AN40" s="364"/>
      <c r="AO40" s="311"/>
      <c r="AP40" s="308"/>
      <c r="AQ40" s="308"/>
      <c r="AR40" s="308"/>
      <c r="AS40" s="308"/>
    </row>
    <row r="41" spans="3:83" s="342" customFormat="1" ht="6" customHeight="1">
      <c r="C41" s="311"/>
      <c r="D41" s="311"/>
      <c r="E41" s="311"/>
      <c r="F41" s="311"/>
      <c r="G41" s="311"/>
      <c r="H41" s="311"/>
      <c r="I41" s="311"/>
      <c r="J41" s="311"/>
      <c r="K41" s="311"/>
      <c r="L41" s="311"/>
      <c r="M41" s="311"/>
      <c r="N41" s="311"/>
      <c r="O41" s="311"/>
      <c r="P41" s="311"/>
      <c r="Q41" s="311"/>
      <c r="R41" s="311"/>
      <c r="S41" s="311"/>
      <c r="T41" s="311"/>
      <c r="U41" s="311"/>
      <c r="V41" s="311"/>
      <c r="W41" s="311"/>
      <c r="X41" s="311"/>
      <c r="Y41" s="311"/>
      <c r="Z41" s="311"/>
      <c r="AA41" s="311"/>
      <c r="AB41" s="311"/>
      <c r="AC41" s="311"/>
      <c r="AD41" s="311"/>
      <c r="AE41" s="311"/>
      <c r="AF41" s="311"/>
      <c r="AG41" s="311"/>
      <c r="AH41" s="311"/>
      <c r="AI41" s="311"/>
      <c r="AJ41" s="311"/>
      <c r="AK41" s="311"/>
      <c r="AL41" s="311"/>
      <c r="AM41" s="311"/>
      <c r="AN41" s="347"/>
      <c r="AP41" s="308"/>
      <c r="AQ41" s="308"/>
      <c r="AR41" s="308"/>
      <c r="AS41" s="308"/>
      <c r="AT41" s="308"/>
      <c r="AU41" s="308"/>
      <c r="AV41" s="308"/>
      <c r="AW41" s="308"/>
      <c r="AX41" s="308"/>
      <c r="AY41" s="308"/>
      <c r="AZ41" s="308"/>
      <c r="BA41" s="308"/>
      <c r="BB41" s="308"/>
    </row>
    <row r="42" spans="3:83" s="309" customFormat="1" ht="18" customHeight="1">
      <c r="C42" s="2054" t="s">
        <v>1809</v>
      </c>
      <c r="D42" s="2055"/>
      <c r="E42" s="2055"/>
      <c r="F42" s="2055"/>
      <c r="G42" s="2055"/>
      <c r="H42" s="2055"/>
      <c r="I42" s="2055"/>
      <c r="J42" s="2055"/>
      <c r="K42" s="2055"/>
      <c r="L42" s="2055"/>
      <c r="M42" s="2055"/>
      <c r="N42" s="2055"/>
      <c r="O42" s="2055"/>
      <c r="P42" s="2055"/>
      <c r="Q42" s="2055"/>
      <c r="R42" s="2055"/>
      <c r="S42" s="2055"/>
      <c r="T42" s="2055"/>
      <c r="U42" s="2055"/>
      <c r="V42" s="2055"/>
      <c r="W42" s="2055"/>
      <c r="X42" s="2055"/>
      <c r="Y42" s="2055"/>
      <c r="Z42" s="2055"/>
      <c r="AA42" s="2055"/>
      <c r="AB42" s="2055"/>
      <c r="AC42" s="2055"/>
      <c r="AD42" s="2055"/>
      <c r="AE42" s="2055"/>
      <c r="AF42" s="2055"/>
      <c r="AG42" s="2055"/>
      <c r="AH42" s="2055"/>
      <c r="AI42" s="2055"/>
      <c r="AJ42" s="2055"/>
      <c r="AK42" s="2055"/>
      <c r="AL42" s="2055"/>
      <c r="AM42" s="2055"/>
      <c r="AN42" s="2056"/>
      <c r="AO42" s="1071"/>
      <c r="AP42" s="308"/>
      <c r="AQ42" s="308"/>
      <c r="AR42" s="308"/>
      <c r="AS42" s="308"/>
      <c r="AT42" s="308"/>
      <c r="AU42" s="308"/>
      <c r="AV42" s="308"/>
      <c r="AW42" s="308"/>
      <c r="AX42" s="308"/>
      <c r="AY42" s="308"/>
      <c r="AZ42" s="308"/>
      <c r="BA42" s="308"/>
      <c r="BB42" s="308"/>
      <c r="BC42" s="307"/>
    </row>
    <row r="43" spans="3:83" s="342" customFormat="1" ht="2.1" customHeight="1">
      <c r="C43" s="310"/>
      <c r="D43" s="311"/>
      <c r="E43" s="311"/>
      <c r="F43" s="311"/>
      <c r="G43" s="311"/>
      <c r="H43" s="339"/>
      <c r="I43" s="346"/>
      <c r="J43" s="346"/>
      <c r="K43" s="346"/>
      <c r="L43" s="346"/>
      <c r="M43" s="346"/>
      <c r="N43" s="346"/>
      <c r="O43" s="311"/>
      <c r="P43" s="314"/>
      <c r="Q43" s="300"/>
      <c r="R43" s="311"/>
      <c r="S43" s="311"/>
      <c r="T43" s="339"/>
      <c r="U43" s="346"/>
      <c r="V43" s="346"/>
      <c r="W43" s="346"/>
      <c r="X43" s="346"/>
      <c r="Y43" s="346"/>
      <c r="Z43" s="346"/>
      <c r="AA43" s="311"/>
      <c r="AB43" s="311"/>
      <c r="AC43" s="314"/>
      <c r="AD43" s="304"/>
      <c r="AE43" s="311"/>
      <c r="AF43" s="311"/>
      <c r="AG43" s="339"/>
      <c r="AH43" s="346"/>
      <c r="AI43" s="346"/>
      <c r="AJ43" s="346"/>
      <c r="AK43" s="346"/>
      <c r="AL43" s="346"/>
      <c r="AM43" s="346"/>
      <c r="AN43" s="347"/>
      <c r="AO43" s="311"/>
      <c r="AP43" s="308"/>
      <c r="AQ43" s="308"/>
      <c r="AR43" s="308"/>
      <c r="AS43" s="308"/>
      <c r="BB43" s="308"/>
    </row>
    <row r="44" spans="3:83" s="342" customFormat="1" ht="15" customHeight="1">
      <c r="C44" s="354" t="s">
        <v>1770</v>
      </c>
      <c r="D44" s="311" t="s">
        <v>1810</v>
      </c>
      <c r="E44" s="311"/>
      <c r="F44" s="311"/>
      <c r="G44" s="311"/>
      <c r="H44" s="311"/>
      <c r="I44" s="311"/>
      <c r="J44" s="339" t="s">
        <v>5</v>
      </c>
      <c r="K44" s="2251">
        <v>1300</v>
      </c>
      <c r="L44" s="2251"/>
      <c r="M44" s="2251"/>
      <c r="N44" s="2251"/>
      <c r="O44" s="2251"/>
      <c r="P44" s="2251"/>
      <c r="Q44" s="2251"/>
      <c r="R44" s="2251"/>
      <c r="S44" s="2251"/>
      <c r="T44" s="311"/>
      <c r="U44" s="366"/>
      <c r="V44" s="311"/>
      <c r="W44" s="357" t="s">
        <v>1770</v>
      </c>
      <c r="X44" s="300" t="s">
        <v>1811</v>
      </c>
      <c r="Y44" s="311"/>
      <c r="Z44" s="311"/>
      <c r="AA44" s="311"/>
      <c r="AB44" s="311"/>
      <c r="AD44" s="339" t="s">
        <v>5</v>
      </c>
      <c r="AE44" s="2249" t="s">
        <v>2517</v>
      </c>
      <c r="AF44" s="2250"/>
      <c r="AG44" s="2250"/>
      <c r="AH44" s="2250"/>
      <c r="AI44" s="2250"/>
      <c r="AJ44" s="2250"/>
      <c r="AK44" s="2250"/>
      <c r="AL44" s="311"/>
      <c r="AM44" s="311"/>
      <c r="AN44" s="347"/>
      <c r="AO44" s="311"/>
      <c r="AP44" s="308"/>
      <c r="AQ44" s="308"/>
      <c r="AR44" s="308"/>
      <c r="AS44" s="308"/>
      <c r="BB44" s="308"/>
    </row>
    <row r="45" spans="3:83" s="342" customFormat="1" ht="15" customHeight="1">
      <c r="C45" s="354" t="s">
        <v>1770</v>
      </c>
      <c r="D45" s="300" t="s">
        <v>1812</v>
      </c>
      <c r="E45" s="300"/>
      <c r="F45" s="311"/>
      <c r="G45" s="311"/>
      <c r="H45" s="311"/>
      <c r="I45" s="311"/>
      <c r="J45" s="339" t="s">
        <v>5</v>
      </c>
      <c r="K45" s="2252" t="s">
        <v>2517</v>
      </c>
      <c r="L45" s="2252"/>
      <c r="M45" s="2252"/>
      <c r="N45" s="2253" t="s">
        <v>1813</v>
      </c>
      <c r="O45" s="2254"/>
      <c r="P45" s="2254"/>
      <c r="Q45" s="2254"/>
      <c r="R45" s="2254"/>
      <c r="U45" s="311"/>
      <c r="V45" s="311"/>
      <c r="W45" s="357" t="s">
        <v>1770</v>
      </c>
      <c r="X45" s="300" t="s">
        <v>1814</v>
      </c>
      <c r="Z45" s="311"/>
      <c r="AA45" s="311"/>
      <c r="AB45" s="311"/>
      <c r="AD45" s="339" t="s">
        <v>5</v>
      </c>
      <c r="AE45" s="2249" t="s">
        <v>2517</v>
      </c>
      <c r="AF45" s="2250"/>
      <c r="AG45" s="2250"/>
      <c r="AH45" s="2250"/>
      <c r="AI45" s="2250"/>
      <c r="AJ45" s="2250"/>
      <c r="AK45" s="2250"/>
      <c r="AN45" s="347"/>
      <c r="AO45" s="311"/>
      <c r="AP45" s="308"/>
      <c r="AQ45" s="308"/>
      <c r="AR45" s="308"/>
      <c r="AS45" s="308"/>
      <c r="BB45" s="308"/>
      <c r="BS45" s="367"/>
      <c r="BT45" s="367"/>
      <c r="BU45" s="367"/>
      <c r="BV45" s="367"/>
      <c r="BW45" s="367"/>
      <c r="BX45" s="367"/>
      <c r="BZ45" s="367"/>
      <c r="CA45" s="367"/>
      <c r="CB45" s="367"/>
      <c r="CC45" s="367"/>
      <c r="CD45" s="367"/>
      <c r="CE45" s="367"/>
    </row>
    <row r="46" spans="3:83" s="342" customFormat="1" ht="15" customHeight="1">
      <c r="C46" s="354" t="s">
        <v>1770</v>
      </c>
      <c r="D46" s="311" t="s">
        <v>1815</v>
      </c>
      <c r="E46" s="311"/>
      <c r="F46" s="311"/>
      <c r="G46" s="311"/>
      <c r="H46" s="311"/>
      <c r="I46" s="311"/>
      <c r="J46" s="339" t="s">
        <v>5</v>
      </c>
      <c r="K46" s="2260" t="s">
        <v>2517</v>
      </c>
      <c r="L46" s="2261"/>
      <c r="M46" s="2261"/>
      <c r="N46" s="2261"/>
      <c r="O46" s="2261"/>
      <c r="P46" s="2261"/>
      <c r="Q46" s="2261"/>
      <c r="R46" s="2261"/>
      <c r="S46" s="2261"/>
      <c r="U46" s="311"/>
      <c r="V46" s="311"/>
      <c r="W46" s="357" t="s">
        <v>1770</v>
      </c>
      <c r="X46" s="300" t="s">
        <v>1816</v>
      </c>
      <c r="Z46" s="311"/>
      <c r="AA46" s="311"/>
      <c r="AB46" s="311"/>
      <c r="AD46" s="339" t="s">
        <v>5</v>
      </c>
      <c r="AE46" s="2249" t="s">
        <v>2517</v>
      </c>
      <c r="AF46" s="2250"/>
      <c r="AG46" s="2250"/>
      <c r="AH46" s="2250"/>
      <c r="AI46" s="2250"/>
      <c r="AJ46" s="2250"/>
      <c r="AK46" s="2250"/>
      <c r="AN46" s="347"/>
      <c r="AO46" s="311"/>
      <c r="BS46" s="367"/>
      <c r="BT46" s="367"/>
      <c r="BU46" s="367"/>
      <c r="BV46" s="367"/>
      <c r="BW46" s="367"/>
      <c r="BX46" s="367"/>
      <c r="BY46" s="368"/>
      <c r="BZ46" s="367"/>
      <c r="CA46" s="367"/>
      <c r="CB46" s="367"/>
      <c r="CC46" s="368"/>
      <c r="CD46" s="367"/>
      <c r="CE46" s="367"/>
    </row>
    <row r="47" spans="3:83" s="342" customFormat="1" ht="15" customHeight="1">
      <c r="C47" s="354" t="s">
        <v>1770</v>
      </c>
      <c r="D47" s="311" t="s">
        <v>1817</v>
      </c>
      <c r="E47" s="311"/>
      <c r="F47" s="311"/>
      <c r="G47" s="311"/>
      <c r="H47" s="311"/>
      <c r="I47" s="311"/>
      <c r="J47" s="339" t="s">
        <v>5</v>
      </c>
      <c r="K47" s="2249" t="s">
        <v>2517</v>
      </c>
      <c r="L47" s="2250"/>
      <c r="M47" s="2250"/>
      <c r="N47" s="2250"/>
      <c r="O47" s="2250"/>
      <c r="P47" s="2250"/>
      <c r="Q47" s="2250"/>
      <c r="R47" s="2250"/>
      <c r="S47" s="2250"/>
      <c r="U47" s="311"/>
      <c r="V47" s="311"/>
      <c r="W47" s="357" t="s">
        <v>1770</v>
      </c>
      <c r="X47" s="300" t="s">
        <v>1818</v>
      </c>
      <c r="Z47" s="311"/>
      <c r="AA47" s="311"/>
      <c r="AB47" s="311"/>
      <c r="AD47" s="339" t="s">
        <v>5</v>
      </c>
      <c r="AE47" s="2249" t="s">
        <v>2517</v>
      </c>
      <c r="AF47" s="2250"/>
      <c r="AG47" s="2250"/>
      <c r="AH47" s="2250"/>
      <c r="AI47" s="2250"/>
      <c r="AJ47" s="2250"/>
      <c r="AK47" s="2250"/>
      <c r="AN47" s="347"/>
      <c r="AO47" s="311"/>
      <c r="AZ47" s="369"/>
      <c r="BA47" s="369"/>
      <c r="BS47" s="367"/>
      <c r="BT47" s="367"/>
      <c r="BU47" s="367"/>
      <c r="BV47" s="367"/>
      <c r="BW47" s="367"/>
      <c r="BX47" s="367"/>
      <c r="BY47" s="367"/>
      <c r="BZ47" s="367"/>
      <c r="CA47" s="367"/>
      <c r="CB47" s="367"/>
      <c r="CC47" s="368"/>
      <c r="CD47" s="367"/>
      <c r="CE47" s="367"/>
    </row>
    <row r="48" spans="3:83" s="342" customFormat="1" ht="2.1" customHeight="1">
      <c r="C48" s="362"/>
      <c r="D48" s="363"/>
      <c r="E48" s="363"/>
      <c r="F48" s="363"/>
      <c r="G48" s="363"/>
      <c r="H48" s="363"/>
      <c r="I48" s="363"/>
      <c r="J48" s="363"/>
      <c r="K48" s="363"/>
      <c r="L48" s="363"/>
      <c r="M48" s="363"/>
      <c r="N48" s="363"/>
      <c r="O48" s="363"/>
      <c r="P48" s="363"/>
      <c r="Q48" s="363"/>
      <c r="R48" s="363"/>
      <c r="S48" s="363"/>
      <c r="T48" s="363"/>
      <c r="U48" s="363"/>
      <c r="V48" s="363"/>
      <c r="W48" s="363"/>
      <c r="X48" s="363"/>
      <c r="Y48" s="363"/>
      <c r="Z48" s="363"/>
      <c r="AA48" s="363"/>
      <c r="AB48" s="363"/>
      <c r="AC48" s="363"/>
      <c r="AD48" s="363"/>
      <c r="AE48" s="363"/>
      <c r="AF48" s="363"/>
      <c r="AG48" s="363"/>
      <c r="AH48" s="363"/>
      <c r="AI48" s="363"/>
      <c r="AJ48" s="363"/>
      <c r="AK48" s="363"/>
      <c r="AL48" s="363"/>
      <c r="AM48" s="363"/>
      <c r="AN48" s="364"/>
      <c r="AO48" s="311"/>
      <c r="BR48" s="367"/>
      <c r="BS48" s="367"/>
      <c r="BT48" s="367"/>
      <c r="BU48" s="367"/>
      <c r="BV48" s="367"/>
      <c r="BW48" s="367"/>
      <c r="BX48" s="367"/>
      <c r="BY48" s="367"/>
      <c r="BZ48" s="367"/>
      <c r="CA48" s="367"/>
      <c r="CB48" s="367"/>
      <c r="CC48" s="367"/>
      <c r="CD48" s="367"/>
      <c r="CE48" s="367"/>
    </row>
    <row r="49" spans="3:83" s="342" customFormat="1" ht="6" customHeight="1">
      <c r="BR49" s="367"/>
      <c r="BS49" s="367"/>
      <c r="BT49" s="367"/>
      <c r="BU49" s="367"/>
      <c r="BV49" s="367"/>
      <c r="BW49" s="367"/>
      <c r="BX49" s="367"/>
      <c r="BY49" s="367"/>
      <c r="BZ49" s="367"/>
      <c r="CA49" s="367"/>
      <c r="CB49" s="367"/>
      <c r="CC49" s="367"/>
      <c r="CD49" s="367"/>
      <c r="CE49" s="367"/>
    </row>
    <row r="50" spans="3:83" s="370" customFormat="1" ht="18" customHeight="1">
      <c r="C50" s="2060" t="str">
        <f>"KESIMPULAN NILAI BANGUNAN "&amp;N11&amp;""</f>
        <v xml:space="preserve">KESIMPULAN NILAI BANGUNAN </v>
      </c>
      <c r="D50" s="2060"/>
      <c r="E50" s="2060"/>
      <c r="F50" s="2060"/>
      <c r="G50" s="2060"/>
      <c r="H50" s="2060"/>
      <c r="I50" s="2060"/>
      <c r="J50" s="2060"/>
      <c r="K50" s="2060"/>
      <c r="L50" s="2060"/>
      <c r="M50" s="2060"/>
      <c r="N50" s="2060"/>
      <c r="O50" s="2060"/>
      <c r="P50" s="2060"/>
      <c r="Q50" s="2060"/>
      <c r="R50" s="2060"/>
      <c r="S50" s="2060"/>
      <c r="T50" s="2060"/>
      <c r="U50" s="2060"/>
      <c r="V50" s="2060"/>
      <c r="W50" s="2060"/>
      <c r="X50" s="2060"/>
      <c r="Y50" s="2060"/>
      <c r="Z50" s="2060"/>
      <c r="AA50" s="2060"/>
      <c r="AB50" s="2060"/>
      <c r="AC50" s="2060"/>
      <c r="AD50" s="2060"/>
      <c r="AE50" s="2060"/>
      <c r="AF50" s="2060"/>
      <c r="AG50" s="2060"/>
      <c r="AH50" s="2060"/>
      <c r="AI50" s="2060"/>
      <c r="AJ50" s="2060"/>
      <c r="AK50" s="2060"/>
      <c r="AL50" s="2060"/>
      <c r="AM50" s="2060"/>
      <c r="AN50" s="2060"/>
      <c r="AO50" s="1071"/>
    </row>
    <row r="51" spans="3:83" s="342" customFormat="1" ht="8.1" customHeight="1">
      <c r="C51" s="809"/>
      <c r="D51" s="302"/>
      <c r="E51" s="302"/>
      <c r="F51" s="302"/>
      <c r="G51" s="300"/>
      <c r="H51" s="300"/>
      <c r="I51" s="302"/>
      <c r="J51" s="302"/>
      <c r="K51" s="312"/>
      <c r="L51" s="300"/>
      <c r="M51" s="300"/>
      <c r="N51" s="300"/>
      <c r="O51" s="300"/>
      <c r="P51" s="314"/>
      <c r="Q51" s="311"/>
      <c r="R51" s="302"/>
      <c r="S51" s="302"/>
      <c r="T51" s="302"/>
      <c r="U51" s="302"/>
      <c r="V51" s="300"/>
      <c r="W51" s="300"/>
      <c r="X51" s="312"/>
      <c r="Y51" s="300"/>
      <c r="Z51" s="311"/>
      <c r="AA51" s="311"/>
      <c r="AB51" s="311"/>
      <c r="AC51" s="311"/>
      <c r="AD51" s="311"/>
      <c r="AE51" s="311"/>
      <c r="AF51" s="311"/>
      <c r="AG51" s="311"/>
      <c r="AH51" s="311"/>
      <c r="AI51" s="311"/>
      <c r="AJ51" s="311"/>
      <c r="AK51" s="311"/>
      <c r="AL51" s="311"/>
      <c r="AM51" s="311"/>
      <c r="AN51" s="347"/>
      <c r="AO51" s="311"/>
      <c r="AP51" s="367"/>
      <c r="AQ51" s="367"/>
      <c r="AR51" s="367"/>
      <c r="AS51" s="367"/>
      <c r="AT51" s="367"/>
      <c r="AU51" s="367"/>
      <c r="AV51" s="367"/>
      <c r="AW51" s="367"/>
      <c r="AX51" s="367"/>
      <c r="AY51" s="367"/>
      <c r="AZ51" s="367"/>
      <c r="BA51" s="367"/>
      <c r="BB51" s="367"/>
      <c r="BC51" s="367"/>
      <c r="BD51" s="367"/>
      <c r="BE51" s="367"/>
      <c r="BF51" s="367"/>
      <c r="BG51" s="367"/>
      <c r="BH51" s="367"/>
      <c r="BI51" s="367"/>
      <c r="BJ51" s="367"/>
      <c r="BK51" s="367"/>
      <c r="BL51" s="367"/>
      <c r="BM51" s="367"/>
    </row>
    <row r="52" spans="3:83" s="300" customFormat="1" ht="20.100000000000001" customHeight="1">
      <c r="C52" s="354"/>
      <c r="D52" s="1039" t="s">
        <v>1770</v>
      </c>
      <c r="E52" s="1040" t="s">
        <v>1686</v>
      </c>
      <c r="F52" s="1040"/>
      <c r="G52" s="1040"/>
      <c r="H52" s="1040"/>
      <c r="I52" s="1040"/>
      <c r="J52" s="1040"/>
      <c r="K52" s="1040"/>
      <c r="L52" s="1040"/>
      <c r="M52" s="1040"/>
      <c r="N52" s="1040"/>
      <c r="O52" s="1040"/>
      <c r="P52" s="1040"/>
      <c r="Q52" s="1040"/>
      <c r="R52" s="1040"/>
      <c r="S52" s="1040"/>
      <c r="T52" s="1040"/>
      <c r="U52" s="1040"/>
      <c r="V52" s="1040"/>
      <c r="W52" s="1040"/>
      <c r="X52" s="1040"/>
      <c r="Y52" s="1040"/>
      <c r="Z52" s="1040"/>
      <c r="AA52" s="1040"/>
      <c r="AB52" s="1040"/>
      <c r="AC52" s="1040"/>
      <c r="AD52" s="1040"/>
      <c r="AE52" s="1041" t="s">
        <v>5</v>
      </c>
      <c r="AF52" s="2058">
        <f>+'Surat-02'!T16</f>
        <v>248004000</v>
      </c>
      <c r="AG52" s="2058"/>
      <c r="AH52" s="2058"/>
      <c r="AI52" s="2058"/>
      <c r="AJ52" s="2058"/>
      <c r="AK52" s="2058"/>
      <c r="AL52" s="2058"/>
      <c r="AM52" s="1042"/>
      <c r="AN52" s="315"/>
    </row>
    <row r="53" spans="3:83" s="300" customFormat="1" ht="15.75" hidden="1" customHeight="1">
      <c r="C53" s="836"/>
      <c r="D53" s="1043" t="s">
        <v>1770</v>
      </c>
      <c r="E53" s="301" t="s">
        <v>2398</v>
      </c>
      <c r="F53" s="301"/>
      <c r="G53" s="301"/>
      <c r="H53" s="301"/>
      <c r="I53" s="301"/>
      <c r="J53" s="301"/>
      <c r="K53" s="307"/>
      <c r="L53" s="307"/>
      <c r="M53" s="377"/>
      <c r="N53" s="1044"/>
      <c r="O53" s="1044"/>
      <c r="P53" s="1044"/>
      <c r="R53" s="1044"/>
      <c r="S53" s="1044"/>
      <c r="T53" s="1044"/>
      <c r="U53" s="1044"/>
      <c r="V53" s="1044"/>
      <c r="W53" s="307"/>
      <c r="X53" s="307"/>
      <c r="AB53" s="307"/>
      <c r="AC53" s="307"/>
      <c r="AD53" s="307"/>
      <c r="AE53" s="765" t="s">
        <v>5</v>
      </c>
      <c r="AF53" s="2255" t="e">
        <f>'Surat-02'!#REF!</f>
        <v>#REF!</v>
      </c>
      <c r="AG53" s="2255"/>
      <c r="AH53" s="2255"/>
      <c r="AI53" s="2255"/>
      <c r="AJ53" s="2255"/>
      <c r="AK53" s="2255"/>
      <c r="AL53" s="2255"/>
      <c r="AM53" s="1045"/>
      <c r="AN53" s="378"/>
      <c r="AO53" s="1076"/>
    </row>
    <row r="54" spans="3:83" s="300" customFormat="1" ht="6" customHeight="1">
      <c r="C54" s="809"/>
      <c r="D54" s="1054"/>
      <c r="E54" s="1054"/>
      <c r="F54" s="1055"/>
      <c r="G54" s="833"/>
      <c r="H54" s="833"/>
      <c r="I54" s="833"/>
      <c r="J54" s="833"/>
      <c r="K54" s="833"/>
      <c r="L54" s="833"/>
      <c r="M54" s="2256"/>
      <c r="N54" s="2256"/>
      <c r="O54" s="1056"/>
      <c r="P54" s="833"/>
      <c r="Q54" s="1057"/>
      <c r="R54" s="1057"/>
      <c r="S54" s="833"/>
      <c r="T54" s="833"/>
      <c r="U54" s="833"/>
      <c r="V54" s="1057"/>
      <c r="W54" s="1057"/>
      <c r="X54" s="1057"/>
      <c r="Y54" s="1057"/>
      <c r="Z54" s="1057"/>
      <c r="AA54" s="1057"/>
      <c r="AB54" s="1057"/>
      <c r="AC54" s="1057"/>
      <c r="AD54" s="1057"/>
      <c r="AE54" s="1057"/>
      <c r="AF54" s="1057"/>
      <c r="AG54" s="1057"/>
      <c r="AH54" s="1057"/>
      <c r="AI54" s="1057"/>
      <c r="AJ54" s="1057"/>
      <c r="AK54" s="1057"/>
      <c r="AL54" s="1057"/>
      <c r="AM54" s="1057"/>
      <c r="AN54" s="315"/>
      <c r="AP54" s="371"/>
      <c r="AQ54" s="372"/>
      <c r="AR54" s="372"/>
      <c r="AS54" s="372"/>
      <c r="AT54" s="372"/>
      <c r="AU54" s="372"/>
      <c r="AV54" s="372"/>
      <c r="AW54" s="373"/>
      <c r="AX54" s="373"/>
      <c r="AY54" s="373"/>
      <c r="AZ54" s="374"/>
      <c r="BA54" s="372"/>
      <c r="BB54" s="372"/>
      <c r="BC54" s="372"/>
      <c r="BD54" s="372"/>
      <c r="BE54" s="375"/>
      <c r="BF54" s="375"/>
      <c r="BG54" s="375"/>
      <c r="BH54" s="375"/>
      <c r="BI54" s="375"/>
      <c r="BJ54" s="375"/>
    </row>
    <row r="55" spans="3:83" s="300" customFormat="1" ht="15.95" hidden="1" customHeight="1">
      <c r="C55" s="809"/>
      <c r="D55" s="2245" t="s">
        <v>1820</v>
      </c>
      <c r="E55" s="2246"/>
      <c r="F55" s="2246"/>
      <c r="G55" s="2246"/>
      <c r="H55" s="2246"/>
      <c r="I55" s="2246"/>
      <c r="J55" s="2246"/>
      <c r="K55" s="2246"/>
      <c r="L55" s="2246"/>
      <c r="M55" s="2246"/>
      <c r="N55" s="2246"/>
      <c r="O55" s="2246"/>
      <c r="P55" s="2246"/>
      <c r="Q55" s="2246"/>
      <c r="R55" s="2246"/>
      <c r="S55" s="2246"/>
      <c r="T55" s="2246"/>
      <c r="U55" s="2246"/>
      <c r="V55" s="2246"/>
      <c r="W55" s="304"/>
      <c r="AN55" s="315"/>
      <c r="AP55" s="371"/>
      <c r="AQ55" s="372"/>
      <c r="AR55" s="372"/>
      <c r="AS55" s="372"/>
      <c r="AT55" s="372"/>
      <c r="AU55" s="372"/>
      <c r="AV55" s="372"/>
      <c r="AW55" s="373"/>
      <c r="AX55" s="373"/>
      <c r="AY55" s="373"/>
      <c r="AZ55" s="374"/>
      <c r="BA55" s="372"/>
    </row>
    <row r="56" spans="3:83" s="300" customFormat="1" ht="6" hidden="1" customHeight="1">
      <c r="C56" s="809"/>
      <c r="D56" s="1037"/>
      <c r="V56" s="379"/>
      <c r="AN56" s="315"/>
      <c r="AP56" s="371"/>
      <c r="AQ56" s="372"/>
      <c r="AR56" s="372"/>
      <c r="AS56" s="372"/>
      <c r="AT56" s="372"/>
      <c r="AU56" s="372"/>
      <c r="AV56" s="372"/>
      <c r="AW56" s="373"/>
      <c r="AX56" s="373"/>
      <c r="AY56" s="373"/>
      <c r="AZ56" s="374"/>
      <c r="BA56" s="372"/>
    </row>
    <row r="57" spans="3:83" s="300" customFormat="1" ht="15.95" hidden="1" customHeight="1">
      <c r="C57" s="836"/>
      <c r="D57" s="837"/>
      <c r="E57" s="304"/>
      <c r="F57" s="376" t="s">
        <v>1770</v>
      </c>
      <c r="G57" s="301" t="s">
        <v>1819</v>
      </c>
      <c r="H57" s="301"/>
      <c r="I57" s="301"/>
      <c r="J57" s="304"/>
      <c r="K57" s="304"/>
      <c r="L57" s="304"/>
      <c r="O57" s="377" t="s">
        <v>5</v>
      </c>
      <c r="P57" s="2247" t="e">
        <f>#REF!</f>
        <v>#REF!</v>
      </c>
      <c r="Q57" s="2247"/>
      <c r="R57" s="2247"/>
      <c r="S57" s="2247"/>
      <c r="T57" s="2247"/>
      <c r="U57" s="2247"/>
      <c r="V57" s="2248"/>
      <c r="AN57" s="315"/>
      <c r="AP57" s="371"/>
      <c r="AQ57" s="372"/>
      <c r="AR57" s="372"/>
      <c r="AS57" s="372"/>
      <c r="AT57" s="372"/>
      <c r="AU57" s="372"/>
      <c r="AV57" s="372"/>
      <c r="AW57" s="373"/>
      <c r="AX57" s="373"/>
      <c r="AY57" s="373"/>
      <c r="AZ57" s="374"/>
      <c r="BA57" s="372"/>
    </row>
    <row r="58" spans="3:83" s="300" customFormat="1" ht="15.95" hidden="1" customHeight="1">
      <c r="C58" s="836"/>
      <c r="D58" s="837"/>
      <c r="E58" s="304"/>
      <c r="F58" s="376" t="s">
        <v>1770</v>
      </c>
      <c r="G58" s="301" t="e">
        <f>#REF!</f>
        <v>#REF!</v>
      </c>
      <c r="H58" s="304"/>
      <c r="I58" s="301"/>
      <c r="J58" s="304"/>
      <c r="K58" s="304"/>
      <c r="L58" s="304"/>
      <c r="O58" s="377" t="s">
        <v>5</v>
      </c>
      <c r="P58" s="2247" t="e">
        <f>#REF!</f>
        <v>#REF!</v>
      </c>
      <c r="Q58" s="2247"/>
      <c r="R58" s="2247"/>
      <c r="S58" s="2247"/>
      <c r="T58" s="2247"/>
      <c r="U58" s="2247"/>
      <c r="V58" s="2248"/>
      <c r="AN58" s="315"/>
      <c r="AP58" s="371"/>
      <c r="AQ58" s="372"/>
      <c r="AR58" s="372"/>
      <c r="AS58" s="372"/>
      <c r="AT58" s="372"/>
      <c r="AU58" s="372"/>
      <c r="AV58" s="372"/>
      <c r="AW58" s="373"/>
      <c r="AX58" s="373"/>
      <c r="AY58" s="373"/>
      <c r="AZ58" s="374"/>
      <c r="BA58" s="372"/>
    </row>
    <row r="59" spans="3:83" s="300" customFormat="1" ht="6" hidden="1" customHeight="1">
      <c r="C59" s="809"/>
      <c r="D59" s="1052"/>
      <c r="E59" s="334"/>
      <c r="F59" s="336"/>
      <c r="G59" s="336"/>
      <c r="H59" s="336"/>
      <c r="I59" s="336"/>
      <c r="J59" s="336"/>
      <c r="K59" s="336"/>
      <c r="L59" s="336"/>
      <c r="M59" s="336"/>
      <c r="N59" s="336"/>
      <c r="O59" s="336"/>
      <c r="P59" s="336"/>
      <c r="Q59" s="336"/>
      <c r="R59" s="336"/>
      <c r="S59" s="336"/>
      <c r="T59" s="336"/>
      <c r="U59" s="336"/>
      <c r="V59" s="1053"/>
      <c r="W59" s="304"/>
      <c r="AN59" s="315"/>
      <c r="AP59" s="371"/>
      <c r="AQ59" s="372"/>
      <c r="AR59" s="372"/>
      <c r="AS59" s="372"/>
      <c r="AT59" s="372"/>
      <c r="AU59" s="372"/>
      <c r="AV59" s="372"/>
      <c r="AW59" s="373"/>
      <c r="AX59" s="373"/>
      <c r="AY59" s="373"/>
      <c r="AZ59" s="374"/>
      <c r="BA59" s="372"/>
    </row>
    <row r="60" spans="3:83" s="300" customFormat="1" ht="6" customHeight="1">
      <c r="C60" s="332"/>
      <c r="D60" s="336"/>
      <c r="E60" s="336"/>
      <c r="F60" s="336"/>
      <c r="G60" s="336"/>
      <c r="H60" s="336"/>
      <c r="I60" s="336"/>
      <c r="J60" s="336"/>
      <c r="K60" s="336"/>
      <c r="L60" s="336"/>
      <c r="M60" s="336"/>
      <c r="N60" s="336"/>
      <c r="O60" s="336"/>
      <c r="P60" s="336"/>
      <c r="Q60" s="336"/>
      <c r="R60" s="336"/>
      <c r="S60" s="336"/>
      <c r="T60" s="336"/>
      <c r="U60" s="336"/>
      <c r="V60" s="336"/>
      <c r="W60" s="336"/>
      <c r="X60" s="336"/>
      <c r="Y60" s="336"/>
      <c r="Z60" s="336"/>
      <c r="AA60" s="336"/>
      <c r="AB60" s="336"/>
      <c r="AC60" s="336"/>
      <c r="AD60" s="336"/>
      <c r="AE60" s="336"/>
      <c r="AF60" s="336"/>
      <c r="AG60" s="336"/>
      <c r="AH60" s="336"/>
      <c r="AI60" s="336"/>
      <c r="AJ60" s="336"/>
      <c r="AK60" s="336"/>
      <c r="AL60" s="336"/>
      <c r="AM60" s="336"/>
      <c r="AN60" s="337"/>
    </row>
    <row r="61" spans="3:83" s="342" customFormat="1" ht="6" customHeight="1"/>
    <row r="62" spans="3:83" s="342" customFormat="1" ht="18" customHeight="1">
      <c r="C62" s="2054" t="s">
        <v>1821</v>
      </c>
      <c r="D62" s="2055"/>
      <c r="E62" s="2055"/>
      <c r="F62" s="2055"/>
      <c r="G62" s="2055"/>
      <c r="H62" s="2055"/>
      <c r="I62" s="2055"/>
      <c r="J62" s="2055"/>
      <c r="K62" s="2055"/>
      <c r="L62" s="2055"/>
      <c r="M62" s="2055"/>
      <c r="N62" s="2055"/>
      <c r="O62" s="2055"/>
      <c r="P62" s="2055"/>
      <c r="Q62" s="2055"/>
      <c r="R62" s="2055"/>
      <c r="S62" s="2055"/>
      <c r="T62" s="2055"/>
      <c r="U62" s="2055"/>
      <c r="V62" s="2055"/>
      <c r="W62" s="2055"/>
      <c r="X62" s="2055"/>
      <c r="Y62" s="2055"/>
      <c r="Z62" s="2055"/>
      <c r="AA62" s="2055"/>
      <c r="AB62" s="2055"/>
      <c r="AC62" s="2055"/>
      <c r="AD62" s="2055"/>
      <c r="AE62" s="2055"/>
      <c r="AF62" s="2055"/>
      <c r="AG62" s="2055"/>
      <c r="AH62" s="2055"/>
      <c r="AI62" s="2055"/>
      <c r="AJ62" s="2055"/>
      <c r="AK62" s="2055"/>
      <c r="AL62" s="2055"/>
      <c r="AM62" s="2055"/>
      <c r="AN62" s="2056"/>
      <c r="AO62" s="1071"/>
      <c r="BE62" s="375"/>
    </row>
    <row r="63" spans="3:83" s="342" customFormat="1" ht="5.25" customHeight="1">
      <c r="C63" s="809"/>
      <c r="D63" s="302"/>
      <c r="E63" s="302"/>
      <c r="F63" s="302"/>
      <c r="G63" s="300"/>
      <c r="H63" s="300"/>
      <c r="I63" s="302"/>
      <c r="J63" s="302"/>
      <c r="K63" s="312"/>
      <c r="L63" s="300"/>
      <c r="M63" s="300"/>
      <c r="N63" s="300"/>
      <c r="O63" s="300"/>
      <c r="P63" s="314"/>
      <c r="Q63" s="311"/>
      <c r="R63" s="302"/>
      <c r="S63" s="302"/>
      <c r="T63" s="302"/>
      <c r="U63" s="302"/>
      <c r="V63" s="300"/>
      <c r="W63" s="300"/>
      <c r="X63" s="312"/>
      <c r="Y63" s="300"/>
      <c r="Z63" s="311"/>
      <c r="AA63" s="311"/>
      <c r="AB63" s="311"/>
      <c r="AC63" s="311"/>
      <c r="AD63" s="311"/>
      <c r="AE63" s="311"/>
      <c r="AF63" s="311"/>
      <c r="AG63" s="311"/>
      <c r="AH63" s="311"/>
      <c r="AI63" s="311"/>
      <c r="AJ63" s="311"/>
      <c r="AK63" s="311"/>
      <c r="AL63" s="311"/>
      <c r="AM63" s="311"/>
      <c r="AN63" s="347"/>
      <c r="AO63" s="311"/>
    </row>
    <row r="64" spans="3:83" s="342" customFormat="1" ht="25.5" customHeight="1">
      <c r="C64" s="839" t="s">
        <v>1822</v>
      </c>
      <c r="D64" s="2244" t="s">
        <v>2439</v>
      </c>
      <c r="E64" s="2244"/>
      <c r="F64" s="2244"/>
      <c r="G64" s="2244"/>
      <c r="H64" s="2244"/>
      <c r="I64" s="2244"/>
      <c r="J64" s="2244"/>
      <c r="K64" s="2244"/>
      <c r="L64" s="2244"/>
      <c r="M64" s="2244"/>
      <c r="N64" s="2244"/>
      <c r="O64" s="2244"/>
      <c r="P64" s="2244"/>
      <c r="Q64" s="2244"/>
      <c r="R64" s="2244"/>
      <c r="S64" s="2244"/>
      <c r="T64" s="2244"/>
      <c r="U64" s="2244"/>
      <c r="V64" s="2244"/>
      <c r="W64" s="2244"/>
      <c r="X64" s="2244"/>
      <c r="Y64" s="2244"/>
      <c r="Z64" s="2244"/>
      <c r="AA64" s="2244"/>
      <c r="AB64" s="2244"/>
      <c r="AC64" s="2244"/>
      <c r="AD64" s="2244"/>
      <c r="AE64" s="2244"/>
      <c r="AF64" s="2244"/>
      <c r="AG64" s="2244"/>
      <c r="AH64" s="2244"/>
      <c r="AI64" s="2244"/>
      <c r="AJ64" s="2244"/>
      <c r="AK64" s="2244"/>
      <c r="AL64" s="2244"/>
      <c r="AM64" s="2244"/>
      <c r="AN64" s="347"/>
      <c r="AO64" s="311"/>
      <c r="BE64" s="375"/>
    </row>
    <row r="65" spans="2:65" s="342" customFormat="1" ht="25.5" customHeight="1">
      <c r="C65" s="839">
        <v>2</v>
      </c>
      <c r="D65" s="2053"/>
      <c r="E65" s="2053"/>
      <c r="F65" s="2053"/>
      <c r="G65" s="2053"/>
      <c r="H65" s="2053"/>
      <c r="I65" s="2053"/>
      <c r="J65" s="2053"/>
      <c r="K65" s="2053"/>
      <c r="L65" s="2053"/>
      <c r="M65" s="2053"/>
      <c r="N65" s="2053"/>
      <c r="O65" s="2053"/>
      <c r="P65" s="2053"/>
      <c r="Q65" s="2053"/>
      <c r="R65" s="2053"/>
      <c r="S65" s="2053"/>
      <c r="T65" s="2053"/>
      <c r="U65" s="2053"/>
      <c r="V65" s="2053"/>
      <c r="W65" s="2053"/>
      <c r="X65" s="2053"/>
      <c r="Y65" s="2053"/>
      <c r="Z65" s="2053"/>
      <c r="AA65" s="2053"/>
      <c r="AB65" s="2053"/>
      <c r="AC65" s="2053"/>
      <c r="AD65" s="2053"/>
      <c r="AE65" s="2053"/>
      <c r="AF65" s="2053"/>
      <c r="AG65" s="2053"/>
      <c r="AH65" s="2053"/>
      <c r="AI65" s="2053"/>
      <c r="AJ65" s="2053"/>
      <c r="AK65" s="2053"/>
      <c r="AL65" s="2053"/>
      <c r="AM65" s="2053"/>
      <c r="AN65" s="347"/>
      <c r="AO65" s="311"/>
      <c r="BE65" s="375"/>
    </row>
    <row r="66" spans="2:65" s="342" customFormat="1" ht="5.25" customHeight="1">
      <c r="C66" s="332"/>
      <c r="D66" s="381"/>
      <c r="E66" s="381"/>
      <c r="F66" s="381"/>
      <c r="G66" s="336"/>
      <c r="H66" s="336"/>
      <c r="I66" s="336"/>
      <c r="J66" s="336"/>
      <c r="K66" s="336"/>
      <c r="L66" s="336"/>
      <c r="M66" s="336"/>
      <c r="N66" s="336"/>
      <c r="O66" s="336"/>
      <c r="P66" s="336"/>
      <c r="Q66" s="336"/>
      <c r="R66" s="336"/>
      <c r="S66" s="336"/>
      <c r="T66" s="336"/>
      <c r="U66" s="336"/>
      <c r="V66" s="336"/>
      <c r="W66" s="336"/>
      <c r="X66" s="336"/>
      <c r="Y66" s="336"/>
      <c r="Z66" s="363"/>
      <c r="AA66" s="363"/>
      <c r="AB66" s="363"/>
      <c r="AC66" s="363"/>
      <c r="AD66" s="363"/>
      <c r="AE66" s="363"/>
      <c r="AF66" s="363"/>
      <c r="AG66" s="363"/>
      <c r="AH66" s="363"/>
      <c r="AI66" s="363"/>
      <c r="AJ66" s="363"/>
      <c r="AK66" s="363"/>
      <c r="AL66" s="363"/>
      <c r="AM66" s="363"/>
      <c r="AN66" s="364"/>
      <c r="AO66" s="311"/>
    </row>
    <row r="67" spans="2:65" ht="24.75" customHeight="1">
      <c r="C67" s="299"/>
      <c r="AD67" s="318"/>
      <c r="AE67" s="318"/>
      <c r="AF67" s="318"/>
      <c r="AG67" s="318"/>
      <c r="AH67" s="318"/>
      <c r="AI67" s="318"/>
      <c r="AL67" s="382"/>
      <c r="AM67" s="382"/>
      <c r="AN67" s="382"/>
      <c r="AO67" s="382"/>
      <c r="AP67" s="299"/>
      <c r="AQ67" s="299"/>
      <c r="AR67" s="299"/>
      <c r="AS67" s="299"/>
      <c r="AT67" s="299"/>
      <c r="AU67" s="299"/>
      <c r="AV67" s="299"/>
      <c r="AW67" s="299"/>
      <c r="AX67" s="299"/>
      <c r="AY67" s="299"/>
      <c r="AZ67" s="299"/>
      <c r="BA67" s="299"/>
      <c r="BB67" s="299"/>
      <c r="BC67" s="299"/>
    </row>
    <row r="68" spans="2:65" ht="15.75" customHeight="1" thickBot="1">
      <c r="C68" s="299"/>
      <c r="AD68" s="318"/>
      <c r="AE68" s="318"/>
      <c r="AF68" s="318"/>
      <c r="AG68" s="318"/>
      <c r="AH68" s="318"/>
      <c r="AI68" s="318"/>
      <c r="AL68" s="382"/>
      <c r="AM68" s="382"/>
      <c r="AN68" s="382"/>
      <c r="AO68" s="382"/>
      <c r="AP68" s="299"/>
      <c r="AQ68" s="299"/>
      <c r="AR68" s="299"/>
      <c r="AS68" s="299"/>
      <c r="AT68" s="299"/>
      <c r="AU68" s="299"/>
      <c r="AV68" s="299"/>
      <c r="AW68" s="299"/>
      <c r="AX68" s="299"/>
      <c r="AY68" s="299"/>
      <c r="AZ68" s="299"/>
      <c r="BA68" s="299"/>
      <c r="BB68" s="299"/>
      <c r="BC68" s="299"/>
    </row>
    <row r="69" spans="2:65" s="388" customFormat="1" ht="10.5" customHeight="1" thickBot="1">
      <c r="B69" s="383"/>
      <c r="C69" s="383"/>
      <c r="D69" s="383"/>
      <c r="E69" s="383"/>
      <c r="F69" s="383"/>
      <c r="G69" s="383"/>
      <c r="H69" s="383"/>
      <c r="I69" s="383"/>
      <c r="J69" s="383"/>
      <c r="K69" s="383"/>
      <c r="L69" s="383"/>
      <c r="M69" s="383"/>
      <c r="N69" s="383"/>
      <c r="O69" s="383"/>
      <c r="P69" s="383"/>
      <c r="Q69" s="383"/>
      <c r="R69" s="383"/>
      <c r="S69" s="383"/>
      <c r="T69" s="383"/>
      <c r="U69" s="383"/>
      <c r="V69" s="383"/>
      <c r="W69" s="383"/>
      <c r="X69" s="383"/>
      <c r="Y69" s="383"/>
      <c r="Z69" s="383"/>
      <c r="AA69" s="383"/>
      <c r="AB69" s="383"/>
      <c r="AC69" s="383"/>
      <c r="AD69" s="383"/>
      <c r="AE69" s="383"/>
      <c r="AF69" s="383"/>
      <c r="AG69" s="383"/>
      <c r="AH69" s="383"/>
      <c r="AI69" s="383"/>
      <c r="AJ69" s="384"/>
      <c r="AK69" s="384"/>
      <c r="AL69" s="384"/>
      <c r="AM69" s="385"/>
      <c r="AN69" s="384" t="str">
        <f>CONCATENATE("Hal - ",AP69,"  dari  ",AS69)</f>
        <v>Hal - 6  dari  10</v>
      </c>
      <c r="AO69" s="384"/>
      <c r="AP69" s="1881">
        <f>+Tnh!AP157+1</f>
        <v>6</v>
      </c>
      <c r="AQ69" s="1882"/>
      <c r="AR69" s="387" t="s">
        <v>3</v>
      </c>
      <c r="AS69" s="1881">
        <f>'Surat-01'!$AW$55</f>
        <v>10</v>
      </c>
      <c r="AT69" s="1882"/>
    </row>
    <row r="70" spans="2:65" ht="14.1" customHeight="1">
      <c r="C70" s="299"/>
      <c r="AC70" s="318"/>
      <c r="AD70" s="318"/>
      <c r="AE70" s="318"/>
      <c r="AF70" s="318"/>
      <c r="AG70" s="318"/>
      <c r="AH70" s="318"/>
      <c r="AI70" s="318"/>
      <c r="AJ70" s="318"/>
      <c r="AK70" s="382"/>
      <c r="AL70" s="382"/>
      <c r="AM70" s="382"/>
      <c r="AN70" s="382"/>
      <c r="AO70" s="382"/>
      <c r="AP70" s="299"/>
      <c r="AQ70" s="299"/>
      <c r="AR70" s="299"/>
      <c r="AS70" s="299"/>
      <c r="AT70" s="299"/>
      <c r="AU70" s="299"/>
      <c r="AV70" s="299"/>
      <c r="AW70" s="299"/>
      <c r="AX70" s="299"/>
      <c r="AY70" s="299"/>
      <c r="AZ70" s="299"/>
      <c r="BA70" s="299"/>
      <c r="BB70" s="299"/>
      <c r="BC70" s="299"/>
    </row>
    <row r="71" spans="2:65" ht="14.1" customHeight="1">
      <c r="C71" s="299"/>
      <c r="R71" s="389"/>
      <c r="S71" s="389"/>
      <c r="AP71" s="299"/>
      <c r="AQ71" s="299"/>
      <c r="AR71" s="299"/>
      <c r="AS71" s="299"/>
      <c r="AT71" s="299"/>
      <c r="AU71" s="299"/>
      <c r="AV71" s="299"/>
      <c r="AW71" s="299"/>
      <c r="AX71" s="299"/>
      <c r="AY71" s="299"/>
      <c r="AZ71" s="299"/>
      <c r="BA71" s="299"/>
      <c r="BB71" s="299"/>
      <c r="BC71" s="299"/>
    </row>
    <row r="72" spans="2:65" ht="14.1" customHeight="1">
      <c r="C72" s="299"/>
      <c r="AP72" s="299"/>
      <c r="AQ72" s="299"/>
      <c r="AR72" s="299"/>
      <c r="AS72" s="299"/>
      <c r="AT72" s="299"/>
      <c r="AU72" s="299"/>
      <c r="AV72" s="299"/>
      <c r="AW72" s="299"/>
      <c r="AX72" s="299"/>
      <c r="AY72" s="299"/>
      <c r="AZ72" s="299"/>
      <c r="BA72" s="299"/>
      <c r="BB72" s="299"/>
      <c r="BC72" s="299"/>
    </row>
    <row r="73" spans="2:65" ht="12.95" customHeight="1">
      <c r="C73" s="390"/>
      <c r="D73" s="390"/>
      <c r="E73" s="390"/>
      <c r="F73" s="390"/>
      <c r="G73" s="390"/>
      <c r="H73" s="390"/>
      <c r="I73" s="390"/>
      <c r="J73" s="390"/>
      <c r="K73" s="390"/>
      <c r="L73" s="390"/>
      <c r="M73" s="390"/>
      <c r="N73" s="390"/>
      <c r="O73" s="390"/>
      <c r="P73" s="390"/>
      <c r="Q73" s="390"/>
      <c r="R73" s="390"/>
      <c r="S73" s="390"/>
      <c r="T73" s="390"/>
      <c r="U73" s="390"/>
      <c r="V73" s="390"/>
      <c r="W73" s="390"/>
      <c r="X73" s="390"/>
      <c r="AP73" s="299"/>
      <c r="AQ73" s="299"/>
      <c r="AR73" s="299"/>
      <c r="AS73" s="299"/>
      <c r="AT73" s="299"/>
      <c r="AU73" s="299"/>
      <c r="AV73" s="299"/>
      <c r="AW73" s="299"/>
      <c r="AX73" s="299"/>
      <c r="AY73" s="299"/>
      <c r="AZ73" s="299"/>
      <c r="BA73" s="299"/>
      <c r="BB73" s="299"/>
      <c r="BC73" s="299"/>
    </row>
    <row r="74" spans="2:65" ht="12.95" hidden="1" customHeight="1">
      <c r="C74" s="391"/>
      <c r="D74" s="392"/>
      <c r="E74" s="392"/>
      <c r="F74" s="392"/>
      <c r="G74" s="392"/>
      <c r="H74" s="392"/>
      <c r="I74" s="392"/>
      <c r="J74" s="392"/>
      <c r="K74" s="392"/>
      <c r="L74" s="392"/>
      <c r="M74" s="392"/>
      <c r="N74" s="391"/>
      <c r="O74" s="392"/>
      <c r="P74" s="392"/>
      <c r="Q74" s="392"/>
      <c r="R74" s="392"/>
      <c r="S74" s="392"/>
      <c r="T74" s="392"/>
      <c r="U74" s="392"/>
      <c r="V74" s="392"/>
      <c r="W74" s="392"/>
      <c r="X74" s="391"/>
      <c r="AP74" s="342"/>
      <c r="AQ74" s="342"/>
      <c r="AR74" s="342"/>
      <c r="AS74" s="342"/>
      <c r="AT74" s="342"/>
      <c r="AU74" s="342"/>
      <c r="AV74" s="342"/>
      <c r="AW74" s="342"/>
      <c r="AX74" s="342"/>
      <c r="AY74" s="342"/>
      <c r="AZ74" s="342"/>
      <c r="BA74" s="342"/>
      <c r="BB74" s="342"/>
      <c r="BC74" s="342"/>
      <c r="BD74" s="342"/>
      <c r="BE74" s="342"/>
      <c r="BF74" s="342"/>
      <c r="BG74" s="342"/>
      <c r="BH74" s="342"/>
      <c r="BI74" s="342"/>
      <c r="BJ74" s="342"/>
      <c r="BK74" s="342"/>
      <c r="BL74" s="342"/>
      <c r="BM74" s="342"/>
    </row>
    <row r="75" spans="2:65" s="393" customFormat="1" ht="12" hidden="1" customHeight="1">
      <c r="D75" s="395" t="s">
        <v>1824</v>
      </c>
      <c r="E75" s="395"/>
      <c r="F75" s="396" t="s">
        <v>1825</v>
      </c>
      <c r="G75" s="397"/>
      <c r="H75" s="397"/>
      <c r="I75" s="397"/>
      <c r="J75" s="397"/>
      <c r="K75" s="397"/>
      <c r="L75" s="397"/>
      <c r="M75" s="396" t="s">
        <v>1825</v>
      </c>
      <c r="N75" s="394"/>
      <c r="R75" s="395" t="s">
        <v>1824</v>
      </c>
      <c r="S75" s="396" t="s">
        <v>1826</v>
      </c>
      <c r="T75" s="397"/>
      <c r="W75" s="397"/>
      <c r="X75" s="394"/>
      <c r="AA75" s="394" t="str">
        <f>+VLOOKUP(N9,F76:M127,8,FALSE)</f>
        <v>Rumah Tinggal</v>
      </c>
      <c r="AC75" s="395"/>
      <c r="AD75" s="396"/>
      <c r="AK75" s="395"/>
      <c r="AL75" s="396"/>
    </row>
    <row r="76" spans="2:65" s="393" customFormat="1" ht="12" hidden="1" customHeight="1">
      <c r="C76" s="399"/>
      <c r="F76" s="400" t="s">
        <v>1827</v>
      </c>
      <c r="M76" s="400" t="s">
        <v>1827</v>
      </c>
      <c r="N76" s="399"/>
      <c r="S76" s="401" t="s">
        <v>1827</v>
      </c>
      <c r="X76" s="399"/>
      <c r="AD76" s="401"/>
      <c r="AL76" s="401"/>
    </row>
    <row r="77" spans="2:65" s="393" customFormat="1" ht="12" hidden="1" customHeight="1">
      <c r="C77" s="399"/>
      <c r="D77" s="402">
        <v>1</v>
      </c>
      <c r="E77" s="402"/>
      <c r="F77" s="393" t="s">
        <v>1206</v>
      </c>
      <c r="M77" s="1070" t="s">
        <v>1177</v>
      </c>
      <c r="N77" s="399"/>
      <c r="R77" s="402">
        <v>1</v>
      </c>
      <c r="S77" s="393" t="s">
        <v>1206</v>
      </c>
      <c r="X77" s="399"/>
      <c r="AC77" s="402"/>
      <c r="AD77" s="403"/>
      <c r="AK77" s="402"/>
      <c r="AL77" s="403"/>
    </row>
    <row r="78" spans="2:65" s="393" customFormat="1" ht="12" hidden="1" customHeight="1">
      <c r="C78" s="399"/>
      <c r="D78" s="402">
        <v>2</v>
      </c>
      <c r="E78" s="402"/>
      <c r="F78" s="393" t="s">
        <v>1247</v>
      </c>
      <c r="M78" s="1070" t="s">
        <v>2400</v>
      </c>
      <c r="N78" s="399"/>
      <c r="R78" s="402">
        <v>2</v>
      </c>
      <c r="S78" s="393" t="s">
        <v>1207</v>
      </c>
      <c r="X78" s="399"/>
      <c r="AC78" s="402"/>
      <c r="AD78" s="403"/>
      <c r="AK78" s="402"/>
      <c r="AL78" s="403"/>
    </row>
    <row r="79" spans="2:65" s="393" customFormat="1" ht="12" hidden="1" customHeight="1">
      <c r="C79" s="399"/>
      <c r="D79" s="402">
        <v>3</v>
      </c>
      <c r="E79" s="402"/>
      <c r="F79" s="393" t="s">
        <v>1248</v>
      </c>
      <c r="M79" s="1070" t="s">
        <v>2401</v>
      </c>
      <c r="N79" s="399"/>
      <c r="R79" s="402">
        <v>3</v>
      </c>
      <c r="S79" s="393" t="s">
        <v>1208</v>
      </c>
      <c r="X79" s="399"/>
      <c r="AC79" s="402"/>
      <c r="AD79" s="403"/>
      <c r="AK79" s="402"/>
      <c r="AL79" s="403"/>
      <c r="AV79" s="342"/>
      <c r="AW79" s="342"/>
      <c r="AX79" s="342"/>
      <c r="AY79" s="342"/>
      <c r="AZ79" s="342"/>
      <c r="BA79" s="342"/>
      <c r="BB79" s="342"/>
      <c r="BC79" s="342"/>
      <c r="BD79" s="342"/>
      <c r="BE79" s="342"/>
      <c r="BF79" s="342"/>
      <c r="BG79" s="342"/>
      <c r="BH79" s="342"/>
      <c r="BI79" s="342"/>
      <c r="BJ79" s="342"/>
      <c r="BK79" s="342"/>
      <c r="BL79" s="342"/>
      <c r="BM79" s="342"/>
    </row>
    <row r="80" spans="2:65" s="393" customFormat="1" ht="12" hidden="1" customHeight="1">
      <c r="C80" s="399"/>
      <c r="D80" s="402">
        <v>4</v>
      </c>
      <c r="E80" s="402"/>
      <c r="F80" s="393" t="s">
        <v>1207</v>
      </c>
      <c r="M80" s="1070" t="s">
        <v>1244</v>
      </c>
      <c r="N80" s="399"/>
      <c r="R80" s="402">
        <v>4</v>
      </c>
      <c r="S80" s="393" t="s">
        <v>1209</v>
      </c>
      <c r="X80" s="399"/>
      <c r="AC80" s="402"/>
      <c r="AD80" s="403"/>
      <c r="AK80" s="402"/>
      <c r="AL80" s="403"/>
      <c r="AP80" s="398"/>
      <c r="AQ80" s="398"/>
      <c r="AR80" s="398"/>
      <c r="AS80" s="398"/>
      <c r="AT80" s="398"/>
      <c r="AU80" s="398"/>
      <c r="AV80" s="398"/>
      <c r="AW80" s="398"/>
      <c r="AX80" s="398"/>
      <c r="AY80" s="398"/>
      <c r="AZ80" s="398"/>
      <c r="BA80" s="398"/>
      <c r="BB80" s="398"/>
      <c r="BC80" s="398"/>
    </row>
    <row r="81" spans="3:55" s="393" customFormat="1" ht="12" hidden="1" customHeight="1">
      <c r="C81" s="399"/>
      <c r="D81" s="402">
        <v>5</v>
      </c>
      <c r="E81" s="402"/>
      <c r="F81" s="393" t="s">
        <v>1249</v>
      </c>
      <c r="M81" s="1070" t="s">
        <v>2402</v>
      </c>
      <c r="N81" s="399"/>
      <c r="R81" s="402">
        <v>5</v>
      </c>
      <c r="S81" s="393" t="s">
        <v>1210</v>
      </c>
      <c r="X81" s="399"/>
      <c r="AC81" s="402"/>
      <c r="AD81" s="403"/>
      <c r="AK81" s="402"/>
      <c r="AL81" s="403"/>
      <c r="AP81" s="398"/>
      <c r="AQ81" s="398"/>
      <c r="AR81" s="398"/>
      <c r="AS81" s="398"/>
      <c r="AT81" s="398"/>
      <c r="AU81" s="398"/>
      <c r="AV81" s="398"/>
      <c r="AW81" s="398"/>
      <c r="AX81" s="398"/>
      <c r="AY81" s="398"/>
      <c r="AZ81" s="398"/>
      <c r="BA81" s="398"/>
      <c r="BB81" s="398"/>
      <c r="BC81" s="398"/>
    </row>
    <row r="82" spans="3:55" s="404" customFormat="1" ht="12" hidden="1" customHeight="1">
      <c r="C82" s="399"/>
      <c r="D82" s="402">
        <v>6</v>
      </c>
      <c r="E82" s="402"/>
      <c r="F82" s="393" t="s">
        <v>1250</v>
      </c>
      <c r="G82" s="393"/>
      <c r="H82" s="393"/>
      <c r="I82" s="393"/>
      <c r="J82" s="393"/>
      <c r="K82" s="393"/>
      <c r="L82" s="393"/>
      <c r="M82" s="1070" t="s">
        <v>2403</v>
      </c>
      <c r="N82" s="399"/>
      <c r="R82" s="402">
        <v>6</v>
      </c>
      <c r="S82" s="393" t="s">
        <v>1211</v>
      </c>
      <c r="T82" s="393"/>
      <c r="W82" s="393"/>
      <c r="X82" s="399"/>
      <c r="AC82" s="402"/>
      <c r="AD82" s="403"/>
      <c r="AK82" s="402"/>
      <c r="AL82" s="403"/>
      <c r="AP82" s="405"/>
      <c r="AQ82" s="405"/>
      <c r="AR82" s="405"/>
      <c r="AS82" s="405"/>
      <c r="AT82" s="405"/>
      <c r="AU82" s="405"/>
      <c r="AV82" s="405"/>
      <c r="AW82" s="405"/>
      <c r="AX82" s="405"/>
      <c r="AY82" s="405"/>
      <c r="AZ82" s="405"/>
      <c r="BA82" s="405"/>
      <c r="BB82" s="405"/>
      <c r="BC82" s="405"/>
    </row>
    <row r="83" spans="3:55" s="393" customFormat="1" ht="12" hidden="1" customHeight="1">
      <c r="C83" s="399"/>
      <c r="D83" s="402">
        <v>7</v>
      </c>
      <c r="E83" s="402"/>
      <c r="F83" s="393" t="s">
        <v>1209</v>
      </c>
      <c r="M83" s="1070" t="s">
        <v>1975</v>
      </c>
      <c r="N83" s="399"/>
      <c r="R83" s="402">
        <v>7</v>
      </c>
      <c r="S83" s="393" t="s">
        <v>1212</v>
      </c>
      <c r="X83" s="399"/>
      <c r="AC83" s="402"/>
      <c r="AD83" s="403"/>
      <c r="AK83" s="402"/>
      <c r="AL83" s="403"/>
      <c r="AP83" s="398"/>
      <c r="AQ83" s="398"/>
      <c r="AR83" s="398"/>
      <c r="AS83" s="398"/>
      <c r="AT83" s="398"/>
      <c r="AU83" s="398"/>
      <c r="AV83" s="398"/>
      <c r="AW83" s="398"/>
      <c r="AX83" s="398"/>
      <c r="AY83" s="398"/>
      <c r="AZ83" s="398"/>
      <c r="BA83" s="398"/>
      <c r="BB83" s="398"/>
      <c r="BC83" s="398"/>
    </row>
    <row r="84" spans="3:55" s="393" customFormat="1" ht="12" hidden="1" customHeight="1">
      <c r="C84" s="399"/>
      <c r="D84" s="402">
        <v>8</v>
      </c>
      <c r="E84" s="402"/>
      <c r="F84" s="393" t="s">
        <v>1251</v>
      </c>
      <c r="M84" s="1070" t="s">
        <v>2404</v>
      </c>
      <c r="N84" s="399"/>
      <c r="R84" s="402">
        <v>8</v>
      </c>
      <c r="S84" s="393" t="s">
        <v>1213</v>
      </c>
      <c r="X84" s="399"/>
      <c r="AC84" s="402"/>
      <c r="AD84" s="403"/>
      <c r="AK84" s="402"/>
      <c r="AL84" s="403"/>
      <c r="AP84" s="398"/>
      <c r="AQ84" s="398"/>
      <c r="AR84" s="398"/>
      <c r="AS84" s="398"/>
      <c r="AT84" s="398"/>
      <c r="AU84" s="398"/>
      <c r="AV84" s="398"/>
      <c r="AW84" s="398"/>
      <c r="AX84" s="398"/>
      <c r="AY84" s="398"/>
      <c r="AZ84" s="398"/>
      <c r="BA84" s="398"/>
      <c r="BB84" s="398"/>
      <c r="BC84" s="398"/>
    </row>
    <row r="85" spans="3:55" s="393" customFormat="1" ht="12" hidden="1" customHeight="1">
      <c r="C85" s="399"/>
      <c r="D85" s="402">
        <v>9</v>
      </c>
      <c r="E85" s="402"/>
      <c r="F85" s="393" t="s">
        <v>1252</v>
      </c>
      <c r="M85" s="1070" t="s">
        <v>2405</v>
      </c>
      <c r="N85" s="399"/>
      <c r="R85" s="402">
        <v>9</v>
      </c>
      <c r="S85" s="403" t="s">
        <v>1214</v>
      </c>
      <c r="X85" s="399"/>
      <c r="AC85" s="402"/>
      <c r="AD85" s="403"/>
      <c r="AK85" s="402"/>
      <c r="AL85" s="403"/>
      <c r="AP85" s="398"/>
      <c r="AQ85" s="398"/>
      <c r="AR85" s="398"/>
      <c r="AS85" s="398"/>
      <c r="AT85" s="398"/>
      <c r="AU85" s="398"/>
      <c r="AV85" s="398"/>
      <c r="AW85" s="398"/>
      <c r="AX85" s="398"/>
      <c r="AY85" s="398"/>
      <c r="AZ85" s="398"/>
      <c r="BA85" s="398"/>
      <c r="BB85" s="398"/>
      <c r="BC85" s="398"/>
    </row>
    <row r="86" spans="3:55" s="393" customFormat="1" ht="12" hidden="1" customHeight="1">
      <c r="C86" s="399"/>
      <c r="D86" s="402">
        <v>10</v>
      </c>
      <c r="E86" s="402"/>
      <c r="F86" s="393" t="s">
        <v>1253</v>
      </c>
      <c r="M86" s="1070" t="s">
        <v>2406</v>
      </c>
      <c r="N86" s="399"/>
      <c r="R86" s="402">
        <v>10</v>
      </c>
      <c r="S86" s="393" t="s">
        <v>1215</v>
      </c>
      <c r="X86" s="399"/>
      <c r="AC86" s="402"/>
      <c r="AD86" s="403"/>
      <c r="AK86" s="402"/>
      <c r="AL86" s="403"/>
      <c r="AP86" s="398"/>
      <c r="AQ86" s="398"/>
      <c r="AR86" s="398"/>
      <c r="AS86" s="398"/>
      <c r="AT86" s="398"/>
      <c r="AU86" s="398"/>
      <c r="AV86" s="398"/>
      <c r="AW86" s="398"/>
      <c r="AX86" s="398"/>
      <c r="AY86" s="398"/>
      <c r="AZ86" s="398"/>
      <c r="BA86" s="398"/>
      <c r="BB86" s="398"/>
      <c r="BC86" s="398"/>
    </row>
    <row r="87" spans="3:55" s="393" customFormat="1" ht="12" hidden="1" customHeight="1">
      <c r="C87" s="399"/>
      <c r="D87" s="402">
        <v>11</v>
      </c>
      <c r="E87" s="402"/>
      <c r="F87" s="393" t="s">
        <v>1254</v>
      </c>
      <c r="M87" s="1070" t="s">
        <v>2407</v>
      </c>
      <c r="N87" s="399"/>
      <c r="R87" s="402">
        <v>11</v>
      </c>
      <c r="S87" s="393" t="s">
        <v>1216</v>
      </c>
      <c r="X87" s="399"/>
      <c r="AC87" s="402"/>
      <c r="AD87" s="403"/>
      <c r="AK87" s="402"/>
      <c r="AL87" s="403"/>
      <c r="AP87" s="398"/>
      <c r="AQ87" s="398"/>
      <c r="AR87" s="398"/>
      <c r="AS87" s="398"/>
      <c r="AT87" s="398"/>
      <c r="AU87" s="398"/>
      <c r="AV87" s="398"/>
      <c r="AW87" s="398"/>
      <c r="AX87" s="398"/>
      <c r="AY87" s="398"/>
      <c r="AZ87" s="398"/>
      <c r="BA87" s="398"/>
      <c r="BB87" s="398"/>
      <c r="BC87" s="398"/>
    </row>
    <row r="88" spans="3:55" s="393" customFormat="1" ht="12" hidden="1" customHeight="1">
      <c r="C88" s="399"/>
      <c r="D88" s="402">
        <v>12</v>
      </c>
      <c r="E88" s="402"/>
      <c r="F88" s="393" t="s">
        <v>1255</v>
      </c>
      <c r="M88" s="1070" t="s">
        <v>2408</v>
      </c>
      <c r="N88" s="399"/>
      <c r="R88" s="402">
        <v>12</v>
      </c>
      <c r="S88" s="393" t="s">
        <v>1217</v>
      </c>
      <c r="X88" s="399"/>
      <c r="AC88" s="402"/>
      <c r="AD88" s="403"/>
      <c r="AK88" s="402"/>
      <c r="AL88" s="403"/>
      <c r="AP88" s="398"/>
      <c r="AQ88" s="398"/>
      <c r="AR88" s="398"/>
      <c r="AS88" s="398"/>
      <c r="AT88" s="398"/>
      <c r="AU88" s="398"/>
      <c r="AV88" s="398"/>
      <c r="AW88" s="398"/>
      <c r="AX88" s="398"/>
      <c r="AY88" s="398"/>
      <c r="AZ88" s="398"/>
      <c r="BA88" s="398"/>
      <c r="BB88" s="398"/>
      <c r="BC88" s="398"/>
    </row>
    <row r="89" spans="3:55" s="393" customFormat="1" ht="12" hidden="1" customHeight="1">
      <c r="C89" s="399"/>
      <c r="D89" s="402">
        <v>13</v>
      </c>
      <c r="E89" s="402"/>
      <c r="F89" s="393" t="s">
        <v>1256</v>
      </c>
      <c r="M89" s="1070" t="s">
        <v>1198</v>
      </c>
      <c r="N89" s="399"/>
      <c r="R89" s="402">
        <v>13</v>
      </c>
      <c r="S89" s="393" t="s">
        <v>1218</v>
      </c>
      <c r="X89" s="399"/>
      <c r="AC89" s="402"/>
      <c r="AD89" s="403"/>
      <c r="AK89" s="402"/>
      <c r="AL89" s="403"/>
      <c r="AP89" s="398"/>
      <c r="AQ89" s="398"/>
      <c r="AR89" s="398"/>
      <c r="AS89" s="398"/>
      <c r="AT89" s="398"/>
      <c r="AU89" s="398"/>
      <c r="AV89" s="398"/>
      <c r="AW89" s="398"/>
      <c r="AX89" s="398"/>
      <c r="AY89" s="398"/>
      <c r="AZ89" s="398"/>
      <c r="BA89" s="398"/>
      <c r="BB89" s="398"/>
      <c r="BC89" s="398"/>
    </row>
    <row r="90" spans="3:55" s="393" customFormat="1" ht="12" hidden="1" customHeight="1">
      <c r="C90" s="399"/>
      <c r="D90" s="402">
        <v>14</v>
      </c>
      <c r="E90" s="402"/>
      <c r="F90" s="393" t="s">
        <v>1257</v>
      </c>
      <c r="M90" s="1070" t="s">
        <v>2409</v>
      </c>
      <c r="N90" s="399"/>
      <c r="R90" s="402">
        <v>14</v>
      </c>
      <c r="S90" s="393" t="s">
        <v>1219</v>
      </c>
      <c r="X90" s="399"/>
      <c r="AC90" s="402"/>
      <c r="AD90" s="403"/>
      <c r="AK90" s="402"/>
      <c r="AL90" s="403"/>
      <c r="AP90" s="398"/>
      <c r="AQ90" s="398"/>
      <c r="AR90" s="398"/>
      <c r="AS90" s="398"/>
      <c r="AT90" s="398"/>
      <c r="AU90" s="398"/>
      <c r="AV90" s="398"/>
      <c r="AW90" s="398"/>
      <c r="AX90" s="398"/>
      <c r="AY90" s="398"/>
      <c r="AZ90" s="398"/>
      <c r="BA90" s="398"/>
      <c r="BB90" s="398"/>
      <c r="BC90" s="398"/>
    </row>
    <row r="91" spans="3:55" s="393" customFormat="1" ht="12" hidden="1" customHeight="1">
      <c r="C91" s="399"/>
      <c r="D91" s="402">
        <v>15</v>
      </c>
      <c r="E91" s="402"/>
      <c r="F91" s="393" t="s">
        <v>1258</v>
      </c>
      <c r="M91" s="1070" t="s">
        <v>2410</v>
      </c>
      <c r="N91" s="399"/>
      <c r="R91" s="402">
        <v>15</v>
      </c>
      <c r="S91" s="393" t="s">
        <v>1220</v>
      </c>
      <c r="X91" s="399"/>
      <c r="AC91" s="402"/>
      <c r="AD91" s="403"/>
      <c r="AK91" s="402"/>
      <c r="AL91" s="403"/>
      <c r="AP91" s="398"/>
      <c r="AQ91" s="398"/>
      <c r="AR91" s="398"/>
      <c r="AS91" s="398"/>
      <c r="AT91" s="398"/>
      <c r="AU91" s="398"/>
      <c r="AV91" s="398"/>
      <c r="AW91" s="398"/>
      <c r="AX91" s="398"/>
      <c r="AY91" s="398"/>
      <c r="AZ91" s="398"/>
      <c r="BA91" s="398"/>
      <c r="BB91" s="398"/>
      <c r="BC91" s="398"/>
    </row>
    <row r="92" spans="3:55" s="393" customFormat="1" ht="12" hidden="1" customHeight="1">
      <c r="C92" s="399"/>
      <c r="D92" s="402">
        <v>16</v>
      </c>
      <c r="E92" s="402"/>
      <c r="F92" s="393" t="s">
        <v>1259</v>
      </c>
      <c r="M92" s="1070" t="s">
        <v>2361</v>
      </c>
      <c r="N92" s="399"/>
      <c r="R92" s="402">
        <v>16</v>
      </c>
      <c r="S92" s="393" t="s">
        <v>1221</v>
      </c>
      <c r="X92" s="399"/>
      <c r="AC92" s="402"/>
      <c r="AD92" s="403"/>
      <c r="AK92" s="402"/>
      <c r="AL92" s="403"/>
      <c r="AP92" s="398"/>
      <c r="AQ92" s="398"/>
      <c r="AR92" s="398"/>
      <c r="AS92" s="398"/>
      <c r="AT92" s="398"/>
      <c r="AU92" s="398"/>
      <c r="AV92" s="398"/>
      <c r="AW92" s="398"/>
      <c r="AX92" s="398"/>
      <c r="AY92" s="398"/>
      <c r="AZ92" s="398"/>
      <c r="BA92" s="398"/>
      <c r="BB92" s="398"/>
      <c r="BC92" s="398"/>
    </row>
    <row r="93" spans="3:55" s="393" customFormat="1" ht="12" hidden="1" customHeight="1">
      <c r="C93" s="399"/>
      <c r="D93" s="402">
        <v>17</v>
      </c>
      <c r="E93" s="402"/>
      <c r="F93" s="393" t="s">
        <v>1260</v>
      </c>
      <c r="M93" s="1070" t="s">
        <v>2411</v>
      </c>
      <c r="N93" s="399"/>
      <c r="R93" s="402">
        <v>17</v>
      </c>
      <c r="S93" s="393" t="s">
        <v>1222</v>
      </c>
      <c r="X93" s="399"/>
      <c r="AC93" s="402"/>
      <c r="AD93" s="403"/>
      <c r="AK93" s="402"/>
      <c r="AL93" s="403"/>
      <c r="AP93" s="398"/>
      <c r="AQ93" s="398"/>
      <c r="AR93" s="398"/>
      <c r="AS93" s="398"/>
      <c r="AT93" s="398"/>
      <c r="AU93" s="398"/>
      <c r="AV93" s="398"/>
      <c r="AW93" s="398"/>
      <c r="AX93" s="398"/>
      <c r="AY93" s="398"/>
      <c r="AZ93" s="398"/>
      <c r="BA93" s="398"/>
      <c r="BB93" s="398"/>
      <c r="BC93" s="398"/>
    </row>
    <row r="94" spans="3:55" s="393" customFormat="1" ht="12" hidden="1" customHeight="1">
      <c r="C94" s="399"/>
      <c r="D94" s="402">
        <v>18</v>
      </c>
      <c r="E94" s="402"/>
      <c r="F94" s="393" t="s">
        <v>1261</v>
      </c>
      <c r="M94" s="1070" t="s">
        <v>2412</v>
      </c>
      <c r="N94" s="399"/>
      <c r="R94" s="402">
        <v>18</v>
      </c>
      <c r="S94" s="393" t="s">
        <v>1223</v>
      </c>
      <c r="X94" s="399"/>
      <c r="AC94" s="402"/>
      <c r="AD94" s="403"/>
      <c r="AK94" s="402"/>
      <c r="AL94" s="403"/>
      <c r="AP94" s="398"/>
      <c r="AQ94" s="398"/>
      <c r="AR94" s="398"/>
      <c r="AS94" s="398"/>
      <c r="AT94" s="398"/>
      <c r="AU94" s="398"/>
      <c r="AV94" s="398"/>
      <c r="AW94" s="398"/>
      <c r="AX94" s="398"/>
      <c r="AY94" s="398"/>
      <c r="AZ94" s="398"/>
      <c r="BA94" s="398"/>
      <c r="BB94" s="398"/>
      <c r="BC94" s="398"/>
    </row>
    <row r="95" spans="3:55" s="393" customFormat="1" ht="12" hidden="1" customHeight="1">
      <c r="C95" s="399"/>
      <c r="D95" s="402">
        <v>19</v>
      </c>
      <c r="E95" s="402"/>
      <c r="F95" s="393" t="s">
        <v>1218</v>
      </c>
      <c r="M95" s="1070" t="s">
        <v>2413</v>
      </c>
      <c r="N95" s="399"/>
      <c r="R95" s="402">
        <v>19</v>
      </c>
      <c r="S95" s="393" t="s">
        <v>1224</v>
      </c>
      <c r="X95" s="399"/>
      <c r="AC95" s="402"/>
      <c r="AD95" s="400"/>
      <c r="AK95" s="402"/>
      <c r="AL95" s="400"/>
      <c r="AP95" s="398"/>
      <c r="AQ95" s="398"/>
      <c r="AR95" s="398"/>
      <c r="AS95" s="398"/>
      <c r="AT95" s="398"/>
      <c r="AU95" s="398"/>
      <c r="AV95" s="398"/>
      <c r="AW95" s="398"/>
      <c r="AX95" s="398"/>
      <c r="AY95" s="398"/>
      <c r="AZ95" s="398"/>
      <c r="BA95" s="398"/>
      <c r="BB95" s="398"/>
      <c r="BC95" s="398"/>
    </row>
    <row r="96" spans="3:55" s="393" customFormat="1" ht="12" hidden="1" customHeight="1">
      <c r="C96" s="399"/>
      <c r="D96" s="402">
        <v>20</v>
      </c>
      <c r="E96" s="402"/>
      <c r="F96" s="393" t="s">
        <v>1262</v>
      </c>
      <c r="M96" s="1070" t="s">
        <v>2414</v>
      </c>
      <c r="N96" s="399"/>
      <c r="R96" s="402">
        <v>20</v>
      </c>
      <c r="S96" s="393" t="s">
        <v>1225</v>
      </c>
      <c r="X96" s="399"/>
      <c r="AC96" s="402"/>
      <c r="AD96" s="400"/>
      <c r="AK96" s="402"/>
      <c r="AL96" s="400"/>
      <c r="AP96" s="398"/>
      <c r="AQ96" s="398"/>
      <c r="AR96" s="398"/>
      <c r="AS96" s="398"/>
      <c r="AT96" s="398"/>
      <c r="AU96" s="398"/>
      <c r="AV96" s="398"/>
      <c r="AW96" s="398"/>
      <c r="AX96" s="398"/>
      <c r="AY96" s="398"/>
      <c r="AZ96" s="398"/>
      <c r="BA96" s="398"/>
      <c r="BB96" s="398"/>
      <c r="BC96" s="398"/>
    </row>
    <row r="97" spans="3:55" s="393" customFormat="1" ht="12" hidden="1" customHeight="1">
      <c r="C97" s="399"/>
      <c r="D97" s="402">
        <v>21</v>
      </c>
      <c r="E97" s="402"/>
      <c r="F97" s="393" t="s">
        <v>1263</v>
      </c>
      <c r="M97" s="1070" t="s">
        <v>2415</v>
      </c>
      <c r="N97" s="399"/>
      <c r="R97" s="402">
        <v>21</v>
      </c>
      <c r="S97" s="393" t="s">
        <v>1226</v>
      </c>
      <c r="X97" s="399"/>
      <c r="AC97" s="402"/>
      <c r="AD97" s="400"/>
      <c r="AK97" s="402"/>
      <c r="AL97" s="400"/>
      <c r="AP97" s="398"/>
      <c r="AQ97" s="398"/>
      <c r="AR97" s="398"/>
      <c r="AS97" s="398"/>
      <c r="AT97" s="398"/>
      <c r="AU97" s="398"/>
      <c r="AV97" s="398"/>
      <c r="AW97" s="398"/>
      <c r="AX97" s="398"/>
      <c r="AY97" s="398"/>
      <c r="AZ97" s="398"/>
      <c r="BA97" s="398"/>
      <c r="BB97" s="398"/>
      <c r="BC97" s="398"/>
    </row>
    <row r="98" spans="3:55" s="393" customFormat="1" ht="12" hidden="1" customHeight="1">
      <c r="C98" s="399"/>
      <c r="D98" s="402">
        <v>22</v>
      </c>
      <c r="E98" s="402"/>
      <c r="F98" s="393" t="s">
        <v>1264</v>
      </c>
      <c r="M98" s="1070" t="s">
        <v>2416</v>
      </c>
      <c r="N98" s="399"/>
      <c r="R98" s="402">
        <v>22</v>
      </c>
      <c r="S98" s="393" t="s">
        <v>1227</v>
      </c>
      <c r="X98" s="399"/>
      <c r="AC98" s="402"/>
      <c r="AD98" s="400"/>
      <c r="AK98" s="402"/>
      <c r="AL98" s="400"/>
      <c r="AP98" s="398"/>
      <c r="AQ98" s="398"/>
      <c r="AR98" s="398"/>
      <c r="AS98" s="398"/>
      <c r="AT98" s="398"/>
      <c r="AU98" s="398"/>
      <c r="AV98" s="398"/>
      <c r="AW98" s="398"/>
      <c r="AX98" s="398"/>
      <c r="AY98" s="398"/>
      <c r="AZ98" s="398"/>
      <c r="BA98" s="398"/>
      <c r="BB98" s="398"/>
      <c r="BC98" s="398"/>
    </row>
    <row r="99" spans="3:55" s="393" customFormat="1" ht="12" hidden="1" customHeight="1">
      <c r="C99" s="399"/>
      <c r="D99" s="402">
        <v>23</v>
      </c>
      <c r="E99" s="402"/>
      <c r="F99" s="393" t="s">
        <v>1230</v>
      </c>
      <c r="M99" s="1070" t="s">
        <v>1204</v>
      </c>
      <c r="N99" s="399"/>
      <c r="R99" s="402">
        <v>23</v>
      </c>
      <c r="S99" s="393" t="s">
        <v>1228</v>
      </c>
      <c r="X99" s="399"/>
      <c r="AC99" s="402"/>
      <c r="AD99" s="400"/>
      <c r="AK99" s="402"/>
      <c r="AL99" s="400"/>
      <c r="AP99" s="398"/>
      <c r="AQ99" s="398"/>
      <c r="AR99" s="398"/>
      <c r="AS99" s="398"/>
      <c r="AT99" s="398"/>
      <c r="AU99" s="398"/>
      <c r="AV99" s="398"/>
      <c r="AW99" s="398"/>
      <c r="AX99" s="398"/>
      <c r="AY99" s="398"/>
      <c r="AZ99" s="398"/>
      <c r="BA99" s="398"/>
      <c r="BB99" s="398"/>
      <c r="BC99" s="398"/>
    </row>
    <row r="100" spans="3:55" s="393" customFormat="1" ht="12" hidden="1" customHeight="1">
      <c r="C100" s="399"/>
      <c r="D100" s="402">
        <v>24</v>
      </c>
      <c r="E100" s="402"/>
      <c r="F100" s="393" t="s">
        <v>1265</v>
      </c>
      <c r="M100" s="1070" t="s">
        <v>2417</v>
      </c>
      <c r="N100" s="399"/>
      <c r="R100" s="402">
        <v>24</v>
      </c>
      <c r="S100" s="393" t="s">
        <v>1229</v>
      </c>
      <c r="X100" s="399"/>
      <c r="AC100" s="402"/>
      <c r="AD100" s="400"/>
      <c r="AK100" s="402"/>
      <c r="AL100" s="400"/>
      <c r="AP100" s="398"/>
      <c r="AQ100" s="398"/>
      <c r="AR100" s="398"/>
      <c r="AS100" s="398"/>
      <c r="AT100" s="398"/>
      <c r="AU100" s="398"/>
      <c r="AV100" s="398"/>
      <c r="AW100" s="398"/>
      <c r="AX100" s="398"/>
      <c r="AY100" s="398"/>
      <c r="AZ100" s="398"/>
      <c r="BA100" s="398"/>
      <c r="BB100" s="398"/>
      <c r="BC100" s="398"/>
    </row>
    <row r="101" spans="3:55" s="393" customFormat="1" ht="12" hidden="1" customHeight="1">
      <c r="C101" s="399"/>
      <c r="D101" s="402">
        <v>25</v>
      </c>
      <c r="E101" s="402"/>
      <c r="F101" s="393" t="s">
        <v>1266</v>
      </c>
      <c r="M101" s="1070" t="s">
        <v>2418</v>
      </c>
      <c r="N101" s="399"/>
      <c r="R101" s="402">
        <v>25</v>
      </c>
      <c r="S101" s="393" t="s">
        <v>1230</v>
      </c>
      <c r="X101" s="399"/>
      <c r="AC101" s="402"/>
      <c r="AD101" s="400"/>
      <c r="AK101" s="402"/>
      <c r="AL101" s="400"/>
      <c r="AP101" s="398"/>
      <c r="AQ101" s="398"/>
      <c r="AR101" s="398"/>
      <c r="AS101" s="398"/>
      <c r="AT101" s="398"/>
      <c r="AU101" s="398"/>
      <c r="AV101" s="398"/>
      <c r="AW101" s="398"/>
      <c r="AX101" s="398"/>
      <c r="AY101" s="398"/>
      <c r="AZ101" s="398"/>
      <c r="BA101" s="398"/>
      <c r="BB101" s="398"/>
      <c r="BC101" s="398"/>
    </row>
    <row r="102" spans="3:55" s="393" customFormat="1" ht="12" hidden="1" customHeight="1">
      <c r="C102" s="399"/>
      <c r="D102" s="402">
        <v>26</v>
      </c>
      <c r="E102" s="402"/>
      <c r="F102" s="393" t="s">
        <v>1231</v>
      </c>
      <c r="M102" s="1070" t="s">
        <v>2419</v>
      </c>
      <c r="N102" s="399"/>
      <c r="R102" s="402">
        <v>26</v>
      </c>
      <c r="S102" s="393" t="s">
        <v>1231</v>
      </c>
      <c r="X102" s="399"/>
      <c r="AP102" s="398"/>
      <c r="AQ102" s="398"/>
      <c r="AR102" s="398"/>
      <c r="AS102" s="398"/>
      <c r="AT102" s="398"/>
      <c r="AU102" s="398"/>
      <c r="AV102" s="398"/>
      <c r="AW102" s="398"/>
      <c r="AX102" s="398"/>
      <c r="AY102" s="398"/>
      <c r="AZ102" s="398"/>
      <c r="BA102" s="398"/>
      <c r="BB102" s="398"/>
      <c r="BC102" s="398"/>
    </row>
    <row r="103" spans="3:55" s="393" customFormat="1" ht="12" hidden="1" customHeight="1">
      <c r="C103" s="399"/>
      <c r="D103" s="402">
        <v>27</v>
      </c>
      <c r="E103" s="402"/>
      <c r="F103" s="393" t="s">
        <v>1267</v>
      </c>
      <c r="M103" s="1070" t="s">
        <v>2420</v>
      </c>
      <c r="N103" s="399"/>
      <c r="R103" s="402">
        <v>27</v>
      </c>
      <c r="S103" s="393" t="s">
        <v>1232</v>
      </c>
      <c r="X103" s="399"/>
      <c r="AP103" s="398"/>
      <c r="AQ103" s="398"/>
      <c r="AR103" s="398"/>
      <c r="AS103" s="398"/>
      <c r="AT103" s="398"/>
      <c r="AU103" s="398"/>
      <c r="AV103" s="398"/>
      <c r="AW103" s="398"/>
      <c r="AX103" s="398"/>
      <c r="AY103" s="398"/>
      <c r="AZ103" s="398"/>
      <c r="BA103" s="398"/>
      <c r="BB103" s="398"/>
      <c r="BC103" s="398"/>
    </row>
    <row r="104" spans="3:55" s="393" customFormat="1" ht="12" hidden="1" customHeight="1">
      <c r="C104" s="399"/>
      <c r="D104" s="402">
        <v>28</v>
      </c>
      <c r="E104" s="402"/>
      <c r="F104" s="393" t="s">
        <v>1268</v>
      </c>
      <c r="M104" s="1070" t="s">
        <v>2421</v>
      </c>
      <c r="N104" s="399"/>
      <c r="R104" s="402">
        <v>28</v>
      </c>
      <c r="S104" s="393" t="s">
        <v>1233</v>
      </c>
      <c r="X104" s="399"/>
      <c r="AP104" s="398"/>
      <c r="AQ104" s="398"/>
      <c r="AR104" s="398"/>
      <c r="AS104" s="398"/>
      <c r="AT104" s="398"/>
      <c r="AU104" s="398"/>
      <c r="AV104" s="398"/>
      <c r="AW104" s="398"/>
      <c r="AX104" s="398"/>
      <c r="AY104" s="398"/>
      <c r="AZ104" s="398"/>
      <c r="BA104" s="398"/>
      <c r="BB104" s="398"/>
      <c r="BC104" s="398"/>
    </row>
    <row r="105" spans="3:55" s="393" customFormat="1" ht="12" hidden="1" customHeight="1">
      <c r="C105" s="399"/>
      <c r="D105" s="402">
        <v>29</v>
      </c>
      <c r="E105" s="402"/>
      <c r="F105" s="393" t="s">
        <v>1269</v>
      </c>
      <c r="M105" s="1070" t="s">
        <v>1981</v>
      </c>
      <c r="N105" s="399"/>
      <c r="R105" s="402">
        <v>29</v>
      </c>
      <c r="S105" s="393" t="s">
        <v>1234</v>
      </c>
      <c r="X105" s="399"/>
      <c r="AP105" s="398"/>
      <c r="AQ105" s="398"/>
      <c r="AR105" s="398"/>
      <c r="AS105" s="398"/>
      <c r="AT105" s="398"/>
      <c r="AU105" s="398"/>
      <c r="AV105" s="398"/>
      <c r="AW105" s="398"/>
      <c r="AX105" s="398"/>
      <c r="AY105" s="398"/>
      <c r="AZ105" s="398"/>
      <c r="BA105" s="398"/>
      <c r="BB105" s="398"/>
      <c r="BC105" s="398"/>
    </row>
    <row r="106" spans="3:55" s="393" customFormat="1" ht="12" hidden="1" customHeight="1">
      <c r="C106" s="399"/>
      <c r="D106" s="402">
        <v>30</v>
      </c>
      <c r="E106" s="402"/>
      <c r="F106" s="393" t="s">
        <v>1208</v>
      </c>
      <c r="M106" s="1070" t="s">
        <v>2422</v>
      </c>
      <c r="N106" s="399"/>
      <c r="R106" s="402">
        <v>30</v>
      </c>
      <c r="S106" s="393" t="s">
        <v>1235</v>
      </c>
      <c r="X106" s="399"/>
      <c r="AP106" s="398"/>
      <c r="AQ106" s="398"/>
      <c r="AR106" s="398"/>
      <c r="AS106" s="398"/>
      <c r="AT106" s="398"/>
      <c r="AU106" s="398"/>
      <c r="AV106" s="398"/>
      <c r="AW106" s="398"/>
      <c r="AX106" s="398"/>
      <c r="AY106" s="398"/>
      <c r="AZ106" s="398"/>
      <c r="BA106" s="398"/>
      <c r="BB106" s="398"/>
      <c r="BC106" s="398"/>
    </row>
    <row r="107" spans="3:55" s="393" customFormat="1" ht="12" hidden="1" customHeight="1">
      <c r="C107" s="399"/>
      <c r="D107" s="402">
        <v>31</v>
      </c>
      <c r="E107" s="402"/>
      <c r="F107" s="393" t="s">
        <v>1217</v>
      </c>
      <c r="M107" s="1070" t="s">
        <v>2423</v>
      </c>
      <c r="N107" s="399"/>
      <c r="R107" s="402">
        <v>31</v>
      </c>
      <c r="S107" s="403" t="s">
        <v>1236</v>
      </c>
      <c r="X107" s="399"/>
      <c r="AP107" s="398"/>
      <c r="AQ107" s="398"/>
      <c r="AR107" s="398"/>
      <c r="AS107" s="398"/>
      <c r="AT107" s="398"/>
      <c r="AU107" s="398"/>
      <c r="AV107" s="398"/>
      <c r="AW107" s="398"/>
      <c r="AX107" s="398"/>
      <c r="AY107" s="398"/>
      <c r="AZ107" s="398"/>
      <c r="BA107" s="398"/>
      <c r="BB107" s="398"/>
      <c r="BC107" s="398"/>
    </row>
    <row r="108" spans="3:55" s="393" customFormat="1" ht="12" hidden="1" customHeight="1">
      <c r="C108" s="399"/>
      <c r="D108" s="402">
        <v>32</v>
      </c>
      <c r="E108" s="402"/>
      <c r="F108" s="393" t="s">
        <v>1219</v>
      </c>
      <c r="M108" s="1070" t="s">
        <v>1241</v>
      </c>
      <c r="N108" s="399"/>
      <c r="R108" s="402">
        <v>32</v>
      </c>
      <c r="S108" s="393" t="s">
        <v>1237</v>
      </c>
      <c r="X108" s="399"/>
      <c r="AP108" s="398"/>
      <c r="AQ108" s="398"/>
      <c r="AR108" s="398"/>
      <c r="AS108" s="398"/>
      <c r="AT108" s="398"/>
      <c r="AU108" s="398"/>
      <c r="AV108" s="398"/>
      <c r="AW108" s="398"/>
      <c r="AX108" s="398"/>
      <c r="AY108" s="398"/>
      <c r="AZ108" s="398"/>
      <c r="BA108" s="398"/>
      <c r="BB108" s="398"/>
      <c r="BC108" s="398"/>
    </row>
    <row r="109" spans="3:55" s="393" customFormat="1" ht="12" hidden="1" customHeight="1">
      <c r="C109" s="399"/>
      <c r="D109" s="402">
        <v>33</v>
      </c>
      <c r="E109" s="402"/>
      <c r="F109" s="393" t="s">
        <v>1220</v>
      </c>
      <c r="M109" s="1070" t="s">
        <v>2424</v>
      </c>
      <c r="N109" s="399"/>
      <c r="R109" s="402">
        <v>33</v>
      </c>
      <c r="X109" s="399"/>
      <c r="AP109" s="398"/>
      <c r="AQ109" s="398"/>
      <c r="AR109" s="398"/>
      <c r="AS109" s="398"/>
      <c r="AT109" s="398"/>
      <c r="AU109" s="398"/>
      <c r="AV109" s="398"/>
      <c r="AW109" s="398"/>
      <c r="AX109" s="398"/>
      <c r="AY109" s="398"/>
      <c r="AZ109" s="398"/>
      <c r="BA109" s="398"/>
      <c r="BB109" s="398"/>
      <c r="BC109" s="398"/>
    </row>
    <row r="110" spans="3:55" s="393" customFormat="1" ht="12" hidden="1" customHeight="1">
      <c r="C110" s="399"/>
      <c r="D110" s="402">
        <v>34</v>
      </c>
      <c r="E110" s="402"/>
      <c r="F110" s="393" t="s">
        <v>1221</v>
      </c>
      <c r="M110" s="1070" t="s">
        <v>2425</v>
      </c>
      <c r="N110" s="399"/>
      <c r="R110" s="402">
        <v>34</v>
      </c>
      <c r="X110" s="399"/>
      <c r="AP110" s="398"/>
      <c r="AQ110" s="398"/>
      <c r="AR110" s="398"/>
      <c r="AS110" s="398"/>
      <c r="AT110" s="398"/>
      <c r="AU110" s="398"/>
      <c r="AV110" s="398"/>
      <c r="AW110" s="398"/>
      <c r="AX110" s="398"/>
      <c r="AY110" s="398"/>
      <c r="AZ110" s="398"/>
      <c r="BA110" s="398"/>
      <c r="BB110" s="398"/>
      <c r="BC110" s="398"/>
    </row>
    <row r="111" spans="3:55" s="393" customFormat="1" ht="12" hidden="1" customHeight="1">
      <c r="C111" s="399"/>
      <c r="D111" s="402">
        <v>35</v>
      </c>
      <c r="E111" s="402"/>
      <c r="F111" s="393" t="s">
        <v>1222</v>
      </c>
      <c r="M111" s="1070" t="s">
        <v>2426</v>
      </c>
      <c r="N111" s="399"/>
      <c r="R111" s="402">
        <v>35</v>
      </c>
      <c r="S111" s="406"/>
      <c r="X111" s="399"/>
      <c r="AP111" s="398"/>
      <c r="AQ111" s="398"/>
      <c r="AR111" s="398"/>
      <c r="AS111" s="398"/>
      <c r="AT111" s="398"/>
      <c r="AU111" s="398"/>
      <c r="AV111" s="398"/>
      <c r="AW111" s="398"/>
      <c r="AX111" s="398"/>
      <c r="AY111" s="398"/>
      <c r="AZ111" s="398"/>
      <c r="BA111" s="398"/>
      <c r="BB111" s="398"/>
      <c r="BC111" s="398"/>
    </row>
    <row r="112" spans="3:55" s="393" customFormat="1" ht="12" hidden="1" customHeight="1">
      <c r="C112" s="399"/>
      <c r="D112" s="402">
        <v>36</v>
      </c>
      <c r="E112" s="402"/>
      <c r="F112" s="393" t="s">
        <v>1223</v>
      </c>
      <c r="M112" s="1070" t="s">
        <v>1977</v>
      </c>
      <c r="N112" s="399"/>
      <c r="R112" s="402"/>
      <c r="S112" s="406"/>
      <c r="X112" s="399"/>
      <c r="AP112" s="398"/>
      <c r="AQ112" s="398"/>
      <c r="AR112" s="398"/>
      <c r="AS112" s="398"/>
      <c r="AT112" s="398"/>
      <c r="AU112" s="398"/>
      <c r="AV112" s="398"/>
      <c r="AW112" s="398"/>
      <c r="AX112" s="398"/>
      <c r="AY112" s="398"/>
      <c r="AZ112" s="398"/>
      <c r="BA112" s="398"/>
      <c r="BB112" s="398"/>
      <c r="BC112" s="398"/>
    </row>
    <row r="113" spans="3:55" s="393" customFormat="1" ht="12" hidden="1" customHeight="1">
      <c r="C113" s="399"/>
      <c r="D113" s="402">
        <v>37</v>
      </c>
      <c r="E113" s="402"/>
      <c r="F113" s="393" t="s">
        <v>1270</v>
      </c>
      <c r="M113" s="1070" t="s">
        <v>1976</v>
      </c>
      <c r="N113" s="399"/>
      <c r="R113" s="402"/>
      <c r="S113" s="406"/>
      <c r="X113" s="399"/>
      <c r="AP113" s="398"/>
      <c r="AQ113" s="398"/>
      <c r="AR113" s="398"/>
      <c r="AS113" s="398"/>
      <c r="AT113" s="398"/>
      <c r="AU113" s="398"/>
      <c r="AV113" s="398"/>
      <c r="AW113" s="398"/>
      <c r="AX113" s="398"/>
      <c r="AY113" s="398"/>
      <c r="AZ113" s="398"/>
      <c r="BA113" s="398"/>
      <c r="BB113" s="398"/>
      <c r="BC113" s="398"/>
    </row>
    <row r="114" spans="3:55" s="393" customFormat="1" ht="12" hidden="1" customHeight="1">
      <c r="C114" s="399"/>
      <c r="D114" s="402">
        <v>38</v>
      </c>
      <c r="E114" s="402"/>
      <c r="F114" s="393" t="s">
        <v>1225</v>
      </c>
      <c r="M114" s="1070" t="s">
        <v>1978</v>
      </c>
      <c r="N114" s="399"/>
      <c r="R114" s="402"/>
      <c r="S114" s="406"/>
      <c r="X114" s="399"/>
      <c r="AP114" s="398"/>
      <c r="AQ114" s="398"/>
      <c r="AR114" s="398"/>
      <c r="AS114" s="398"/>
      <c r="AT114" s="398"/>
      <c r="AU114" s="398"/>
      <c r="AV114" s="398"/>
      <c r="AW114" s="398"/>
      <c r="AX114" s="398"/>
      <c r="AY114" s="398"/>
      <c r="AZ114" s="398"/>
      <c r="BA114" s="398"/>
      <c r="BB114" s="398"/>
      <c r="BC114" s="398"/>
    </row>
    <row r="115" spans="3:55" s="393" customFormat="1" ht="12" hidden="1" customHeight="1">
      <c r="C115" s="399"/>
      <c r="D115" s="402">
        <v>39</v>
      </c>
      <c r="E115" s="402"/>
      <c r="F115" s="393" t="s">
        <v>1226</v>
      </c>
      <c r="M115" s="1070" t="s">
        <v>1979</v>
      </c>
      <c r="N115" s="399"/>
      <c r="R115" s="402"/>
      <c r="S115" s="406"/>
      <c r="X115" s="399"/>
      <c r="AP115" s="398"/>
      <c r="AQ115" s="398"/>
      <c r="AR115" s="398"/>
      <c r="AS115" s="398"/>
      <c r="AT115" s="398"/>
      <c r="AU115" s="398"/>
      <c r="AV115" s="398"/>
      <c r="AW115" s="398"/>
      <c r="AX115" s="398"/>
      <c r="AY115" s="398"/>
      <c r="AZ115" s="398"/>
      <c r="BA115" s="398"/>
      <c r="BB115" s="398"/>
      <c r="BC115" s="398"/>
    </row>
    <row r="116" spans="3:55" ht="12.95" hidden="1" customHeight="1">
      <c r="C116" s="407"/>
      <c r="D116" s="402">
        <v>40</v>
      </c>
      <c r="E116" s="402"/>
      <c r="F116" s="393" t="s">
        <v>1227</v>
      </c>
      <c r="G116" s="393"/>
      <c r="H116" s="393"/>
      <c r="I116" s="393"/>
      <c r="J116" s="393"/>
      <c r="K116" s="393"/>
      <c r="L116" s="393"/>
      <c r="M116" s="1070" t="s">
        <v>1980</v>
      </c>
      <c r="N116" s="399"/>
      <c r="O116" s="393"/>
      <c r="P116" s="393"/>
      <c r="Q116" s="393"/>
      <c r="R116" s="402"/>
      <c r="S116" s="393"/>
      <c r="T116" s="393"/>
      <c r="U116" s="393"/>
      <c r="V116" s="393"/>
      <c r="W116" s="393"/>
      <c r="X116" s="407"/>
    </row>
    <row r="117" spans="3:55" ht="12.95" hidden="1" customHeight="1">
      <c r="C117" s="407"/>
      <c r="D117" s="402">
        <v>41</v>
      </c>
      <c r="E117" s="402"/>
      <c r="F117" s="393" t="s">
        <v>1228</v>
      </c>
      <c r="G117" s="393"/>
      <c r="H117" s="393"/>
      <c r="I117" s="393"/>
      <c r="J117" s="393"/>
      <c r="K117" s="393"/>
      <c r="L117" s="393"/>
      <c r="M117" s="1070" t="s">
        <v>2427</v>
      </c>
      <c r="N117" s="399"/>
      <c r="O117" s="393"/>
      <c r="P117" s="393"/>
      <c r="Q117" s="407"/>
      <c r="R117" s="407"/>
      <c r="S117" s="407"/>
      <c r="T117" s="407"/>
      <c r="U117" s="407"/>
      <c r="V117" s="407"/>
      <c r="W117" s="407"/>
      <c r="X117" s="407"/>
    </row>
    <row r="118" spans="3:55" ht="12.95" hidden="1" customHeight="1">
      <c r="D118" s="402">
        <v>42</v>
      </c>
      <c r="E118" s="402"/>
      <c r="F118" s="393" t="s">
        <v>1229</v>
      </c>
      <c r="G118" s="393"/>
      <c r="H118" s="393"/>
      <c r="I118" s="393"/>
      <c r="J118" s="393"/>
      <c r="K118" s="393"/>
      <c r="L118" s="393"/>
      <c r="M118" s="1070" t="s">
        <v>2428</v>
      </c>
      <c r="N118" s="399"/>
      <c r="O118" s="393"/>
      <c r="P118" s="393"/>
    </row>
    <row r="119" spans="3:55" ht="12.95" hidden="1" customHeight="1">
      <c r="D119" s="402">
        <v>43</v>
      </c>
      <c r="E119" s="402"/>
      <c r="F119" s="393" t="s">
        <v>1271</v>
      </c>
      <c r="G119" s="393"/>
      <c r="H119" s="393"/>
      <c r="I119" s="393"/>
      <c r="J119" s="393"/>
      <c r="K119" s="393"/>
      <c r="L119" s="393"/>
      <c r="M119" s="1070" t="s">
        <v>1777</v>
      </c>
      <c r="N119" s="399"/>
      <c r="O119" s="393"/>
      <c r="P119" s="393"/>
    </row>
    <row r="120" spans="3:55" ht="12.95" hidden="1" customHeight="1">
      <c r="D120" s="402">
        <v>44</v>
      </c>
      <c r="E120" s="402"/>
      <c r="F120" s="408" t="s">
        <v>1214</v>
      </c>
      <c r="G120" s="393"/>
      <c r="H120" s="393"/>
      <c r="I120" s="393"/>
      <c r="J120" s="393"/>
      <c r="K120" s="393"/>
      <c r="L120" s="393"/>
      <c r="M120" s="1070" t="s">
        <v>2429</v>
      </c>
      <c r="N120" s="399"/>
      <c r="O120" s="393"/>
      <c r="P120" s="393"/>
    </row>
    <row r="121" spans="3:55" ht="12.95" hidden="1" customHeight="1">
      <c r="D121" s="402">
        <v>45</v>
      </c>
      <c r="E121" s="402"/>
      <c r="F121" s="393" t="s">
        <v>1272</v>
      </c>
      <c r="G121" s="393"/>
      <c r="H121" s="393"/>
      <c r="I121" s="393"/>
      <c r="J121" s="393"/>
      <c r="K121" s="393"/>
      <c r="L121" s="393"/>
      <c r="M121" s="1070" t="s">
        <v>2430</v>
      </c>
      <c r="N121" s="399"/>
      <c r="O121" s="393"/>
      <c r="P121" s="393"/>
    </row>
    <row r="122" spans="3:55" ht="12.95" hidden="1" customHeight="1">
      <c r="D122" s="402">
        <v>46</v>
      </c>
      <c r="E122" s="402"/>
      <c r="F122" s="393" t="s">
        <v>1273</v>
      </c>
      <c r="G122" s="393"/>
      <c r="H122" s="393"/>
      <c r="I122" s="393"/>
      <c r="J122" s="393"/>
      <c r="K122" s="393"/>
      <c r="L122" s="393"/>
      <c r="M122" s="1070" t="s">
        <v>2431</v>
      </c>
      <c r="N122" s="399"/>
      <c r="O122" s="393"/>
      <c r="P122" s="393"/>
    </row>
    <row r="123" spans="3:55" ht="12.95" hidden="1" customHeight="1">
      <c r="D123" s="402">
        <v>47</v>
      </c>
      <c r="E123" s="402"/>
      <c r="F123" s="393" t="s">
        <v>1233</v>
      </c>
      <c r="G123" s="393"/>
      <c r="H123" s="393"/>
      <c r="I123" s="393"/>
      <c r="J123" s="393"/>
      <c r="K123" s="393"/>
      <c r="L123" s="393"/>
      <c r="M123" s="1070" t="s">
        <v>1511</v>
      </c>
      <c r="N123" s="407"/>
      <c r="O123" s="393"/>
      <c r="P123" s="393"/>
    </row>
    <row r="124" spans="3:55" ht="12.95" hidden="1" customHeight="1">
      <c r="D124" s="402">
        <v>48</v>
      </c>
      <c r="E124" s="402"/>
      <c r="F124" s="393" t="s">
        <v>1234</v>
      </c>
      <c r="G124" s="407"/>
      <c r="H124" s="407"/>
      <c r="I124" s="407"/>
      <c r="J124" s="407"/>
      <c r="K124" s="407"/>
      <c r="L124" s="407"/>
      <c r="M124" s="1070" t="s">
        <v>2432</v>
      </c>
      <c r="N124" s="407"/>
      <c r="O124" s="407"/>
      <c r="P124" s="407"/>
    </row>
    <row r="125" spans="3:55" ht="12.95" hidden="1" customHeight="1">
      <c r="D125" s="402">
        <v>49</v>
      </c>
      <c r="E125" s="402"/>
      <c r="F125" s="393" t="s">
        <v>1274</v>
      </c>
      <c r="M125" s="1070" t="s">
        <v>2433</v>
      </c>
    </row>
    <row r="126" spans="3:55" ht="12.95" hidden="1" customHeight="1">
      <c r="D126" s="402">
        <v>50</v>
      </c>
      <c r="E126" s="402"/>
      <c r="F126" s="393" t="s">
        <v>1237</v>
      </c>
      <c r="M126" s="1070" t="s">
        <v>2434</v>
      </c>
    </row>
    <row r="127" spans="3:55" ht="12.95" hidden="1" customHeight="1"/>
    <row r="128" spans="3:55" ht="12.95" hidden="1" customHeight="1"/>
    <row r="129" spans="4:28" ht="12.95" hidden="1" customHeight="1"/>
    <row r="130" spans="4:28" ht="12.95" hidden="1" customHeight="1"/>
    <row r="131" spans="4:28" ht="12.95" hidden="1" customHeight="1">
      <c r="D131" s="2241" t="s">
        <v>1828</v>
      </c>
      <c r="E131" s="2242"/>
      <c r="F131" s="2242"/>
      <c r="G131" s="2242"/>
      <c r="H131" s="2243"/>
      <c r="I131" s="2241" t="s">
        <v>1829</v>
      </c>
      <c r="J131" s="2242"/>
      <c r="K131" s="2242"/>
      <c r="L131" s="2241" t="s">
        <v>1830</v>
      </c>
      <c r="M131" s="2242"/>
      <c r="N131" s="2242"/>
      <c r="O131" s="2242"/>
      <c r="P131" s="2242"/>
      <c r="Q131" s="2242"/>
      <c r="R131" s="2242"/>
      <c r="S131" s="2242"/>
      <c r="T131" s="2242"/>
      <c r="U131" s="2242"/>
      <c r="V131" s="2242"/>
      <c r="W131" s="2243"/>
      <c r="X131" s="2241" t="s">
        <v>1831</v>
      </c>
      <c r="Y131" s="2242"/>
      <c r="Z131" s="2242"/>
      <c r="AA131" s="2242"/>
      <c r="AB131" s="2243"/>
    </row>
    <row r="132" spans="4:28" ht="12.95" hidden="1" customHeight="1">
      <c r="D132" s="2191" t="s">
        <v>1194</v>
      </c>
      <c r="E132" s="1110"/>
      <c r="F132" s="2194" t="s">
        <v>1832</v>
      </c>
      <c r="G132" s="2194"/>
      <c r="H132" s="2194"/>
      <c r="I132" s="2197">
        <v>2</v>
      </c>
      <c r="J132" s="2198"/>
      <c r="K132" s="2199"/>
      <c r="L132" s="409">
        <v>0</v>
      </c>
      <c r="M132" s="410" t="s">
        <v>1833</v>
      </c>
      <c r="N132" s="410"/>
      <c r="O132" s="410"/>
      <c r="P132" s="410"/>
      <c r="Q132" s="410"/>
      <c r="R132" s="410"/>
      <c r="S132" s="410"/>
      <c r="T132" s="410"/>
      <c r="U132" s="410"/>
      <c r="V132" s="410"/>
      <c r="W132" s="411"/>
      <c r="X132" s="2212" t="str">
        <f>VLOOKUP(I132,$L$132:$M$138,2)</f>
        <v xml:space="preserve"> Cukup</v>
      </c>
      <c r="Y132" s="2213"/>
      <c r="Z132" s="2213"/>
      <c r="AA132" s="2213"/>
      <c r="AB132" s="2214"/>
    </row>
    <row r="133" spans="4:28" ht="12.95" hidden="1" customHeight="1">
      <c r="D133" s="2192"/>
      <c r="E133" s="1111"/>
      <c r="F133" s="2195"/>
      <c r="G133" s="2195"/>
      <c r="H133" s="2195"/>
      <c r="I133" s="2200"/>
      <c r="J133" s="2201"/>
      <c r="K133" s="2202"/>
      <c r="L133" s="2207">
        <v>1</v>
      </c>
      <c r="M133" s="2210" t="s">
        <v>1834</v>
      </c>
      <c r="N133" s="2210"/>
      <c r="O133" s="2210"/>
      <c r="P133" s="2210"/>
      <c r="Q133" s="2210"/>
      <c r="R133" s="2210"/>
      <c r="S133" s="2210"/>
      <c r="T133" s="2210"/>
      <c r="U133" s="2210"/>
      <c r="V133" s="2210"/>
      <c r="W133" s="2211"/>
      <c r="X133" s="2215"/>
      <c r="Y133" s="2216"/>
      <c r="Z133" s="2216"/>
      <c r="AA133" s="2216"/>
      <c r="AB133" s="2217"/>
    </row>
    <row r="134" spans="4:28" ht="12.95" hidden="1" customHeight="1">
      <c r="D134" s="2193"/>
      <c r="E134" s="1112"/>
      <c r="F134" s="2196"/>
      <c r="G134" s="2196"/>
      <c r="H134" s="2196"/>
      <c r="I134" s="2203"/>
      <c r="J134" s="2204"/>
      <c r="K134" s="2205"/>
      <c r="L134" s="2207"/>
      <c r="M134" s="2210"/>
      <c r="N134" s="2210"/>
      <c r="O134" s="2210"/>
      <c r="P134" s="2210"/>
      <c r="Q134" s="2210"/>
      <c r="R134" s="2210"/>
      <c r="S134" s="2210"/>
      <c r="T134" s="2210"/>
      <c r="U134" s="2210"/>
      <c r="V134" s="2210"/>
      <c r="W134" s="2211"/>
      <c r="X134" s="2218"/>
      <c r="Y134" s="2219"/>
      <c r="Z134" s="2219"/>
      <c r="AA134" s="2219"/>
      <c r="AB134" s="2220"/>
    </row>
    <row r="135" spans="4:28" ht="12.95" hidden="1" customHeight="1">
      <c r="D135" s="2191" t="s">
        <v>1194</v>
      </c>
      <c r="E135" s="1110"/>
      <c r="F135" s="2194" t="s">
        <v>1835</v>
      </c>
      <c r="G135" s="2194"/>
      <c r="H135" s="2194"/>
      <c r="I135" s="2197">
        <v>2</v>
      </c>
      <c r="J135" s="2198"/>
      <c r="K135" s="2199"/>
      <c r="L135" s="2207">
        <v>2</v>
      </c>
      <c r="M135" s="2210" t="s">
        <v>1836</v>
      </c>
      <c r="N135" s="2210"/>
      <c r="O135" s="2210"/>
      <c r="P135" s="2210"/>
      <c r="Q135" s="2210"/>
      <c r="R135" s="2210"/>
      <c r="S135" s="2210"/>
      <c r="T135" s="2210"/>
      <c r="U135" s="2210"/>
      <c r="V135" s="2210"/>
      <c r="W135" s="2211"/>
      <c r="X135" s="2212" t="str">
        <f>VLOOKUP(I135,$L$132:$M$138,2)</f>
        <v xml:space="preserve"> Cukup</v>
      </c>
      <c r="Y135" s="2213"/>
      <c r="Z135" s="2213"/>
      <c r="AA135" s="2213"/>
      <c r="AB135" s="2214"/>
    </row>
    <row r="136" spans="4:28" ht="12.95" hidden="1" customHeight="1">
      <c r="D136" s="2192"/>
      <c r="E136" s="1111"/>
      <c r="F136" s="2195"/>
      <c r="G136" s="2195"/>
      <c r="H136" s="2195"/>
      <c r="I136" s="2200"/>
      <c r="J136" s="2201"/>
      <c r="K136" s="2202"/>
      <c r="L136" s="2207"/>
      <c r="M136" s="2210"/>
      <c r="N136" s="2210"/>
      <c r="O136" s="2210"/>
      <c r="P136" s="2210"/>
      <c r="Q136" s="2210"/>
      <c r="R136" s="2210"/>
      <c r="S136" s="2210"/>
      <c r="T136" s="2210"/>
      <c r="U136" s="2210"/>
      <c r="V136" s="2210"/>
      <c r="W136" s="2211"/>
      <c r="X136" s="2215"/>
      <c r="Y136" s="2216"/>
      <c r="Z136" s="2216"/>
      <c r="AA136" s="2216"/>
      <c r="AB136" s="2217"/>
    </row>
    <row r="137" spans="4:28" ht="12.95" hidden="1" customHeight="1">
      <c r="D137" s="2192"/>
      <c r="E137" s="1111"/>
      <c r="F137" s="2195"/>
      <c r="G137" s="2195"/>
      <c r="H137" s="2195"/>
      <c r="I137" s="2200"/>
      <c r="J137" s="2201"/>
      <c r="K137" s="2202"/>
      <c r="L137" s="2225">
        <v>3</v>
      </c>
      <c r="M137" s="2210" t="s">
        <v>1837</v>
      </c>
      <c r="N137" s="2210"/>
      <c r="O137" s="2210"/>
      <c r="P137" s="2210"/>
      <c r="Q137" s="2210"/>
      <c r="R137" s="2210"/>
      <c r="S137" s="2210"/>
      <c r="T137" s="2210"/>
      <c r="U137" s="2210"/>
      <c r="V137" s="2210"/>
      <c r="W137" s="2210"/>
      <c r="X137" s="2215"/>
      <c r="Y137" s="2216"/>
      <c r="Z137" s="2216"/>
      <c r="AA137" s="2216"/>
      <c r="AB137" s="2217"/>
    </row>
    <row r="138" spans="4:28" ht="12.95" hidden="1" customHeight="1">
      <c r="D138" s="2193"/>
      <c r="E138" s="1112"/>
      <c r="F138" s="2196"/>
      <c r="G138" s="2196"/>
      <c r="H138" s="2196"/>
      <c r="I138" s="2203"/>
      <c r="J138" s="2204"/>
      <c r="K138" s="2205"/>
      <c r="L138" s="2226"/>
      <c r="M138" s="2227"/>
      <c r="N138" s="2227"/>
      <c r="O138" s="2227"/>
      <c r="P138" s="2227"/>
      <c r="Q138" s="2227"/>
      <c r="R138" s="2227"/>
      <c r="S138" s="2227"/>
      <c r="T138" s="2227"/>
      <c r="U138" s="2227"/>
      <c r="V138" s="2227"/>
      <c r="W138" s="2227"/>
      <c r="X138" s="2218"/>
      <c r="Y138" s="2219"/>
      <c r="Z138" s="2219"/>
      <c r="AA138" s="2219"/>
      <c r="AB138" s="2220"/>
    </row>
    <row r="139" spans="4:28" ht="12.95" hidden="1" customHeight="1">
      <c r="D139" s="2191" t="s">
        <v>1194</v>
      </c>
      <c r="E139" s="1110"/>
      <c r="F139" s="2194" t="s">
        <v>1838</v>
      </c>
      <c r="G139" s="2194"/>
      <c r="H139" s="2221"/>
      <c r="I139" s="2197">
        <f>IF(J38="Batu bata",1,IF(J38="Habel",1,IF(J38="Batako",2,3)))</f>
        <v>1</v>
      </c>
      <c r="J139" s="2198"/>
      <c r="K139" s="2199"/>
      <c r="L139" s="2224">
        <v>1</v>
      </c>
      <c r="M139" s="2208" t="s">
        <v>1839</v>
      </c>
      <c r="N139" s="2208"/>
      <c r="O139" s="2208"/>
      <c r="P139" s="2208"/>
      <c r="Q139" s="2208"/>
      <c r="R139" s="2208"/>
      <c r="S139" s="2208"/>
      <c r="T139" s="2208"/>
      <c r="U139" s="2208"/>
      <c r="V139" s="2208"/>
      <c r="W139" s="2208"/>
      <c r="X139" s="2212" t="str">
        <f>VLOOKUP(I139,$L$139:$M$144,2)</f>
        <v xml:space="preserve"> Kualitas I, permanen, batu bata</v>
      </c>
      <c r="Y139" s="2213"/>
      <c r="Z139" s="2213"/>
      <c r="AA139" s="2213"/>
      <c r="AB139" s="2214"/>
    </row>
    <row r="140" spans="4:28" ht="12.95" hidden="1" customHeight="1">
      <c r="D140" s="2192"/>
      <c r="E140" s="1111"/>
      <c r="F140" s="2195"/>
      <c r="G140" s="2195"/>
      <c r="H140" s="2222"/>
      <c r="I140" s="2200"/>
      <c r="J140" s="2201"/>
      <c r="K140" s="2202"/>
      <c r="L140" s="2225"/>
      <c r="M140" s="2210"/>
      <c r="N140" s="2210"/>
      <c r="O140" s="2210"/>
      <c r="P140" s="2210"/>
      <c r="Q140" s="2210"/>
      <c r="R140" s="2210"/>
      <c r="S140" s="2210"/>
      <c r="T140" s="2210"/>
      <c r="U140" s="2210"/>
      <c r="V140" s="2210"/>
      <c r="W140" s="2210"/>
      <c r="X140" s="2215"/>
      <c r="Y140" s="2216"/>
      <c r="Z140" s="2216"/>
      <c r="AA140" s="2216"/>
      <c r="AB140" s="2217"/>
    </row>
    <row r="141" spans="4:28" ht="12.95" hidden="1" customHeight="1">
      <c r="D141" s="2192"/>
      <c r="E141" s="1111"/>
      <c r="F141" s="2195"/>
      <c r="G141" s="2195"/>
      <c r="H141" s="2222"/>
      <c r="I141" s="2200"/>
      <c r="J141" s="2201"/>
      <c r="K141" s="2202"/>
      <c r="L141" s="2225">
        <v>2</v>
      </c>
      <c r="M141" s="2210" t="s">
        <v>1840</v>
      </c>
      <c r="N141" s="2210"/>
      <c r="O141" s="2210"/>
      <c r="P141" s="2210"/>
      <c r="Q141" s="2210"/>
      <c r="R141" s="2210"/>
      <c r="S141" s="2210"/>
      <c r="T141" s="2210"/>
      <c r="U141" s="2210"/>
      <c r="V141" s="2210"/>
      <c r="W141" s="2210"/>
      <c r="X141" s="2215"/>
      <c r="Y141" s="2216"/>
      <c r="Z141" s="2216"/>
      <c r="AA141" s="2216"/>
      <c r="AB141" s="2217"/>
    </row>
    <row r="142" spans="4:28" ht="12.95" hidden="1" customHeight="1">
      <c r="D142" s="2192"/>
      <c r="E142" s="1111"/>
      <c r="F142" s="2195"/>
      <c r="G142" s="2195"/>
      <c r="H142" s="2222"/>
      <c r="I142" s="2200"/>
      <c r="J142" s="2201"/>
      <c r="K142" s="2202"/>
      <c r="L142" s="2225"/>
      <c r="M142" s="2210"/>
      <c r="N142" s="2210"/>
      <c r="O142" s="2210"/>
      <c r="P142" s="2210"/>
      <c r="Q142" s="2210"/>
      <c r="R142" s="2210"/>
      <c r="S142" s="2210"/>
      <c r="T142" s="2210"/>
      <c r="U142" s="2210"/>
      <c r="V142" s="2210"/>
      <c r="W142" s="2210"/>
      <c r="X142" s="2215"/>
      <c r="Y142" s="2216"/>
      <c r="Z142" s="2216"/>
      <c r="AA142" s="2216"/>
      <c r="AB142" s="2217"/>
    </row>
    <row r="143" spans="4:28" ht="12.95" hidden="1" customHeight="1">
      <c r="D143" s="2192"/>
      <c r="E143" s="1111"/>
      <c r="F143" s="2195"/>
      <c r="G143" s="2195"/>
      <c r="H143" s="2222"/>
      <c r="I143" s="2200"/>
      <c r="J143" s="2201"/>
      <c r="K143" s="2202"/>
      <c r="L143" s="2225">
        <v>3</v>
      </c>
      <c r="M143" s="2210" t="s">
        <v>1841</v>
      </c>
      <c r="N143" s="2210"/>
      <c r="O143" s="2210"/>
      <c r="P143" s="2210"/>
      <c r="Q143" s="2210"/>
      <c r="R143" s="2210"/>
      <c r="S143" s="2210"/>
      <c r="T143" s="2210"/>
      <c r="U143" s="2210"/>
      <c r="V143" s="2210"/>
      <c r="W143" s="2210"/>
      <c r="X143" s="2215"/>
      <c r="Y143" s="2216"/>
      <c r="Z143" s="2216"/>
      <c r="AA143" s="2216"/>
      <c r="AB143" s="2217"/>
    </row>
    <row r="144" spans="4:28" ht="12.95" hidden="1" customHeight="1">
      <c r="D144" s="2193"/>
      <c r="E144" s="1112"/>
      <c r="F144" s="2196"/>
      <c r="G144" s="2196"/>
      <c r="H144" s="2223"/>
      <c r="I144" s="2203"/>
      <c r="J144" s="2204"/>
      <c r="K144" s="2205"/>
      <c r="L144" s="2226"/>
      <c r="M144" s="2227"/>
      <c r="N144" s="2227"/>
      <c r="O144" s="2227"/>
      <c r="P144" s="2227"/>
      <c r="Q144" s="2227"/>
      <c r="R144" s="2227"/>
      <c r="S144" s="2227"/>
      <c r="T144" s="2227"/>
      <c r="U144" s="2227"/>
      <c r="V144" s="2227"/>
      <c r="W144" s="2227"/>
      <c r="X144" s="2218"/>
      <c r="Y144" s="2219"/>
      <c r="Z144" s="2219"/>
      <c r="AA144" s="2219"/>
      <c r="AB144" s="2220"/>
    </row>
    <row r="145" spans="4:28" ht="12.95" hidden="1" customHeight="1">
      <c r="D145" s="2191" t="s">
        <v>1194</v>
      </c>
      <c r="E145" s="1110"/>
      <c r="F145" s="2194" t="s">
        <v>1785</v>
      </c>
      <c r="G145" s="2194"/>
      <c r="H145" s="2194"/>
      <c r="I145" s="2197">
        <f>IF(V37="Granit",1,IF(V37="Marmer",1,IF(V37="Keramik Kelas I",1,IF(V37="Beton",2,IF(V37="Keramik Kelas II",2,IF(V37="Teraso",2,IF(V37="Ubin PC",2,3)))))))</f>
        <v>3</v>
      </c>
      <c r="J145" s="2198"/>
      <c r="K145" s="2199"/>
      <c r="L145" s="2206">
        <v>1</v>
      </c>
      <c r="M145" s="2208" t="s">
        <v>1842</v>
      </c>
      <c r="N145" s="2208"/>
      <c r="O145" s="2208"/>
      <c r="P145" s="2208"/>
      <c r="Q145" s="2208"/>
      <c r="R145" s="2208"/>
      <c r="S145" s="2208"/>
      <c r="T145" s="2208"/>
      <c r="U145" s="2208"/>
      <c r="V145" s="2208"/>
      <c r="W145" s="2209"/>
      <c r="X145" s="2212" t="str">
        <f>VLOOKUP(I145,$L$145:$M$149,2)</f>
        <v xml:space="preserve"> Semen / tanpa lantai</v>
      </c>
      <c r="Y145" s="2213"/>
      <c r="Z145" s="2213"/>
      <c r="AA145" s="2213"/>
      <c r="AB145" s="2214"/>
    </row>
    <row r="146" spans="4:28" ht="12.95" hidden="1" customHeight="1">
      <c r="D146" s="2192"/>
      <c r="E146" s="1111"/>
      <c r="F146" s="2195"/>
      <c r="G146" s="2195"/>
      <c r="H146" s="2195"/>
      <c r="I146" s="2200"/>
      <c r="J146" s="2201"/>
      <c r="K146" s="2202"/>
      <c r="L146" s="2207"/>
      <c r="M146" s="2210"/>
      <c r="N146" s="2210"/>
      <c r="O146" s="2210"/>
      <c r="P146" s="2210"/>
      <c r="Q146" s="2210"/>
      <c r="R146" s="2210"/>
      <c r="S146" s="2210"/>
      <c r="T146" s="2210"/>
      <c r="U146" s="2210"/>
      <c r="V146" s="2210"/>
      <c r="W146" s="2211"/>
      <c r="X146" s="2215"/>
      <c r="Y146" s="2216"/>
      <c r="Z146" s="2216"/>
      <c r="AA146" s="2216"/>
      <c r="AB146" s="2217"/>
    </row>
    <row r="147" spans="4:28" ht="12.95" hidden="1" customHeight="1">
      <c r="D147" s="2192"/>
      <c r="E147" s="1111"/>
      <c r="F147" s="2195"/>
      <c r="G147" s="2195"/>
      <c r="H147" s="2195"/>
      <c r="I147" s="2200"/>
      <c r="J147" s="2201"/>
      <c r="K147" s="2202"/>
      <c r="L147" s="2207">
        <v>2</v>
      </c>
      <c r="M147" s="2210" t="s">
        <v>1843</v>
      </c>
      <c r="N147" s="2210"/>
      <c r="O147" s="2210"/>
      <c r="P147" s="2210"/>
      <c r="Q147" s="2210"/>
      <c r="R147" s="2210"/>
      <c r="S147" s="2210"/>
      <c r="T147" s="2210"/>
      <c r="U147" s="2210"/>
      <c r="V147" s="2210"/>
      <c r="W147" s="2211"/>
      <c r="X147" s="2215"/>
      <c r="Y147" s="2216"/>
      <c r="Z147" s="2216"/>
      <c r="AA147" s="2216"/>
      <c r="AB147" s="2217"/>
    </row>
    <row r="148" spans="4:28" ht="12.95" hidden="1" customHeight="1">
      <c r="D148" s="2192"/>
      <c r="E148" s="1111"/>
      <c r="F148" s="2195"/>
      <c r="G148" s="2195"/>
      <c r="H148" s="2195"/>
      <c r="I148" s="2200"/>
      <c r="J148" s="2201"/>
      <c r="K148" s="2202"/>
      <c r="L148" s="2207"/>
      <c r="M148" s="2210"/>
      <c r="N148" s="2210"/>
      <c r="O148" s="2210"/>
      <c r="P148" s="2210"/>
      <c r="Q148" s="2210"/>
      <c r="R148" s="2210"/>
      <c r="S148" s="2210"/>
      <c r="T148" s="2210"/>
      <c r="U148" s="2210"/>
      <c r="V148" s="2210"/>
      <c r="W148" s="2211"/>
      <c r="X148" s="2215"/>
      <c r="Y148" s="2216"/>
      <c r="Z148" s="2216"/>
      <c r="AA148" s="2216"/>
      <c r="AB148" s="2217"/>
    </row>
    <row r="149" spans="4:28" ht="12.95" hidden="1" customHeight="1">
      <c r="D149" s="2193"/>
      <c r="E149" s="1112"/>
      <c r="F149" s="2196"/>
      <c r="G149" s="2196"/>
      <c r="H149" s="2196"/>
      <c r="I149" s="2203"/>
      <c r="J149" s="2204"/>
      <c r="K149" s="2205"/>
      <c r="L149" s="412">
        <v>3</v>
      </c>
      <c r="M149" s="413" t="s">
        <v>1844</v>
      </c>
      <c r="N149" s="413"/>
      <c r="O149" s="413"/>
      <c r="P149" s="414"/>
      <c r="Q149" s="413"/>
      <c r="R149" s="413"/>
      <c r="S149" s="413"/>
      <c r="T149" s="413"/>
      <c r="U149" s="413"/>
      <c r="V149" s="413"/>
      <c r="W149" s="413"/>
      <c r="X149" s="2218"/>
      <c r="Y149" s="2219"/>
      <c r="Z149" s="2219"/>
      <c r="AA149" s="2219"/>
      <c r="AB149" s="2220"/>
    </row>
    <row r="150" spans="4:28" ht="12.95" hidden="1" customHeight="1">
      <c r="D150" s="2191" t="s">
        <v>1194</v>
      </c>
      <c r="E150" s="1110"/>
      <c r="F150" s="2194" t="s">
        <v>1845</v>
      </c>
      <c r="G150" s="2194"/>
      <c r="H150" s="2221"/>
      <c r="I150" s="2197" t="e">
        <f>IF(N155-M27&lt;5,1,IF(N155-M27&gt;10,3,2))</f>
        <v>#VALUE!</v>
      </c>
      <c r="J150" s="2198"/>
      <c r="K150" s="2199"/>
      <c r="L150" s="415">
        <v>1</v>
      </c>
      <c r="M150" s="410" t="s">
        <v>1846</v>
      </c>
      <c r="N150" s="410"/>
      <c r="O150" s="410"/>
      <c r="P150" s="411"/>
      <c r="Q150" s="410"/>
      <c r="R150" s="410"/>
      <c r="S150" s="410"/>
      <c r="T150" s="410"/>
      <c r="U150" s="410"/>
      <c r="V150" s="410"/>
      <c r="W150" s="410"/>
      <c r="X150" s="2212" t="e">
        <f>VLOOKUP(I150,$L$150:$M$153,2)</f>
        <v>#VALUE!</v>
      </c>
      <c r="Y150" s="2213"/>
      <c r="Z150" s="2213"/>
      <c r="AA150" s="2213"/>
      <c r="AB150" s="2214"/>
    </row>
    <row r="151" spans="4:28" ht="12.95" hidden="1" customHeight="1">
      <c r="D151" s="2192"/>
      <c r="E151" s="1111"/>
      <c r="F151" s="2195"/>
      <c r="G151" s="2195"/>
      <c r="H151" s="2222"/>
      <c r="I151" s="2200"/>
      <c r="J151" s="2201"/>
      <c r="K151" s="2202"/>
      <c r="L151" s="2207">
        <v>2</v>
      </c>
      <c r="M151" s="2210" t="s">
        <v>1847</v>
      </c>
      <c r="N151" s="2210"/>
      <c r="O151" s="2210"/>
      <c r="P151" s="2210"/>
      <c r="Q151" s="2210"/>
      <c r="R151" s="2210"/>
      <c r="S151" s="2210"/>
      <c r="T151" s="2210"/>
      <c r="U151" s="2210"/>
      <c r="V151" s="2210"/>
      <c r="W151" s="2211"/>
      <c r="X151" s="2215"/>
      <c r="Y151" s="2216"/>
      <c r="Z151" s="2216"/>
      <c r="AA151" s="2216"/>
      <c r="AB151" s="2217"/>
    </row>
    <row r="152" spans="4:28" ht="12.95" hidden="1" customHeight="1">
      <c r="D152" s="2192"/>
      <c r="E152" s="1111"/>
      <c r="F152" s="2195"/>
      <c r="G152" s="2195"/>
      <c r="H152" s="2222"/>
      <c r="I152" s="2200"/>
      <c r="J152" s="2201"/>
      <c r="K152" s="2202"/>
      <c r="L152" s="2207"/>
      <c r="M152" s="2210"/>
      <c r="N152" s="2210"/>
      <c r="O152" s="2210"/>
      <c r="P152" s="2210"/>
      <c r="Q152" s="2210"/>
      <c r="R152" s="2210"/>
      <c r="S152" s="2210"/>
      <c r="T152" s="2210"/>
      <c r="U152" s="2210"/>
      <c r="V152" s="2210"/>
      <c r="W152" s="2211"/>
      <c r="X152" s="2215"/>
      <c r="Y152" s="2216"/>
      <c r="Z152" s="2216"/>
      <c r="AA152" s="2216"/>
      <c r="AB152" s="2217"/>
    </row>
    <row r="153" spans="4:28" ht="12.95" hidden="1" customHeight="1">
      <c r="D153" s="2193"/>
      <c r="E153" s="1112"/>
      <c r="F153" s="2196"/>
      <c r="G153" s="2196"/>
      <c r="H153" s="2223"/>
      <c r="I153" s="2203"/>
      <c r="J153" s="2204"/>
      <c r="K153" s="2205"/>
      <c r="L153" s="412">
        <v>3</v>
      </c>
      <c r="M153" s="413" t="s">
        <v>1848</v>
      </c>
      <c r="N153" s="413"/>
      <c r="O153" s="413"/>
      <c r="P153" s="413"/>
      <c r="Q153" s="413"/>
      <c r="R153" s="413"/>
      <c r="S153" s="413"/>
      <c r="T153" s="413"/>
      <c r="U153" s="413"/>
      <c r="V153" s="413"/>
      <c r="W153" s="414"/>
      <c r="X153" s="2218"/>
      <c r="Y153" s="2219"/>
      <c r="Z153" s="2219"/>
      <c r="AA153" s="2219"/>
      <c r="AB153" s="2220"/>
    </row>
    <row r="154" spans="4:28" ht="12.95" hidden="1" customHeight="1" thickBot="1">
      <c r="D154" s="342"/>
      <c r="E154" s="342"/>
      <c r="F154" s="342"/>
      <c r="G154" s="342"/>
      <c r="H154" s="342"/>
      <c r="I154" s="342"/>
      <c r="J154" s="342"/>
      <c r="K154" s="342"/>
      <c r="L154" s="342"/>
      <c r="M154" s="342"/>
      <c r="N154" s="342"/>
      <c r="O154" s="342"/>
      <c r="P154" s="342"/>
      <c r="Q154" s="342"/>
      <c r="R154" s="342"/>
      <c r="S154" s="342"/>
      <c r="T154" s="342"/>
      <c r="U154" s="342"/>
      <c r="V154" s="342"/>
      <c r="W154" s="342"/>
      <c r="X154" s="342"/>
      <c r="Y154" s="342"/>
      <c r="Z154" s="342"/>
      <c r="AA154" s="342"/>
      <c r="AB154" s="342"/>
    </row>
    <row r="155" spans="4:28" ht="12.95" hidden="1" customHeight="1">
      <c r="D155" s="2228" t="s">
        <v>1849</v>
      </c>
      <c r="E155" s="2229"/>
      <c r="F155" s="2229"/>
      <c r="G155" s="2229"/>
      <c r="H155" s="2230"/>
      <c r="I155" s="2234" t="e">
        <f>SUM(I132:K153)</f>
        <v>#VALUE!</v>
      </c>
      <c r="J155" s="2234"/>
      <c r="K155" s="2234"/>
      <c r="L155" s="302"/>
      <c r="M155" s="302"/>
      <c r="N155" s="2235">
        <v>2012</v>
      </c>
      <c r="O155" s="2236"/>
      <c r="P155" s="2237"/>
      <c r="Q155" s="300"/>
      <c r="R155" s="2235" t="e">
        <f>N155-M27</f>
        <v>#VALUE!</v>
      </c>
      <c r="S155" s="2236"/>
      <c r="T155" s="2237"/>
      <c r="U155" s="300"/>
      <c r="V155" s="300"/>
      <c r="W155" s="300"/>
      <c r="X155" s="300"/>
      <c r="Y155" s="300"/>
      <c r="Z155" s="300"/>
      <c r="AA155" s="300"/>
      <c r="AB155" s="300"/>
    </row>
    <row r="156" spans="4:28" ht="12.95" hidden="1" customHeight="1" thickBot="1">
      <c r="D156" s="2231"/>
      <c r="E156" s="2232"/>
      <c r="F156" s="2232"/>
      <c r="G156" s="2232"/>
      <c r="H156" s="2233"/>
      <c r="I156" s="2234"/>
      <c r="J156" s="2234"/>
      <c r="K156" s="2234"/>
      <c r="L156" s="302"/>
      <c r="M156" s="302"/>
      <c r="N156" s="2238"/>
      <c r="O156" s="2239"/>
      <c r="P156" s="2240"/>
      <c r="Q156" s="300"/>
      <c r="R156" s="2238"/>
      <c r="S156" s="2239"/>
      <c r="T156" s="2240"/>
      <c r="U156" s="300"/>
      <c r="V156" s="300"/>
      <c r="W156" s="300"/>
      <c r="X156" s="300"/>
      <c r="Y156" s="300"/>
      <c r="Z156" s="300"/>
      <c r="AA156" s="300"/>
      <c r="AB156" s="300"/>
    </row>
    <row r="157" spans="4:28" ht="12.95" hidden="1" customHeight="1"/>
    <row r="158" spans="4:28" ht="12.95" hidden="1" customHeight="1"/>
    <row r="159" spans="4:28" ht="12.95" hidden="1" customHeight="1"/>
    <row r="160" spans="4:28" ht="12.95" hidden="1" customHeight="1"/>
    <row r="161" ht="12.95" hidden="1" customHeight="1"/>
  </sheetData>
  <sheetProtection formatCells="0" formatColumns="0" formatRows="0" insertColumns="0" insertRows="0" insertHyperlinks="0" deleteColumns="0" deleteRows="0" sort="0" autoFilter="0" pivotTables="0"/>
  <protectedRanges>
    <protectedRange sqref="Z6 AM6 L6" name="Range2_1_4_10_1"/>
    <protectedRange sqref="K51 K63 X63 X51" name="Range2_1_4_10_1_1"/>
  </protectedRanges>
  <mergeCells count="195">
    <mergeCell ref="AZ19:BC19"/>
    <mergeCell ref="AZ14:BB14"/>
    <mergeCell ref="AP15:AR15"/>
    <mergeCell ref="AS15:AU15"/>
    <mergeCell ref="AS29:AV29"/>
    <mergeCell ref="AS16:AU16"/>
    <mergeCell ref="AW17:BC17"/>
    <mergeCell ref="AW19:AY19"/>
    <mergeCell ref="AS17:AU17"/>
    <mergeCell ref="AP12:AR13"/>
    <mergeCell ref="AS12:AU14"/>
    <mergeCell ref="AW12:BB12"/>
    <mergeCell ref="AW13:AY13"/>
    <mergeCell ref="AZ13:BB13"/>
    <mergeCell ref="AW14:AY14"/>
    <mergeCell ref="AS30:AV30"/>
    <mergeCell ref="AS28:AV28"/>
    <mergeCell ref="AG18:AI18"/>
    <mergeCell ref="AP18:AR18"/>
    <mergeCell ref="AS18:AU18"/>
    <mergeCell ref="AP19:AR19"/>
    <mergeCell ref="X18:Z18"/>
    <mergeCell ref="AA18:AC18"/>
    <mergeCell ref="X17:Z17"/>
    <mergeCell ref="AA17:AC17"/>
    <mergeCell ref="AS19:AU19"/>
    <mergeCell ref="R17:T17"/>
    <mergeCell ref="AJ18:AN18"/>
    <mergeCell ref="AJ19:AN19"/>
    <mergeCell ref="AP17:AR17"/>
    <mergeCell ref="C19:AI19"/>
    <mergeCell ref="AJ16:AN16"/>
    <mergeCell ref="AG15:AI15"/>
    <mergeCell ref="AA16:AC16"/>
    <mergeCell ref="AD16:AF16"/>
    <mergeCell ref="AP16:AR16"/>
    <mergeCell ref="U17:W17"/>
    <mergeCell ref="AG17:AI17"/>
    <mergeCell ref="AJ17:AN17"/>
    <mergeCell ref="AD14:AF14"/>
    <mergeCell ref="AP14:AR14"/>
    <mergeCell ref="AX15:AY15"/>
    <mergeCell ref="AX16:AY16"/>
    <mergeCell ref="AA15:AC15"/>
    <mergeCell ref="AD15:AF15"/>
    <mergeCell ref="AG14:AI14"/>
    <mergeCell ref="AJ14:AN14"/>
    <mergeCell ref="AJ15:AN15"/>
    <mergeCell ref="AG16:AI16"/>
    <mergeCell ref="I16:K16"/>
    <mergeCell ref="L16:N16"/>
    <mergeCell ref="O16:Q16"/>
    <mergeCell ref="R16:T16"/>
    <mergeCell ref="U16:W16"/>
    <mergeCell ref="X16:Z16"/>
    <mergeCell ref="C16:H16"/>
    <mergeCell ref="I14:K14"/>
    <mergeCell ref="L14:N14"/>
    <mergeCell ref="O14:Q14"/>
    <mergeCell ref="R14:T14"/>
    <mergeCell ref="U14:W14"/>
    <mergeCell ref="I15:K15"/>
    <mergeCell ref="L15:N15"/>
    <mergeCell ref="O15:Q15"/>
    <mergeCell ref="R15:T15"/>
    <mergeCell ref="C13:H13"/>
    <mergeCell ref="C12:AN12"/>
    <mergeCell ref="AG13:AI13"/>
    <mergeCell ref="AJ13:AN13"/>
    <mergeCell ref="C14:H14"/>
    <mergeCell ref="C15:H15"/>
    <mergeCell ref="X14:Z14"/>
    <mergeCell ref="U15:W15"/>
    <mergeCell ref="X15:Z15"/>
    <mergeCell ref="AA14:AC14"/>
    <mergeCell ref="X13:Z13"/>
    <mergeCell ref="U13:W13"/>
    <mergeCell ref="R13:T13"/>
    <mergeCell ref="O13:Q13"/>
    <mergeCell ref="L13:N13"/>
    <mergeCell ref="I13:K13"/>
    <mergeCell ref="C17:H17"/>
    <mergeCell ref="I17:K17"/>
    <mergeCell ref="L17:N17"/>
    <mergeCell ref="O17:Q17"/>
    <mergeCell ref="C5:AN5"/>
    <mergeCell ref="N8:AM8"/>
    <mergeCell ref="AE9:AM9"/>
    <mergeCell ref="N9:T9"/>
    <mergeCell ref="AD13:AF13"/>
    <mergeCell ref="AA13:AC13"/>
    <mergeCell ref="O28:U28"/>
    <mergeCell ref="AI28:AL28"/>
    <mergeCell ref="C24:AN24"/>
    <mergeCell ref="M26:S26"/>
    <mergeCell ref="I18:K18"/>
    <mergeCell ref="L18:N18"/>
    <mergeCell ref="O18:Q18"/>
    <mergeCell ref="R18:T18"/>
    <mergeCell ref="U18:W18"/>
    <mergeCell ref="C18:H18"/>
    <mergeCell ref="C3:M3"/>
    <mergeCell ref="M29:S29"/>
    <mergeCell ref="AI29:AL29"/>
    <mergeCell ref="M30:S30"/>
    <mergeCell ref="AI30:AL30"/>
    <mergeCell ref="Q31:S31"/>
    <mergeCell ref="AI31:AL31"/>
    <mergeCell ref="AD17:AF17"/>
    <mergeCell ref="AD18:AF18"/>
    <mergeCell ref="M28:N28"/>
    <mergeCell ref="AS31:AT31"/>
    <mergeCell ref="C35:AN35"/>
    <mergeCell ref="J37:O37"/>
    <mergeCell ref="AH37:AM37"/>
    <mergeCell ref="Q32:S32"/>
    <mergeCell ref="W32:AG32"/>
    <mergeCell ref="AI32:AM32"/>
    <mergeCell ref="V37:AB37"/>
    <mergeCell ref="AF53:AL53"/>
    <mergeCell ref="M54:N54"/>
    <mergeCell ref="J38:O38"/>
    <mergeCell ref="AH38:AM38"/>
    <mergeCell ref="J39:O39"/>
    <mergeCell ref="AH39:AM39"/>
    <mergeCell ref="V38:AB38"/>
    <mergeCell ref="V39:AB39"/>
    <mergeCell ref="K46:S46"/>
    <mergeCell ref="AE46:AK46"/>
    <mergeCell ref="K47:S47"/>
    <mergeCell ref="AE47:AK47"/>
    <mergeCell ref="C50:AN50"/>
    <mergeCell ref="AF52:AL52"/>
    <mergeCell ref="C42:AN42"/>
    <mergeCell ref="K44:S44"/>
    <mergeCell ref="AE44:AK44"/>
    <mergeCell ref="K45:M45"/>
    <mergeCell ref="N45:R45"/>
    <mergeCell ref="AE45:AK45"/>
    <mergeCell ref="C62:AN62"/>
    <mergeCell ref="D64:AM64"/>
    <mergeCell ref="D65:AM65"/>
    <mergeCell ref="D55:V55"/>
    <mergeCell ref="P57:V57"/>
    <mergeCell ref="P58:V58"/>
    <mergeCell ref="AP69:AQ69"/>
    <mergeCell ref="AS69:AT69"/>
    <mergeCell ref="D131:H131"/>
    <mergeCell ref="I131:K131"/>
    <mergeCell ref="L131:W131"/>
    <mergeCell ref="X131:AB131"/>
    <mergeCell ref="D132:D134"/>
    <mergeCell ref="F132:H134"/>
    <mergeCell ref="I132:K134"/>
    <mergeCell ref="X132:AB134"/>
    <mergeCell ref="L133:L134"/>
    <mergeCell ref="M133:W134"/>
    <mergeCell ref="F150:H153"/>
    <mergeCell ref="I150:K153"/>
    <mergeCell ref="X150:AB153"/>
    <mergeCell ref="L151:L152"/>
    <mergeCell ref="M151:W152"/>
    <mergeCell ref="X135:AB138"/>
    <mergeCell ref="L137:L138"/>
    <mergeCell ref="M137:W138"/>
    <mergeCell ref="D135:D138"/>
    <mergeCell ref="F135:H138"/>
    <mergeCell ref="I135:K138"/>
    <mergeCell ref="L135:L136"/>
    <mergeCell ref="M135:W136"/>
    <mergeCell ref="D155:H156"/>
    <mergeCell ref="I155:K156"/>
    <mergeCell ref="N155:P156"/>
    <mergeCell ref="R155:T156"/>
    <mergeCell ref="D150:D153"/>
    <mergeCell ref="D139:D144"/>
    <mergeCell ref="F139:H144"/>
    <mergeCell ref="I139:K144"/>
    <mergeCell ref="L139:L140"/>
    <mergeCell ref="M139:W140"/>
    <mergeCell ref="X139:AB144"/>
    <mergeCell ref="L141:L142"/>
    <mergeCell ref="M141:W142"/>
    <mergeCell ref="L143:L144"/>
    <mergeCell ref="M143:W144"/>
    <mergeCell ref="M27:R27"/>
    <mergeCell ref="AJ21:AN21"/>
    <mergeCell ref="D145:D149"/>
    <mergeCell ref="F145:H149"/>
    <mergeCell ref="I145:K149"/>
    <mergeCell ref="L145:L146"/>
    <mergeCell ref="M145:W146"/>
    <mergeCell ref="X145:AB149"/>
    <mergeCell ref="L147:L148"/>
    <mergeCell ref="M147:W148"/>
  </mergeCells>
  <dataValidations count="23">
    <dataValidation type="list" allowBlank="1" showInputMessage="1" showErrorMessage="1" sqref="AE44:AE47">
      <formula1>"Ada,Tidak ada,'- - - - - - - - - -"</formula1>
    </dataValidation>
    <dataValidation type="list" allowBlank="1" showInputMessage="1" showErrorMessage="1" sqref="AH37:AM37">
      <formula1>"PVC,Triplek,Gypsum,Akustik,Beton,Bondek,Tanpa plafond,'- - - - - - - - - -"</formula1>
    </dataValidation>
    <dataValidation type="list" allowBlank="1" showInputMessage="1" showErrorMessage="1" sqref="AH38:AM38">
      <formula1>"Genteng tanah liat,Genteng glazur,Genteng beton,Sirap,Galvalum / Zincalum,Asbes,Seng gelombang,Fiber gelombang,Dak beton,'- - - - - - - - - -"</formula1>
    </dataValidation>
    <dataValidation type="list" allowBlank="1" showInputMessage="1" showErrorMessage="1" sqref="AH39:AM39">
      <formula1>"Besi,Besi tempa,Batu bata,BRC / Wiremesh,Panel beton,Alumunium,Tanpa pagar,'- - - - - - - - - -"</formula1>
    </dataValidation>
    <dataValidation type="whole" operator="lessThan" allowBlank="1" showInputMessage="1" showErrorMessage="1" sqref="D131:AB156 AO42 C42 C35 AF7:AO7 D8:E8 F7:J8 C7:C8 M7:M8 O7:AD7 AJ13:AO19 C5:AO5 V44 AP19:AR19 U46:V46 AO35 D69:AE69 C62:AO62 V60:AO60 C54:C59">
      <formula1>-5</formula1>
    </dataValidation>
    <dataValidation operator="lessThan" allowBlank="1" showInputMessage="1" showErrorMessage="1" sqref="AS69 AJ69:AL69 F60 AN69:AP69"/>
    <dataValidation type="list" allowBlank="1" showInputMessage="1" showErrorMessage="1" sqref="K63 Z6 L6 AM6 X51:X53 K51:K53 X63">
      <formula1>"√, -"</formula1>
    </dataValidation>
    <dataValidation type="list" allowBlank="1" showInputMessage="1" showErrorMessage="1" sqref="K47:S47">
      <formula1>"Sumur bor / pantek,PDAM,PDAM &amp; sumur bor / pantek,Artesis,Tidak ada,'-"</formula1>
    </dataValidation>
    <dataValidation type="list" allowBlank="1" showInputMessage="1" showErrorMessage="1" sqref="K46">
      <formula1>"'-,Tidak ada,1,2,3,4,5,6,7,8,9,10"</formula1>
    </dataValidation>
    <dataValidation type="list" allowBlank="1" showInputMessage="1" showErrorMessage="1" sqref="AH36:AM36 AH43:AM43">
      <formula1>"Asbes,Triplek,Kayu,Gypsum,Tanpa plafond,'- - - - - - - - - -"</formula1>
    </dataValidation>
    <dataValidation type="list" allowBlank="1" showInputMessage="1" showErrorMessage="1" sqref="U36:Z36 U43:Z43">
      <formula1>"Kayu kelas-1,Kayu kelas-2,Kayu kelas-3,Alumunium,Baja / Besi,Tanpa kusen,'- - - - - - - - - -"</formula1>
    </dataValidation>
    <dataValidation type="list" allowBlank="1" showInputMessage="1" showErrorMessage="1" sqref="J38:O39">
      <formula1>"Batu bata,Habel plester &amp; dicat,Batako,Papan,Anyaman bambu,Tanpa dinding,'- - - - - - - - - -"</formula1>
    </dataValidation>
    <dataValidation type="list" allowBlank="1" showInputMessage="1" showErrorMessage="1" sqref="I43:N43 J37:O37 I36:N36">
      <formula1>"Beton,Batu kali,Umpak,Roolag bata,Tiang pancang,'- - - - - - - - - -"</formula1>
    </dataValidation>
    <dataValidation type="list" allowBlank="1" showInputMessage="1" showErrorMessage="1" sqref="V37">
      <formula1>"Granit,Keramik,Marmer,Keramik Kelas I,Beton,Keramik Kelas II,Teraso,Ubin PC,Semen,Cor beton,Tanpa lantai,'- - - - - - - - - -"</formula1>
    </dataValidation>
    <dataValidation type="list" allowBlank="1" showInputMessage="1" showErrorMessage="1" sqref="V38">
      <formula1>"Plitur,Cat halus,Cat sedang,Cat kasar,Tanpa cat / plitur,Tanpa kusen,'- - - - - - - - - -"</formula1>
    </dataValidation>
    <dataValidation type="list" allowBlank="1" showInputMessage="1" showErrorMessage="1" sqref="V39">
      <formula1>"Beton railing besi,Beton railing kayu,Beton railing besi SS,Beton tanpa railing,Plat besi,Kayu,Tanpa tangga,'- - - - - - - - - -"</formula1>
    </dataValidation>
    <dataValidation type="list" allowBlank="1" showInputMessage="1" showErrorMessage="1" sqref="K45:M45">
      <formula1>"'-,Tidak ada,1,2,3,4,5,6,7,8,9,10,11,12,13,14,15,16,17,18,19,20"</formula1>
    </dataValidation>
    <dataValidation type="list" operator="lessThan" allowBlank="1" showInputMessage="1" showErrorMessage="1" sqref="N45:R45">
      <formula1>"tipe split,tipe window,tipe cassette,tipe spilt &amp; window,tipe spilt &amp; cassette, '- - - - - - - - - -"</formula1>
    </dataValidation>
    <dataValidation type="list" allowBlank="1" showInputMessage="1" showErrorMessage="1" sqref="K44:S44">
      <formula1>"'-,Belum terpasang,Tidak ada,450,900,1300,2200,3500,4400,5500,6600,13000,22000,'----------"</formula1>
    </dataValidation>
    <dataValidation type="list" allowBlank="1" showInputMessage="1" showErrorMessage="1" sqref="M30:S30">
      <formula1>"Tertata &amp; baik,Cukup tertata,Kurang tertata,'- - - - - - - - - -"</formula1>
    </dataValidation>
    <dataValidation type="list" allowBlank="1" showInputMessage="1" showErrorMessage="1" sqref="M29:S29">
      <formula1>"Bagian Belakang, Hanya Bagian Samping,Bagian depan,Bagian depan &amp; samping,Sekeliling properti,Tanpa pagar,'- - - - - - - - - -"</formula1>
    </dataValidation>
    <dataValidation type="list" allowBlank="1" showInputMessage="1" showErrorMessage="1" sqref="M26:S26">
      <formula1>"Standar,Minimalis,Modern,Klasik,'- - - - - - - - - -"</formula1>
    </dataValidation>
    <dataValidation type="list" allowBlank="1" showInputMessage="1" showErrorMessage="1" sqref="N9 U9">
      <formula1>$F$76:$F$126</formula1>
    </dataValidation>
  </dataValidations>
  <pageMargins left="0.5" right="0" top="0" bottom="0.39370078740157499" header="0.31496062992126" footer="0"/>
  <pageSetup paperSize="9" scale="90"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sheetPr>
  <dimension ref="A2:AU72"/>
  <sheetViews>
    <sheetView showGridLines="0" view="pageBreakPreview" topLeftCell="A7" zoomScaleSheetLayoutView="100" workbookViewId="0">
      <selection activeCell="U14" sqref="U14:AH14"/>
    </sheetView>
  </sheetViews>
  <sheetFormatPr defaultColWidth="2.7109375" defaultRowHeight="12.95" customHeight="1"/>
  <cols>
    <col min="1" max="1" width="5.7109375" style="438" customWidth="1"/>
    <col min="2" max="2" width="5.140625" style="438" customWidth="1"/>
    <col min="3" max="3" width="2.7109375" style="298" customWidth="1"/>
    <col min="4" max="11" width="2.7109375" style="299" customWidth="1"/>
    <col min="12" max="12" width="1.85546875" style="299" customWidth="1"/>
    <col min="13" max="13" width="1" style="299" customWidth="1"/>
    <col min="14" max="41" width="2.7109375" style="299" customWidth="1"/>
    <col min="42" max="16384" width="2.7109375" style="438"/>
  </cols>
  <sheetData>
    <row r="2" spans="3:41" ht="60.75" customHeight="1"/>
    <row r="3" spans="3:41" s="304" customFormat="1" ht="18" customHeight="1">
      <c r="C3" s="2168" t="s">
        <v>2313</v>
      </c>
      <c r="D3" s="2169"/>
      <c r="E3" s="2169"/>
      <c r="F3" s="2169"/>
      <c r="G3" s="2169"/>
      <c r="H3" s="2169"/>
      <c r="I3" s="2169"/>
      <c r="J3" s="2169"/>
      <c r="K3" s="2169"/>
      <c r="L3" s="2169"/>
      <c r="M3" s="2169"/>
      <c r="N3" s="2169"/>
      <c r="O3" s="2169"/>
      <c r="P3" s="2169"/>
      <c r="Q3" s="2169"/>
      <c r="R3" s="2169"/>
      <c r="S3" s="2169"/>
      <c r="T3" s="2169"/>
      <c r="U3" s="1158"/>
      <c r="V3" s="1159"/>
      <c r="W3" s="1048"/>
      <c r="X3" s="1048"/>
      <c r="Y3" s="1048"/>
      <c r="Z3" s="301"/>
      <c r="AA3" s="301"/>
      <c r="AB3" s="301"/>
      <c r="AC3" s="301"/>
      <c r="AD3" s="301"/>
      <c r="AE3" s="300"/>
      <c r="AF3" s="300"/>
      <c r="AG3" s="300"/>
      <c r="AH3" s="300"/>
      <c r="AI3" s="300"/>
      <c r="AJ3" s="300"/>
      <c r="AK3" s="300"/>
      <c r="AL3" s="300"/>
      <c r="AM3" s="300"/>
      <c r="AN3" s="300"/>
      <c r="AO3" s="300"/>
    </row>
    <row r="4" spans="3:41" s="848" customFormat="1" ht="18" customHeight="1">
      <c r="C4" s="354" t="s">
        <v>1770</v>
      </c>
      <c r="D4" s="879" t="s">
        <v>2314</v>
      </c>
      <c r="E4" s="1157"/>
      <c r="F4" s="1157"/>
      <c r="G4" s="1157"/>
      <c r="H4" s="1157"/>
      <c r="I4" s="1157"/>
      <c r="J4" s="1157"/>
      <c r="K4" s="1157"/>
      <c r="L4" s="1157"/>
      <c r="M4" s="1157"/>
      <c r="N4" s="1157"/>
      <c r="O4" s="1157"/>
      <c r="P4" s="1157"/>
      <c r="Q4" s="1157"/>
      <c r="R4" s="1157"/>
      <c r="S4" s="1157"/>
      <c r="T4" s="1157"/>
      <c r="U4" s="1157"/>
      <c r="V4" s="1157"/>
      <c r="W4" s="879"/>
      <c r="X4" s="879"/>
      <c r="Y4" s="879"/>
      <c r="Z4" s="1107"/>
      <c r="AA4" s="1107"/>
      <c r="AB4" s="1107"/>
      <c r="AC4" s="1107"/>
      <c r="AD4" s="1107"/>
      <c r="AE4" s="1108"/>
      <c r="AF4" s="1108"/>
      <c r="AG4" s="1108"/>
      <c r="AH4" s="1108"/>
      <c r="AI4" s="1108"/>
      <c r="AJ4" s="1108"/>
      <c r="AK4" s="1108"/>
      <c r="AL4" s="1108"/>
      <c r="AM4" s="1108"/>
      <c r="AN4" s="1108"/>
      <c r="AO4" s="847"/>
    </row>
    <row r="5" spans="3:41" s="848" customFormat="1" ht="3" customHeight="1">
      <c r="C5" s="803"/>
      <c r="D5" s="849"/>
      <c r="E5" s="850"/>
      <c r="F5" s="850"/>
      <c r="G5" s="850"/>
      <c r="H5" s="850"/>
      <c r="I5" s="850"/>
      <c r="J5" s="850"/>
      <c r="K5" s="850"/>
      <c r="L5" s="850"/>
      <c r="M5" s="850"/>
      <c r="N5" s="850"/>
      <c r="O5" s="850"/>
      <c r="P5" s="850"/>
      <c r="Q5" s="850"/>
      <c r="R5" s="850"/>
      <c r="S5" s="850"/>
      <c r="T5" s="850"/>
      <c r="U5" s="850"/>
      <c r="V5" s="850"/>
      <c r="W5" s="851"/>
      <c r="X5" s="851"/>
      <c r="Y5" s="851"/>
      <c r="Z5" s="851"/>
      <c r="AA5" s="851"/>
      <c r="AB5" s="851"/>
      <c r="AC5" s="851"/>
      <c r="AD5" s="851"/>
      <c r="AE5" s="852"/>
      <c r="AF5" s="852"/>
      <c r="AG5" s="852"/>
      <c r="AH5" s="852"/>
      <c r="AI5" s="852"/>
      <c r="AJ5" s="852"/>
      <c r="AK5" s="852"/>
      <c r="AL5" s="852"/>
      <c r="AM5" s="852"/>
      <c r="AN5" s="852"/>
      <c r="AO5" s="1114"/>
    </row>
    <row r="6" spans="3:41" s="456" customFormat="1" ht="15.6" customHeight="1">
      <c r="C6" s="316" t="s">
        <v>1770</v>
      </c>
      <c r="D6" s="317" t="str">
        <f>+Entry!$B$16</f>
        <v>Calon Debitur</v>
      </c>
      <c r="E6" s="317"/>
      <c r="F6" s="317"/>
      <c r="G6" s="317"/>
      <c r="H6" s="317"/>
      <c r="I6" s="320" t="s">
        <v>5</v>
      </c>
      <c r="J6" s="317" t="str">
        <f>+Entry!$L$16</f>
        <v>PT. XYZ</v>
      </c>
      <c r="K6" s="317"/>
      <c r="L6" s="317"/>
      <c r="M6" s="349"/>
      <c r="N6" s="317"/>
      <c r="O6" s="317"/>
      <c r="P6" s="317"/>
      <c r="Q6" s="317"/>
      <c r="R6" s="317"/>
      <c r="S6" s="317"/>
      <c r="T6" s="317"/>
      <c r="U6" s="317"/>
      <c r="V6" s="317"/>
      <c r="W6" s="317"/>
      <c r="Y6" s="323"/>
      <c r="Z6" s="317"/>
      <c r="AA6" s="317"/>
      <c r="AB6" s="317"/>
      <c r="AC6" s="317"/>
      <c r="AD6" s="318"/>
      <c r="AE6" s="317"/>
      <c r="AF6" s="349"/>
      <c r="AG6" s="320"/>
      <c r="AH6" s="321"/>
      <c r="AI6" s="317"/>
      <c r="AJ6" s="317"/>
      <c r="AK6" s="317"/>
      <c r="AL6" s="318"/>
      <c r="AM6" s="317"/>
      <c r="AO6" s="1120"/>
    </row>
    <row r="7" spans="3:41" s="456" customFormat="1" ht="15.6" customHeight="1">
      <c r="C7" s="316" t="s">
        <v>1770</v>
      </c>
      <c r="D7" s="317" t="str">
        <f>+Entry!$B$9</f>
        <v>Nomor Laporan</v>
      </c>
      <c r="E7" s="317"/>
      <c r="F7" s="317"/>
      <c r="G7" s="317"/>
      <c r="H7" s="317"/>
      <c r="I7" s="320" t="s">
        <v>5</v>
      </c>
      <c r="J7" s="317" t="str">
        <f>+Entry!$L$9</f>
        <v>0123-LK/KJPP-ASUS/V/18</v>
      </c>
      <c r="K7" s="317"/>
      <c r="L7" s="317"/>
      <c r="M7" s="349"/>
      <c r="N7" s="317"/>
      <c r="O7" s="317"/>
      <c r="P7" s="317"/>
      <c r="Q7" s="317"/>
      <c r="R7" s="317"/>
      <c r="S7" s="317"/>
      <c r="T7" s="317"/>
      <c r="U7" s="317"/>
      <c r="V7" s="317"/>
      <c r="W7" s="317"/>
      <c r="Y7" s="323"/>
      <c r="Z7" s="318"/>
      <c r="AA7" s="318"/>
      <c r="AB7" s="318"/>
      <c r="AC7" s="327"/>
      <c r="AD7" s="317"/>
      <c r="AE7" s="317"/>
      <c r="AF7" s="349"/>
      <c r="AG7" s="325"/>
      <c r="AH7" s="959"/>
      <c r="AI7" s="317"/>
      <c r="AJ7" s="317"/>
      <c r="AK7" s="317"/>
      <c r="AL7" s="318"/>
      <c r="AM7" s="317"/>
      <c r="AO7" s="1120"/>
    </row>
    <row r="8" spans="3:41" s="456" customFormat="1" ht="3" customHeight="1">
      <c r="C8" s="853"/>
      <c r="D8" s="854"/>
      <c r="E8" s="854"/>
      <c r="F8" s="854"/>
      <c r="G8" s="854"/>
      <c r="H8" s="854"/>
      <c r="I8" s="854"/>
      <c r="J8" s="855"/>
      <c r="K8" s="855"/>
      <c r="L8" s="855"/>
      <c r="M8" s="856"/>
      <c r="N8" s="856"/>
      <c r="O8" s="856"/>
      <c r="P8" s="856"/>
      <c r="Q8" s="856"/>
      <c r="R8" s="856"/>
      <c r="S8" s="856"/>
      <c r="T8" s="856"/>
      <c r="U8" s="856"/>
      <c r="V8" s="856"/>
      <c r="W8" s="856"/>
      <c r="X8" s="856"/>
      <c r="Y8" s="856"/>
      <c r="Z8" s="856"/>
      <c r="AA8" s="856"/>
      <c r="AB8" s="856"/>
      <c r="AC8" s="856"/>
      <c r="AD8" s="856"/>
      <c r="AE8" s="856"/>
      <c r="AF8" s="856"/>
      <c r="AG8" s="856"/>
      <c r="AH8" s="856"/>
      <c r="AI8" s="856"/>
      <c r="AJ8" s="856"/>
      <c r="AK8" s="856"/>
      <c r="AL8" s="856"/>
      <c r="AM8" s="856"/>
      <c r="AN8" s="856"/>
      <c r="AO8" s="857"/>
    </row>
    <row r="9" spans="3:41" s="456" customFormat="1" ht="8.1" customHeight="1">
      <c r="C9" s="314"/>
      <c r="D9" s="317"/>
      <c r="E9" s="317"/>
      <c r="F9" s="317"/>
      <c r="G9" s="317"/>
      <c r="H9" s="317"/>
      <c r="I9" s="317"/>
      <c r="J9" s="320"/>
      <c r="K9" s="320"/>
      <c r="L9" s="320"/>
      <c r="M9" s="455"/>
      <c r="N9" s="455"/>
      <c r="O9" s="455"/>
      <c r="P9" s="455"/>
      <c r="Q9" s="455"/>
      <c r="R9" s="455"/>
      <c r="S9" s="455"/>
      <c r="T9" s="455"/>
      <c r="U9" s="455"/>
      <c r="V9" s="455"/>
      <c r="W9" s="455"/>
      <c r="X9" s="455"/>
      <c r="Y9" s="455"/>
      <c r="Z9" s="455"/>
      <c r="AA9" s="455"/>
      <c r="AB9" s="455"/>
      <c r="AC9" s="455"/>
      <c r="AD9" s="455"/>
      <c r="AE9" s="455"/>
      <c r="AF9" s="455"/>
      <c r="AG9" s="455"/>
      <c r="AH9" s="455"/>
      <c r="AI9" s="455"/>
      <c r="AJ9" s="455"/>
      <c r="AK9" s="455"/>
      <c r="AL9" s="455"/>
      <c r="AM9" s="455"/>
      <c r="AN9" s="455"/>
      <c r="AO9" s="317"/>
    </row>
    <row r="10" spans="3:41" s="493" customFormat="1" ht="18" customHeight="1">
      <c r="C10" s="2436" t="s">
        <v>1878</v>
      </c>
      <c r="D10" s="2437"/>
      <c r="E10" s="2437"/>
      <c r="F10" s="2437"/>
      <c r="G10" s="2437"/>
      <c r="H10" s="2437"/>
      <c r="I10" s="2437"/>
      <c r="J10" s="2437"/>
      <c r="K10" s="2437"/>
      <c r="L10" s="2437"/>
      <c r="M10" s="2438"/>
      <c r="N10" s="1491" t="s">
        <v>1901</v>
      </c>
      <c r="O10" s="1491"/>
      <c r="P10" s="1491"/>
      <c r="Q10" s="1491"/>
      <c r="R10" s="1491"/>
      <c r="S10" s="1491"/>
      <c r="T10" s="1491"/>
      <c r="U10" s="1491" t="s">
        <v>1902</v>
      </c>
      <c r="V10" s="1491"/>
      <c r="W10" s="1491"/>
      <c r="X10" s="1491"/>
      <c r="Y10" s="1491"/>
      <c r="Z10" s="1491"/>
      <c r="AA10" s="1491"/>
      <c r="AB10" s="1491" t="s">
        <v>1903</v>
      </c>
      <c r="AC10" s="1491"/>
      <c r="AD10" s="1491"/>
      <c r="AE10" s="1491"/>
      <c r="AF10" s="1491"/>
      <c r="AG10" s="1491"/>
      <c r="AH10" s="1491"/>
      <c r="AI10" s="1491" t="s">
        <v>1904</v>
      </c>
      <c r="AJ10" s="1491"/>
      <c r="AK10" s="1491"/>
      <c r="AL10" s="1491"/>
      <c r="AM10" s="1491"/>
      <c r="AN10" s="1491"/>
      <c r="AO10" s="2439"/>
    </row>
    <row r="11" spans="3:41" s="493" customFormat="1" ht="81.95" customHeight="1">
      <c r="C11" s="2440" t="s">
        <v>1908</v>
      </c>
      <c r="D11" s="2440"/>
      <c r="E11" s="2440"/>
      <c r="F11" s="2440"/>
      <c r="G11" s="2440"/>
      <c r="H11" s="2440"/>
      <c r="I11" s="2440"/>
      <c r="J11" s="2440"/>
      <c r="K11" s="2440"/>
      <c r="L11" s="2440"/>
      <c r="M11" s="2440"/>
      <c r="N11" s="2441"/>
      <c r="O11" s="2441"/>
      <c r="P11" s="2441"/>
      <c r="Q11" s="2441"/>
      <c r="R11" s="2441"/>
      <c r="S11" s="2441"/>
      <c r="T11" s="2441"/>
      <c r="U11" s="2441"/>
      <c r="V11" s="2441"/>
      <c r="W11" s="2441"/>
      <c r="X11" s="2441"/>
      <c r="Y11" s="2441"/>
      <c r="Z11" s="2441"/>
      <c r="AA11" s="2441"/>
      <c r="AB11" s="2441"/>
      <c r="AC11" s="2441"/>
      <c r="AD11" s="2441"/>
      <c r="AE11" s="2441"/>
      <c r="AF11" s="2441"/>
      <c r="AG11" s="2441"/>
      <c r="AH11" s="2441"/>
      <c r="AI11" s="2441"/>
      <c r="AJ11" s="2441"/>
      <c r="AK11" s="2441"/>
      <c r="AL11" s="2441"/>
      <c r="AM11" s="2441"/>
      <c r="AN11" s="2441"/>
      <c r="AO11" s="2441"/>
    </row>
    <row r="12" spans="3:41" s="360" customFormat="1" ht="15.95" customHeight="1">
      <c r="C12" s="1543" t="s">
        <v>1913</v>
      </c>
      <c r="D12" s="1544"/>
      <c r="E12" s="1544"/>
      <c r="F12" s="1544"/>
      <c r="G12" s="1544"/>
      <c r="H12" s="1544"/>
      <c r="I12" s="1544"/>
      <c r="J12" s="1544"/>
      <c r="K12" s="1544"/>
      <c r="L12" s="1544"/>
      <c r="M12" s="1544"/>
      <c r="N12" s="1545"/>
      <c r="O12" s="1545"/>
      <c r="P12" s="1545"/>
      <c r="Q12" s="1545"/>
      <c r="R12" s="1545"/>
      <c r="S12" s="1545"/>
      <c r="T12" s="1545"/>
      <c r="U12" s="1545"/>
      <c r="V12" s="1545"/>
      <c r="W12" s="1545"/>
      <c r="X12" s="1545"/>
      <c r="Y12" s="1545"/>
      <c r="Z12" s="1545"/>
      <c r="AA12" s="1545"/>
      <c r="AB12" s="1545"/>
      <c r="AC12" s="1545"/>
      <c r="AD12" s="1545"/>
      <c r="AE12" s="1545"/>
      <c r="AF12" s="1545"/>
      <c r="AG12" s="1545"/>
      <c r="AH12" s="1545"/>
      <c r="AI12" s="1545"/>
      <c r="AJ12" s="1545"/>
      <c r="AK12" s="1545"/>
      <c r="AL12" s="1545"/>
      <c r="AM12" s="1545"/>
      <c r="AN12" s="1545"/>
      <c r="AO12" s="1546"/>
    </row>
    <row r="13" spans="3:41" s="360" customFormat="1" ht="14.45" customHeight="1">
      <c r="C13" s="466" t="s">
        <v>1770</v>
      </c>
      <c r="D13" s="467" t="str">
        <f>DB!C8</f>
        <v>Sumber data (nama)</v>
      </c>
      <c r="E13" s="467"/>
      <c r="F13" s="467"/>
      <c r="G13" s="467"/>
      <c r="H13" s="467"/>
      <c r="I13" s="467"/>
      <c r="J13" s="858"/>
      <c r="K13" s="858"/>
      <c r="L13" s="858"/>
      <c r="M13" s="468"/>
      <c r="N13" s="2417"/>
      <c r="O13" s="2418"/>
      <c r="P13" s="2418"/>
      <c r="Q13" s="2418"/>
      <c r="R13" s="2418"/>
      <c r="S13" s="2418"/>
      <c r="T13" s="2419"/>
      <c r="U13" s="2432" t="str">
        <f>DB!V8</f>
        <v>Bpk. Harun</v>
      </c>
      <c r="V13" s="2432"/>
      <c r="W13" s="2432"/>
      <c r="X13" s="2432"/>
      <c r="Y13" s="2432"/>
      <c r="Z13" s="2432"/>
      <c r="AA13" s="2432"/>
      <c r="AB13" s="2433" t="str">
        <f>DB!AH8</f>
        <v>Bpk. Jaya</v>
      </c>
      <c r="AC13" s="2434"/>
      <c r="AD13" s="2434"/>
      <c r="AE13" s="2434"/>
      <c r="AF13" s="2434"/>
      <c r="AG13" s="2434"/>
      <c r="AH13" s="2435"/>
      <c r="AI13" s="2433" t="str">
        <f>DB!AT8</f>
        <v>Bpk. Ujang</v>
      </c>
      <c r="AJ13" s="2434"/>
      <c r="AK13" s="2434"/>
      <c r="AL13" s="2434"/>
      <c r="AM13" s="2434"/>
      <c r="AN13" s="2434"/>
      <c r="AO13" s="2435"/>
    </row>
    <row r="14" spans="3:41" s="360" customFormat="1" ht="14.45" customHeight="1">
      <c r="C14" s="466" t="s">
        <v>1770</v>
      </c>
      <c r="D14" s="467" t="str">
        <f>DB!C9</f>
        <v>Keterangan sumber data</v>
      </c>
      <c r="E14" s="467"/>
      <c r="F14" s="467"/>
      <c r="G14" s="467"/>
      <c r="H14" s="467"/>
      <c r="I14" s="467"/>
      <c r="J14" s="858"/>
      <c r="K14" s="858"/>
      <c r="L14" s="858"/>
      <c r="M14" s="468"/>
      <c r="N14" s="2417"/>
      <c r="O14" s="2418"/>
      <c r="P14" s="2418"/>
      <c r="Q14" s="2418"/>
      <c r="R14" s="2418"/>
      <c r="S14" s="2418"/>
      <c r="T14" s="2419"/>
      <c r="U14" s="2432" t="str">
        <f>DB!V9</f>
        <v>Pemilik</v>
      </c>
      <c r="V14" s="2432"/>
      <c r="W14" s="2432"/>
      <c r="X14" s="2432"/>
      <c r="Y14" s="2432"/>
      <c r="Z14" s="2432"/>
      <c r="AA14" s="2432"/>
      <c r="AB14" s="2433" t="str">
        <f>DB!AH9</f>
        <v>Pemilik</v>
      </c>
      <c r="AC14" s="2434"/>
      <c r="AD14" s="2434"/>
      <c r="AE14" s="2434"/>
      <c r="AF14" s="2434"/>
      <c r="AG14" s="2434"/>
      <c r="AH14" s="2435"/>
      <c r="AI14" s="2433" t="str">
        <f>DB!AT9</f>
        <v>Pemilik</v>
      </c>
      <c r="AJ14" s="2434"/>
      <c r="AK14" s="2434"/>
      <c r="AL14" s="2434"/>
      <c r="AM14" s="2434"/>
      <c r="AN14" s="2434"/>
      <c r="AO14" s="2435"/>
    </row>
    <row r="15" spans="3:41" s="360" customFormat="1" ht="14.45" customHeight="1">
      <c r="C15" s="466" t="s">
        <v>1770</v>
      </c>
      <c r="D15" s="467" t="str">
        <f>DB!C11</f>
        <v>Jenis properti</v>
      </c>
      <c r="E15" s="467"/>
      <c r="F15" s="467"/>
      <c r="G15" s="467"/>
      <c r="H15" s="467"/>
      <c r="I15" s="467"/>
      <c r="J15" s="858"/>
      <c r="K15" s="858"/>
      <c r="L15" s="858"/>
      <c r="M15" s="468"/>
      <c r="N15" s="2442" t="e">
        <f>#REF!</f>
        <v>#REF!</v>
      </c>
      <c r="O15" s="2443"/>
      <c r="P15" s="2443"/>
      <c r="Q15" s="2443"/>
      <c r="R15" s="2443"/>
      <c r="S15" s="2443"/>
      <c r="T15" s="2444"/>
      <c r="U15" s="2408" t="str">
        <f>DB!V11</f>
        <v>Tanah Kosong</v>
      </c>
      <c r="V15" s="2409"/>
      <c r="W15" s="2409"/>
      <c r="X15" s="2409"/>
      <c r="Y15" s="2409"/>
      <c r="Z15" s="2409"/>
      <c r="AA15" s="2410"/>
      <c r="AB15" s="2433" t="str">
        <f>DB!AH11</f>
        <v>Tanah Kosong</v>
      </c>
      <c r="AC15" s="2434"/>
      <c r="AD15" s="2434"/>
      <c r="AE15" s="2434"/>
      <c r="AF15" s="2434"/>
      <c r="AG15" s="2434"/>
      <c r="AH15" s="2435"/>
      <c r="AI15" s="2408" t="str">
        <f>DB!AT11</f>
        <v>Tanah Kosong</v>
      </c>
      <c r="AJ15" s="2409"/>
      <c r="AK15" s="2409"/>
      <c r="AL15" s="2409"/>
      <c r="AM15" s="2409"/>
      <c r="AN15" s="2409"/>
      <c r="AO15" s="2410"/>
    </row>
    <row r="16" spans="3:41" s="456" customFormat="1" ht="14.45" customHeight="1">
      <c r="C16" s="1102" t="s">
        <v>1770</v>
      </c>
      <c r="D16" s="474" t="str">
        <f>DB!C12</f>
        <v>Alamat</v>
      </c>
      <c r="E16" s="474"/>
      <c r="F16" s="474"/>
      <c r="G16" s="474"/>
      <c r="H16" s="474"/>
      <c r="I16" s="474"/>
      <c r="J16" s="859"/>
      <c r="K16" s="859"/>
      <c r="L16" s="859"/>
      <c r="M16" s="475"/>
      <c r="N16" s="2411"/>
      <c r="O16" s="2412"/>
      <c r="P16" s="2412"/>
      <c r="Q16" s="2412"/>
      <c r="R16" s="2412"/>
      <c r="S16" s="2412"/>
      <c r="T16" s="2413"/>
      <c r="U16" s="2426" t="str">
        <f>DB!V12</f>
        <v>Jl. Prabu Kian Santang</v>
      </c>
      <c r="V16" s="2427"/>
      <c r="W16" s="2427"/>
      <c r="X16" s="2427"/>
      <c r="Y16" s="2427"/>
      <c r="Z16" s="2427"/>
      <c r="AA16" s="2428"/>
      <c r="AB16" s="2429" t="str">
        <f>DB!AH12</f>
        <v>Jl. Prabu Kian Santang</v>
      </c>
      <c r="AC16" s="2430"/>
      <c r="AD16" s="2430"/>
      <c r="AE16" s="2430"/>
      <c r="AF16" s="2430"/>
      <c r="AG16" s="2430"/>
      <c r="AH16" s="2431"/>
      <c r="AI16" s="2426" t="str">
        <f>DB!AT12</f>
        <v>Jl. Prabu Kian Santang</v>
      </c>
      <c r="AJ16" s="2427"/>
      <c r="AK16" s="2427"/>
      <c r="AL16" s="2427"/>
      <c r="AM16" s="2427"/>
      <c r="AN16" s="2427"/>
      <c r="AO16" s="2428"/>
    </row>
    <row r="17" spans="1:41" s="360" customFormat="1" ht="14.45" customHeight="1">
      <c r="C17" s="466" t="s">
        <v>1770</v>
      </c>
      <c r="D17" s="467" t="str">
        <f>DB!C13</f>
        <v>Jarak dengan obyek</v>
      </c>
      <c r="E17" s="467"/>
      <c r="F17" s="467"/>
      <c r="G17" s="467"/>
      <c r="H17" s="467"/>
      <c r="I17" s="467"/>
      <c r="J17" s="858"/>
      <c r="K17" s="858"/>
      <c r="L17" s="858"/>
      <c r="M17" s="468"/>
      <c r="N17" s="2417"/>
      <c r="O17" s="2418"/>
      <c r="P17" s="2418"/>
      <c r="Q17" s="2418"/>
      <c r="R17" s="2418"/>
      <c r="S17" s="2418"/>
      <c r="T17" s="2419"/>
      <c r="U17" s="2405">
        <f>DB!V13</f>
        <v>210</v>
      </c>
      <c r="V17" s="2406"/>
      <c r="W17" s="2406"/>
      <c r="X17" s="2406"/>
      <c r="Y17" s="2406"/>
      <c r="Z17" s="2406"/>
      <c r="AA17" s="2407"/>
      <c r="AB17" s="2405">
        <f>DB!AH13</f>
        <v>800</v>
      </c>
      <c r="AC17" s="2406"/>
      <c r="AD17" s="2406"/>
      <c r="AE17" s="2406"/>
      <c r="AF17" s="2406"/>
      <c r="AG17" s="2406"/>
      <c r="AH17" s="2407"/>
      <c r="AI17" s="2405">
        <f>DB!AT13</f>
        <v>850</v>
      </c>
      <c r="AJ17" s="2406"/>
      <c r="AK17" s="2406"/>
      <c r="AL17" s="2406"/>
      <c r="AM17" s="2406"/>
      <c r="AN17" s="2406"/>
      <c r="AO17" s="2407"/>
    </row>
    <row r="18" spans="1:41" s="360" customFormat="1" ht="14.45" customHeight="1">
      <c r="C18" s="466" t="s">
        <v>1770</v>
      </c>
      <c r="D18" s="467" t="str">
        <f>DB!C14</f>
        <v>Harga penawaran</v>
      </c>
      <c r="E18" s="467"/>
      <c r="F18" s="467"/>
      <c r="G18" s="467"/>
      <c r="H18" s="467"/>
      <c r="I18" s="467"/>
      <c r="J18" s="858"/>
      <c r="K18" s="858"/>
      <c r="L18" s="858"/>
      <c r="M18" s="468"/>
      <c r="N18" s="2417"/>
      <c r="O18" s="2418"/>
      <c r="P18" s="2418"/>
      <c r="Q18" s="2418"/>
      <c r="R18" s="2418"/>
      <c r="S18" s="2418"/>
      <c r="T18" s="2419"/>
      <c r="U18" s="2423">
        <f>DB!V14</f>
        <v>1500000000</v>
      </c>
      <c r="V18" s="2424"/>
      <c r="W18" s="2424"/>
      <c r="X18" s="2424"/>
      <c r="Y18" s="2424"/>
      <c r="Z18" s="2424"/>
      <c r="AA18" s="2425"/>
      <c r="AB18" s="2423">
        <f>DB!AH14</f>
        <v>3000000000</v>
      </c>
      <c r="AC18" s="2424"/>
      <c r="AD18" s="2424"/>
      <c r="AE18" s="2424"/>
      <c r="AF18" s="2424"/>
      <c r="AG18" s="2424"/>
      <c r="AH18" s="2425"/>
      <c r="AI18" s="2423">
        <f>DB!AT14</f>
        <v>3500000000</v>
      </c>
      <c r="AJ18" s="2424"/>
      <c r="AK18" s="2424"/>
      <c r="AL18" s="2424"/>
      <c r="AM18" s="2424"/>
      <c r="AN18" s="2424"/>
      <c r="AO18" s="2425"/>
    </row>
    <row r="19" spans="1:41" s="360" customFormat="1" ht="14.45" hidden="1" customHeight="1">
      <c r="C19" s="466" t="s">
        <v>1770</v>
      </c>
      <c r="D19" s="467" t="s">
        <v>1922</v>
      </c>
      <c r="E19" s="467"/>
      <c r="F19" s="467"/>
      <c r="G19" s="467"/>
      <c r="H19" s="467"/>
      <c r="I19" s="467"/>
      <c r="J19" s="858"/>
      <c r="K19" s="858"/>
      <c r="L19" s="858"/>
      <c r="M19" s="468"/>
      <c r="N19" s="2417"/>
      <c r="O19" s="2418"/>
      <c r="P19" s="2418"/>
      <c r="Q19" s="2418"/>
      <c r="R19" s="2418"/>
      <c r="S19" s="2418"/>
      <c r="T19" s="2419"/>
      <c r="U19" s="2420">
        <f>DB!V15</f>
        <v>0.1</v>
      </c>
      <c r="V19" s="2421"/>
      <c r="W19" s="2421"/>
      <c r="X19" s="2421"/>
      <c r="Y19" s="2421"/>
      <c r="Z19" s="2421"/>
      <c r="AA19" s="2422"/>
      <c r="AB19" s="2420">
        <f>DB!AH15</f>
        <v>0.1</v>
      </c>
      <c r="AC19" s="2421"/>
      <c r="AD19" s="2421"/>
      <c r="AE19" s="2421"/>
      <c r="AF19" s="2421"/>
      <c r="AG19" s="2421"/>
      <c r="AH19" s="2422"/>
      <c r="AI19" s="2420">
        <f>DB!AT15</f>
        <v>0.1</v>
      </c>
      <c r="AJ19" s="2421"/>
      <c r="AK19" s="2421"/>
      <c r="AL19" s="2421"/>
      <c r="AM19" s="2421"/>
      <c r="AN19" s="2421"/>
      <c r="AO19" s="2422"/>
    </row>
    <row r="20" spans="1:41" s="360" customFormat="1" ht="14.45" hidden="1" customHeight="1">
      <c r="C20" s="466" t="s">
        <v>1770</v>
      </c>
      <c r="D20" s="467" t="s">
        <v>1923</v>
      </c>
      <c r="E20" s="467"/>
      <c r="F20" s="467"/>
      <c r="G20" s="467"/>
      <c r="H20" s="467"/>
      <c r="I20" s="467"/>
      <c r="J20" s="858"/>
      <c r="K20" s="858"/>
      <c r="L20" s="858"/>
      <c r="M20" s="468"/>
      <c r="N20" s="2417"/>
      <c r="O20" s="2418"/>
      <c r="P20" s="2418"/>
      <c r="Q20" s="2418"/>
      <c r="R20" s="2418"/>
      <c r="S20" s="2418"/>
      <c r="T20" s="2419"/>
      <c r="U20" s="2423">
        <f>DB!V16</f>
        <v>1350000000</v>
      </c>
      <c r="V20" s="2424"/>
      <c r="W20" s="2424"/>
      <c r="X20" s="2424"/>
      <c r="Y20" s="2424"/>
      <c r="Z20" s="2424"/>
      <c r="AA20" s="2425"/>
      <c r="AB20" s="2423">
        <f>DB!AH16</f>
        <v>2700000000</v>
      </c>
      <c r="AC20" s="2424"/>
      <c r="AD20" s="2424"/>
      <c r="AE20" s="2424"/>
      <c r="AF20" s="2424"/>
      <c r="AG20" s="2424"/>
      <c r="AH20" s="2425"/>
      <c r="AI20" s="2423">
        <f>DB!AT16</f>
        <v>3150000000</v>
      </c>
      <c r="AJ20" s="2424"/>
      <c r="AK20" s="2424"/>
      <c r="AL20" s="2424"/>
      <c r="AM20" s="2424"/>
      <c r="AN20" s="2424"/>
      <c r="AO20" s="2425"/>
    </row>
    <row r="21" spans="1:41" s="456" customFormat="1" ht="14.45" customHeight="1">
      <c r="C21" s="466" t="s">
        <v>1770</v>
      </c>
      <c r="D21" s="474" t="str">
        <f>DB!C17</f>
        <v>Waktu penawaran / transaksi</v>
      </c>
      <c r="E21" s="474"/>
      <c r="F21" s="474"/>
      <c r="G21" s="474"/>
      <c r="H21" s="474"/>
      <c r="I21" s="474"/>
      <c r="J21" s="859"/>
      <c r="K21" s="859"/>
      <c r="L21" s="859"/>
      <c r="M21" s="475"/>
      <c r="N21" s="2411"/>
      <c r="O21" s="2412"/>
      <c r="P21" s="2412"/>
      <c r="Q21" s="2412"/>
      <c r="R21" s="2412"/>
      <c r="S21" s="2412"/>
      <c r="T21" s="2413"/>
      <c r="U21" s="2414" t="str">
        <f>DB!V17</f>
        <v>Saat ini</v>
      </c>
      <c r="V21" s="2415"/>
      <c r="W21" s="2415"/>
      <c r="X21" s="2415"/>
      <c r="Y21" s="2415"/>
      <c r="Z21" s="2415"/>
      <c r="AA21" s="2416"/>
      <c r="AB21" s="2414" t="str">
        <f>DB!AH17</f>
        <v>Saat ini</v>
      </c>
      <c r="AC21" s="2415"/>
      <c r="AD21" s="2415"/>
      <c r="AE21" s="2415"/>
      <c r="AF21" s="2415"/>
      <c r="AG21" s="2415"/>
      <c r="AH21" s="2416"/>
      <c r="AI21" s="2414" t="str">
        <f>DB!AT17</f>
        <v>Saat ini</v>
      </c>
      <c r="AJ21" s="2415"/>
      <c r="AK21" s="2415"/>
      <c r="AL21" s="2415"/>
      <c r="AM21" s="2415"/>
      <c r="AN21" s="2415"/>
      <c r="AO21" s="2416"/>
    </row>
    <row r="22" spans="1:41" s="360" customFormat="1" ht="15.95" customHeight="1">
      <c r="C22" s="1543" t="s">
        <v>1925</v>
      </c>
      <c r="D22" s="1544"/>
      <c r="E22" s="1544"/>
      <c r="F22" s="1544"/>
      <c r="G22" s="1544"/>
      <c r="H22" s="1544"/>
      <c r="I22" s="1544"/>
      <c r="J22" s="1544"/>
      <c r="K22" s="1544"/>
      <c r="L22" s="1544"/>
      <c r="M22" s="1544"/>
      <c r="N22" s="1545"/>
      <c r="O22" s="1545"/>
      <c r="P22" s="1545"/>
      <c r="Q22" s="1545"/>
      <c r="R22" s="1545"/>
      <c r="S22" s="1545"/>
      <c r="T22" s="1545"/>
      <c r="U22" s="1545"/>
      <c r="V22" s="1545"/>
      <c r="W22" s="1545"/>
      <c r="X22" s="1545"/>
      <c r="Y22" s="1545"/>
      <c r="Z22" s="1545"/>
      <c r="AA22" s="1545"/>
      <c r="AB22" s="1545"/>
      <c r="AC22" s="1545"/>
      <c r="AD22" s="1545"/>
      <c r="AE22" s="1545"/>
      <c r="AF22" s="1545"/>
      <c r="AG22" s="1545"/>
      <c r="AH22" s="1545"/>
      <c r="AI22" s="1545"/>
      <c r="AJ22" s="1545"/>
      <c r="AK22" s="1545"/>
      <c r="AL22" s="1545"/>
      <c r="AM22" s="1545"/>
      <c r="AN22" s="1545"/>
      <c r="AO22" s="1546"/>
    </row>
    <row r="23" spans="1:41" s="360" customFormat="1" ht="13.5" customHeight="1">
      <c r="C23" s="466" t="s">
        <v>1770</v>
      </c>
      <c r="D23" s="467" t="str">
        <f>DB!C19</f>
        <v>Dokumen / legalitas tanah</v>
      </c>
      <c r="E23" s="467"/>
      <c r="F23" s="467"/>
      <c r="G23" s="467"/>
      <c r="H23" s="467"/>
      <c r="I23" s="467"/>
      <c r="J23" s="858"/>
      <c r="K23" s="858"/>
      <c r="L23" s="858"/>
      <c r="M23" s="468"/>
      <c r="N23" s="1541" t="str">
        <f>DB!K19</f>
        <v>Hak Milik</v>
      </c>
      <c r="O23" s="1516"/>
      <c r="P23" s="1516"/>
      <c r="Q23" s="1516"/>
      <c r="R23" s="1516"/>
      <c r="S23" s="1516"/>
      <c r="T23" s="1516"/>
      <c r="U23" s="2408" t="str">
        <f>DB!V19</f>
        <v>SHM</v>
      </c>
      <c r="V23" s="2409"/>
      <c r="W23" s="2409"/>
      <c r="X23" s="2409"/>
      <c r="Y23" s="2409"/>
      <c r="Z23" s="2409"/>
      <c r="AA23" s="2410"/>
      <c r="AB23" s="2395" t="str">
        <f>DB!AH19</f>
        <v>SHM</v>
      </c>
      <c r="AC23" s="2409"/>
      <c r="AD23" s="2409"/>
      <c r="AE23" s="2409"/>
      <c r="AF23" s="2409"/>
      <c r="AG23" s="2409"/>
      <c r="AH23" s="2410"/>
      <c r="AI23" s="2395" t="str">
        <f>DB!AT19</f>
        <v>SHM</v>
      </c>
      <c r="AJ23" s="2409"/>
      <c r="AK23" s="2409"/>
      <c r="AL23" s="2409"/>
      <c r="AM23" s="2409"/>
      <c r="AN23" s="2409"/>
      <c r="AO23" s="2410"/>
    </row>
    <row r="24" spans="1:41" s="360" customFormat="1" ht="13.5" customHeight="1">
      <c r="C24" s="466" t="s">
        <v>1770</v>
      </c>
      <c r="D24" s="467" t="str">
        <f>DB!C20</f>
        <v>Luas tanah</v>
      </c>
      <c r="E24" s="467"/>
      <c r="F24" s="467"/>
      <c r="G24" s="467"/>
      <c r="H24" s="467"/>
      <c r="I24" s="467"/>
      <c r="J24" s="858"/>
      <c r="K24" s="858"/>
      <c r="L24" s="858"/>
      <c r="M24" s="468"/>
      <c r="N24" s="2401">
        <f>DB!K20</f>
        <v>249</v>
      </c>
      <c r="O24" s="2401"/>
      <c r="P24" s="2401"/>
      <c r="Q24" s="2401"/>
      <c r="R24" s="2401"/>
      <c r="S24" s="2401"/>
      <c r="T24" s="2401"/>
      <c r="U24" s="2402">
        <f>DB!V20</f>
        <v>300</v>
      </c>
      <c r="V24" s="2403"/>
      <c r="W24" s="2403"/>
      <c r="X24" s="2403"/>
      <c r="Y24" s="2403"/>
      <c r="Z24" s="2403"/>
      <c r="AA24" s="2404"/>
      <c r="AB24" s="2402">
        <f>DB!AH20</f>
        <v>550</v>
      </c>
      <c r="AC24" s="2403"/>
      <c r="AD24" s="2403"/>
      <c r="AE24" s="2403"/>
      <c r="AF24" s="2403"/>
      <c r="AG24" s="2403"/>
      <c r="AH24" s="2404"/>
      <c r="AI24" s="2402">
        <f>DB!AT20</f>
        <v>700</v>
      </c>
      <c r="AJ24" s="2403"/>
      <c r="AK24" s="2403"/>
      <c r="AL24" s="2403"/>
      <c r="AM24" s="2403"/>
      <c r="AN24" s="2403"/>
      <c r="AO24" s="2404"/>
    </row>
    <row r="25" spans="1:41" s="360" customFormat="1" ht="13.5" customHeight="1">
      <c r="C25" s="466" t="s">
        <v>1770</v>
      </c>
      <c r="D25" s="467" t="str">
        <f>DB!C21</f>
        <v>Luas bangunan</v>
      </c>
      <c r="E25" s="467"/>
      <c r="F25" s="467"/>
      <c r="G25" s="467"/>
      <c r="H25" s="467"/>
      <c r="I25" s="467"/>
      <c r="J25" s="858"/>
      <c r="K25" s="858"/>
      <c r="L25" s="858"/>
      <c r="M25" s="468"/>
      <c r="N25" s="2401">
        <f>DB!K21</f>
        <v>249</v>
      </c>
      <c r="O25" s="2401"/>
      <c r="P25" s="2401"/>
      <c r="Q25" s="2401"/>
      <c r="R25" s="2401"/>
      <c r="S25" s="2401"/>
      <c r="T25" s="2401"/>
      <c r="U25" s="2402">
        <f>DB!V21</f>
        <v>0</v>
      </c>
      <c r="V25" s="2403"/>
      <c r="W25" s="2403"/>
      <c r="X25" s="2403"/>
      <c r="Y25" s="2403"/>
      <c r="Z25" s="2403"/>
      <c r="AA25" s="2404"/>
      <c r="AB25" s="2402">
        <f>DB!AH21</f>
        <v>0</v>
      </c>
      <c r="AC25" s="2403"/>
      <c r="AD25" s="2403"/>
      <c r="AE25" s="2403"/>
      <c r="AF25" s="2403"/>
      <c r="AG25" s="2403"/>
      <c r="AH25" s="2404"/>
      <c r="AI25" s="2402">
        <f>DB!AT21</f>
        <v>0</v>
      </c>
      <c r="AJ25" s="2403"/>
      <c r="AK25" s="2403"/>
      <c r="AL25" s="2403"/>
      <c r="AM25" s="2403"/>
      <c r="AN25" s="2403"/>
      <c r="AO25" s="2404"/>
    </row>
    <row r="26" spans="1:41" s="360" customFormat="1" ht="13.5" customHeight="1">
      <c r="A26" s="488"/>
      <c r="B26" s="488"/>
      <c r="C26" s="466" t="s">
        <v>1770</v>
      </c>
      <c r="D26" s="467" t="str">
        <f>DB!C24</f>
        <v>Lebar jalan</v>
      </c>
      <c r="E26" s="467"/>
      <c r="F26" s="467"/>
      <c r="G26" s="467"/>
      <c r="H26" s="467"/>
      <c r="I26" s="467"/>
      <c r="J26" s="858"/>
      <c r="K26" s="858"/>
      <c r="L26" s="858"/>
      <c r="M26" s="468"/>
      <c r="N26" s="2405">
        <f>DB!K24</f>
        <v>8</v>
      </c>
      <c r="O26" s="2406"/>
      <c r="P26" s="2406"/>
      <c r="Q26" s="2406"/>
      <c r="R26" s="2406"/>
      <c r="S26" s="2406"/>
      <c r="T26" s="2407"/>
      <c r="U26" s="2405">
        <f>DB!V24</f>
        <v>8</v>
      </c>
      <c r="V26" s="2406"/>
      <c r="W26" s="2406"/>
      <c r="X26" s="2406"/>
      <c r="Y26" s="2406"/>
      <c r="Z26" s="2406"/>
      <c r="AA26" s="2407"/>
      <c r="AB26" s="2405">
        <f>DB!AH24</f>
        <v>8</v>
      </c>
      <c r="AC26" s="2406"/>
      <c r="AD26" s="2406"/>
      <c r="AE26" s="2406"/>
      <c r="AF26" s="2406"/>
      <c r="AG26" s="2406"/>
      <c r="AH26" s="2407"/>
      <c r="AI26" s="2405">
        <f>DB!AT24</f>
        <v>8</v>
      </c>
      <c r="AJ26" s="2406"/>
      <c r="AK26" s="2406"/>
      <c r="AL26" s="2406"/>
      <c r="AM26" s="2406"/>
      <c r="AN26" s="2406"/>
      <c r="AO26" s="2407"/>
    </row>
    <row r="27" spans="1:41" s="360" customFormat="1" ht="13.5" customHeight="1">
      <c r="C27" s="466" t="s">
        <v>1770</v>
      </c>
      <c r="D27" s="467" t="str">
        <f>DB!C25</f>
        <v>Bentuk tanah</v>
      </c>
      <c r="E27" s="480"/>
      <c r="F27" s="480"/>
      <c r="G27" s="480"/>
      <c r="H27" s="480"/>
      <c r="I27" s="480"/>
      <c r="J27" s="860"/>
      <c r="K27" s="860"/>
      <c r="L27" s="860"/>
      <c r="M27" s="468"/>
      <c r="N27" s="1541" t="str">
        <f>DB!K25</f>
        <v>Persegi panjang</v>
      </c>
      <c r="O27" s="1516"/>
      <c r="P27" s="1516"/>
      <c r="Q27" s="1516"/>
      <c r="R27" s="1516"/>
      <c r="S27" s="1516"/>
      <c r="T27" s="1516"/>
      <c r="U27" s="2395" t="str">
        <f>DB!V25</f>
        <v>Segi empat</v>
      </c>
      <c r="V27" s="2396"/>
      <c r="W27" s="2396"/>
      <c r="X27" s="2396"/>
      <c r="Y27" s="2396"/>
      <c r="Z27" s="2396"/>
      <c r="AA27" s="2397"/>
      <c r="AB27" s="2398" t="str">
        <f>DB!AH25</f>
        <v>Segi empat</v>
      </c>
      <c r="AC27" s="2396"/>
      <c r="AD27" s="2396"/>
      <c r="AE27" s="2396"/>
      <c r="AF27" s="2396"/>
      <c r="AG27" s="2396"/>
      <c r="AH27" s="2397"/>
      <c r="AI27" s="2398" t="str">
        <f>DB!AT25</f>
        <v>Segi empat</v>
      </c>
      <c r="AJ27" s="2396"/>
      <c r="AK27" s="2396"/>
      <c r="AL27" s="2396"/>
      <c r="AM27" s="2396"/>
      <c r="AN27" s="2396"/>
      <c r="AO27" s="2397"/>
    </row>
    <row r="28" spans="1:41" s="360" customFormat="1" ht="13.5" customHeight="1">
      <c r="C28" s="466" t="s">
        <v>1770</v>
      </c>
      <c r="D28" s="467" t="str">
        <f>DB!C26</f>
        <v>Letak / posisi tanah</v>
      </c>
      <c r="E28" s="480"/>
      <c r="F28" s="480"/>
      <c r="G28" s="480"/>
      <c r="H28" s="480"/>
      <c r="I28" s="480"/>
      <c r="J28" s="860"/>
      <c r="K28" s="860"/>
      <c r="L28" s="860"/>
      <c r="M28" s="468"/>
      <c r="N28" s="1516" t="str">
        <f>DB!K26</f>
        <v>Tengah</v>
      </c>
      <c r="O28" s="1516"/>
      <c r="P28" s="1516"/>
      <c r="Q28" s="1516"/>
      <c r="R28" s="1516"/>
      <c r="S28" s="1516"/>
      <c r="T28" s="1516"/>
      <c r="U28" s="2395" t="str">
        <f>DB!V26</f>
        <v>Tengah</v>
      </c>
      <c r="V28" s="2396"/>
      <c r="W28" s="2396"/>
      <c r="X28" s="2396"/>
      <c r="Y28" s="2396"/>
      <c r="Z28" s="2396"/>
      <c r="AA28" s="2397"/>
      <c r="AB28" s="2395" t="str">
        <f>DB!AH26</f>
        <v>Tengah</v>
      </c>
      <c r="AC28" s="2396"/>
      <c r="AD28" s="2396"/>
      <c r="AE28" s="2396"/>
      <c r="AF28" s="2396"/>
      <c r="AG28" s="2396"/>
      <c r="AH28" s="2397"/>
      <c r="AI28" s="2398" t="str">
        <f>DB!AT26</f>
        <v>Tengah</v>
      </c>
      <c r="AJ28" s="2396"/>
      <c r="AK28" s="2396"/>
      <c r="AL28" s="2396"/>
      <c r="AM28" s="2396"/>
      <c r="AN28" s="2396"/>
      <c r="AO28" s="2397"/>
    </row>
    <row r="29" spans="1:41" s="360" customFormat="1" ht="13.5" customHeight="1">
      <c r="C29" s="466" t="s">
        <v>1770</v>
      </c>
      <c r="D29" s="467" t="str">
        <f>DB!C27</f>
        <v>Peruntukan / zoning</v>
      </c>
      <c r="E29" s="480"/>
      <c r="F29" s="480"/>
      <c r="G29" s="480"/>
      <c r="H29" s="480"/>
      <c r="I29" s="480"/>
      <c r="J29" s="860"/>
      <c r="K29" s="860"/>
      <c r="L29" s="860"/>
      <c r="M29" s="468"/>
      <c r="N29" s="1541" t="str">
        <f>DB!K27</f>
        <v>Pertokoan</v>
      </c>
      <c r="O29" s="1516"/>
      <c r="P29" s="1516"/>
      <c r="Q29" s="1516"/>
      <c r="R29" s="1516"/>
      <c r="S29" s="1516"/>
      <c r="T29" s="1516"/>
      <c r="U29" s="2399" t="str">
        <f>DB!V27</f>
        <v>Pertokoan</v>
      </c>
      <c r="V29" s="2396"/>
      <c r="W29" s="2396"/>
      <c r="X29" s="2396"/>
      <c r="Y29" s="2396"/>
      <c r="Z29" s="2396"/>
      <c r="AA29" s="2397"/>
      <c r="AB29" s="2399" t="str">
        <f>DB!AH27</f>
        <v>Pertokoan</v>
      </c>
      <c r="AC29" s="2396"/>
      <c r="AD29" s="2396"/>
      <c r="AE29" s="2396"/>
      <c r="AF29" s="2396"/>
      <c r="AG29" s="2396"/>
      <c r="AH29" s="2397"/>
      <c r="AI29" s="2400" t="str">
        <f>DB!AT27</f>
        <v>Perkantoran</v>
      </c>
      <c r="AJ29" s="2396"/>
      <c r="AK29" s="2396"/>
      <c r="AL29" s="2396"/>
      <c r="AM29" s="2396"/>
      <c r="AN29" s="2396"/>
      <c r="AO29" s="2397"/>
    </row>
    <row r="30" spans="1:41" s="360" customFormat="1" ht="13.5" customHeight="1">
      <c r="A30" s="861"/>
      <c r="B30" s="861"/>
      <c r="C30" s="466" t="s">
        <v>1770</v>
      </c>
      <c r="D30" s="467" t="str">
        <f>DB!C28</f>
        <v>Kondisi eksisting tanah</v>
      </c>
      <c r="E30" s="480"/>
      <c r="F30" s="480"/>
      <c r="G30" s="480"/>
      <c r="H30" s="480"/>
      <c r="I30" s="480"/>
      <c r="J30" s="860"/>
      <c r="K30" s="860"/>
      <c r="L30" s="860"/>
      <c r="M30" s="468"/>
      <c r="N30" s="1541" t="str">
        <f>DB!K28</f>
        <v>Tanah matang</v>
      </c>
      <c r="O30" s="1516"/>
      <c r="P30" s="1516"/>
      <c r="Q30" s="1516"/>
      <c r="R30" s="1516"/>
      <c r="S30" s="1516"/>
      <c r="T30" s="1516"/>
      <c r="U30" s="2395" t="str">
        <f>DB!V28</f>
        <v>Tanah kosong</v>
      </c>
      <c r="V30" s="2396"/>
      <c r="W30" s="2396"/>
      <c r="X30" s="2396"/>
      <c r="Y30" s="2396"/>
      <c r="Z30" s="2396"/>
      <c r="AA30" s="2397"/>
      <c r="AB30" s="2395" t="str">
        <f>DB!AH28</f>
        <v>Tanah kosong</v>
      </c>
      <c r="AC30" s="2396"/>
      <c r="AD30" s="2396"/>
      <c r="AE30" s="2396"/>
      <c r="AF30" s="2396"/>
      <c r="AG30" s="2396"/>
      <c r="AH30" s="2397"/>
      <c r="AI30" s="2398" t="str">
        <f>DB!AT28</f>
        <v>Tanah kosong</v>
      </c>
      <c r="AJ30" s="2396"/>
      <c r="AK30" s="2396"/>
      <c r="AL30" s="2396"/>
      <c r="AM30" s="2396"/>
      <c r="AN30" s="2396"/>
      <c r="AO30" s="2397"/>
    </row>
    <row r="31" spans="1:41" s="360" customFormat="1" ht="13.5" customHeight="1">
      <c r="C31" s="466" t="s">
        <v>1770</v>
      </c>
      <c r="D31" s="467" t="str">
        <f>DB!C29</f>
        <v>Kontur tanah / topograpi</v>
      </c>
      <c r="E31" s="482"/>
      <c r="F31" s="482"/>
      <c r="G31" s="482"/>
      <c r="H31" s="482"/>
      <c r="I31" s="482"/>
      <c r="J31" s="862"/>
      <c r="K31" s="862"/>
      <c r="L31" s="862"/>
      <c r="M31" s="483"/>
      <c r="N31" s="1541" t="str">
        <f>DB!K29</f>
        <v>Datar</v>
      </c>
      <c r="O31" s="1516"/>
      <c r="P31" s="1516"/>
      <c r="Q31" s="1516"/>
      <c r="R31" s="1516"/>
      <c r="S31" s="1516"/>
      <c r="T31" s="1516"/>
      <c r="U31" s="2395" t="str">
        <f>DB!V29</f>
        <v>Datar</v>
      </c>
      <c r="V31" s="2396"/>
      <c r="W31" s="2396"/>
      <c r="X31" s="2396"/>
      <c r="Y31" s="2396"/>
      <c r="Z31" s="2396"/>
      <c r="AA31" s="2397"/>
      <c r="AB31" s="2395" t="str">
        <f>DB!AH29</f>
        <v>Datar</v>
      </c>
      <c r="AC31" s="2396"/>
      <c r="AD31" s="2396"/>
      <c r="AE31" s="2396"/>
      <c r="AF31" s="2396"/>
      <c r="AG31" s="2396"/>
      <c r="AH31" s="2397"/>
      <c r="AI31" s="2398" t="str">
        <f>DB!AT29</f>
        <v>Datar</v>
      </c>
      <c r="AJ31" s="2396"/>
      <c r="AK31" s="2396"/>
      <c r="AL31" s="2396"/>
      <c r="AM31" s="2396"/>
      <c r="AN31" s="2396"/>
      <c r="AO31" s="2397"/>
    </row>
    <row r="32" spans="1:41" s="360" customFormat="1" ht="17.100000000000001" customHeight="1">
      <c r="C32" s="2382" t="s">
        <v>1937</v>
      </c>
      <c r="D32" s="2383"/>
      <c r="E32" s="2383"/>
      <c r="F32" s="2383"/>
      <c r="G32" s="2383"/>
      <c r="H32" s="2383"/>
      <c r="I32" s="2383"/>
      <c r="J32" s="2383"/>
      <c r="K32" s="2383"/>
      <c r="L32" s="2383"/>
      <c r="M32" s="2384"/>
      <c r="N32" s="2385"/>
      <c r="O32" s="2386"/>
      <c r="P32" s="2386"/>
      <c r="Q32" s="2386"/>
      <c r="R32" s="2386"/>
      <c r="S32" s="2386"/>
      <c r="T32" s="2387"/>
      <c r="U32" s="2385"/>
      <c r="V32" s="2386"/>
      <c r="W32" s="2386"/>
      <c r="X32" s="2386"/>
      <c r="Y32" s="2386"/>
      <c r="Z32" s="2386"/>
      <c r="AA32" s="2387"/>
      <c r="AB32" s="2385"/>
      <c r="AC32" s="2386"/>
      <c r="AD32" s="2386"/>
      <c r="AE32" s="2386"/>
      <c r="AF32" s="2386"/>
      <c r="AG32" s="2386"/>
      <c r="AH32" s="2387"/>
      <c r="AI32" s="2385"/>
      <c r="AJ32" s="2386"/>
      <c r="AK32" s="2386"/>
      <c r="AL32" s="2386"/>
      <c r="AM32" s="2386"/>
      <c r="AN32" s="2386"/>
      <c r="AO32" s="2388"/>
    </row>
    <row r="33" spans="1:41" s="360" customFormat="1" ht="14.1" customHeight="1">
      <c r="A33" s="488"/>
      <c r="B33" s="488"/>
      <c r="C33" s="466" t="s">
        <v>1770</v>
      </c>
      <c r="D33" s="467" t="str">
        <f>DB!C31</f>
        <v>BRB Bangunan ( / m² )</v>
      </c>
      <c r="E33" s="467"/>
      <c r="F33" s="467"/>
      <c r="G33" s="467"/>
      <c r="H33" s="467"/>
      <c r="I33" s="467"/>
      <c r="J33" s="858"/>
      <c r="K33" s="858"/>
      <c r="L33" s="858"/>
      <c r="M33" s="468"/>
      <c r="N33" s="2389"/>
      <c r="O33" s="2390"/>
      <c r="P33" s="2390"/>
      <c r="Q33" s="2390"/>
      <c r="R33" s="2390"/>
      <c r="S33" s="2390"/>
      <c r="T33" s="2391"/>
      <c r="U33" s="2392">
        <f>DB!V31</f>
        <v>0</v>
      </c>
      <c r="V33" s="2393"/>
      <c r="W33" s="2393"/>
      <c r="X33" s="2393"/>
      <c r="Y33" s="2393"/>
      <c r="Z33" s="2393"/>
      <c r="AA33" s="2394"/>
      <c r="AB33" s="2392">
        <f>DB!AH31</f>
        <v>0</v>
      </c>
      <c r="AC33" s="2393"/>
      <c r="AD33" s="2393"/>
      <c r="AE33" s="2393"/>
      <c r="AF33" s="2393"/>
      <c r="AG33" s="2393"/>
      <c r="AH33" s="2394"/>
      <c r="AI33" s="2392">
        <f>DB!AT31</f>
        <v>0</v>
      </c>
      <c r="AJ33" s="2393"/>
      <c r="AK33" s="2393"/>
      <c r="AL33" s="2393"/>
      <c r="AM33" s="2393"/>
      <c r="AN33" s="2393"/>
      <c r="AO33" s="2394"/>
    </row>
    <row r="34" spans="1:41" s="360" customFormat="1" ht="14.1" customHeight="1">
      <c r="C34" s="466" t="s">
        <v>1770</v>
      </c>
      <c r="D34" s="467" t="str">
        <f>DB!C33</f>
        <v>Indikasi Nilai Pasar Bgn. ( / m² )</v>
      </c>
      <c r="E34" s="467"/>
      <c r="F34" s="467"/>
      <c r="G34" s="467"/>
      <c r="H34" s="467"/>
      <c r="I34" s="467"/>
      <c r="J34" s="858"/>
      <c r="K34" s="858"/>
      <c r="L34" s="858"/>
      <c r="M34" s="468"/>
      <c r="N34" s="2389"/>
      <c r="O34" s="2390"/>
      <c r="P34" s="2390"/>
      <c r="Q34" s="2390"/>
      <c r="R34" s="2390"/>
      <c r="S34" s="2390"/>
      <c r="T34" s="2391"/>
      <c r="U34" s="2392">
        <f>DB!V33</f>
        <v>0</v>
      </c>
      <c r="V34" s="2393"/>
      <c r="W34" s="2393"/>
      <c r="X34" s="2393"/>
      <c r="Y34" s="2393"/>
      <c r="Z34" s="2393"/>
      <c r="AA34" s="2394"/>
      <c r="AB34" s="2392">
        <f>DB!AH33</f>
        <v>0</v>
      </c>
      <c r="AC34" s="2393"/>
      <c r="AD34" s="2393"/>
      <c r="AE34" s="2393"/>
      <c r="AF34" s="2393"/>
      <c r="AG34" s="2393"/>
      <c r="AH34" s="2394"/>
      <c r="AI34" s="2392">
        <f>DB!AT33</f>
        <v>0</v>
      </c>
      <c r="AJ34" s="2393"/>
      <c r="AK34" s="2393"/>
      <c r="AL34" s="2393"/>
      <c r="AM34" s="2393"/>
      <c r="AN34" s="2393"/>
      <c r="AO34" s="2394"/>
    </row>
    <row r="35" spans="1:41" s="360" customFormat="1" ht="14.1" customHeight="1">
      <c r="C35" s="466" t="s">
        <v>1770</v>
      </c>
      <c r="D35" s="467" t="str">
        <f>DB!C34</f>
        <v>Indikasi Nilai Pasar Bangunan</v>
      </c>
      <c r="E35" s="467"/>
      <c r="F35" s="467"/>
      <c r="G35" s="467"/>
      <c r="H35" s="467"/>
      <c r="I35" s="467"/>
      <c r="J35" s="858"/>
      <c r="K35" s="858"/>
      <c r="L35" s="858"/>
      <c r="M35" s="468"/>
      <c r="N35" s="2389"/>
      <c r="O35" s="2390"/>
      <c r="P35" s="2390"/>
      <c r="Q35" s="2390"/>
      <c r="R35" s="2390"/>
      <c r="S35" s="2390"/>
      <c r="T35" s="2391"/>
      <c r="U35" s="2392">
        <f>DB!V34</f>
        <v>0</v>
      </c>
      <c r="V35" s="2393"/>
      <c r="W35" s="2393"/>
      <c r="X35" s="2393"/>
      <c r="Y35" s="2393"/>
      <c r="Z35" s="2393"/>
      <c r="AA35" s="2394"/>
      <c r="AB35" s="2392">
        <f>DB!AH34</f>
        <v>0</v>
      </c>
      <c r="AC35" s="2393"/>
      <c r="AD35" s="2393"/>
      <c r="AE35" s="2393"/>
      <c r="AF35" s="2393"/>
      <c r="AG35" s="2393"/>
      <c r="AH35" s="2394"/>
      <c r="AI35" s="2392">
        <f>DB!AT34</f>
        <v>0</v>
      </c>
      <c r="AJ35" s="2393"/>
      <c r="AK35" s="2393"/>
      <c r="AL35" s="2393"/>
      <c r="AM35" s="2393"/>
      <c r="AN35" s="2393"/>
      <c r="AO35" s="2394"/>
    </row>
    <row r="36" spans="1:41" s="360" customFormat="1" ht="14.1" customHeight="1">
      <c r="C36" s="466" t="s">
        <v>1770</v>
      </c>
      <c r="D36" s="467" t="str">
        <f>DB!C35</f>
        <v>Indikasi Nilai Pasar Tanah</v>
      </c>
      <c r="E36" s="482"/>
      <c r="F36" s="482"/>
      <c r="G36" s="482"/>
      <c r="H36" s="482"/>
      <c r="I36" s="482"/>
      <c r="J36" s="862"/>
      <c r="K36" s="862"/>
      <c r="L36" s="862"/>
      <c r="M36" s="483"/>
      <c r="N36" s="2389"/>
      <c r="O36" s="2390"/>
      <c r="P36" s="2390"/>
      <c r="Q36" s="2390"/>
      <c r="R36" s="2390"/>
      <c r="S36" s="2390"/>
      <c r="T36" s="2391"/>
      <c r="U36" s="2392">
        <f>DB!V35</f>
        <v>1350000000</v>
      </c>
      <c r="V36" s="2393"/>
      <c r="W36" s="2393"/>
      <c r="X36" s="2393"/>
      <c r="Y36" s="2393"/>
      <c r="Z36" s="2393"/>
      <c r="AA36" s="2394"/>
      <c r="AB36" s="2392">
        <f>DB!AH35</f>
        <v>2700000000</v>
      </c>
      <c r="AC36" s="2393"/>
      <c r="AD36" s="2393"/>
      <c r="AE36" s="2393"/>
      <c r="AF36" s="2393"/>
      <c r="AG36" s="2393"/>
      <c r="AH36" s="2394"/>
      <c r="AI36" s="2392">
        <f>DB!AT35</f>
        <v>3150000000</v>
      </c>
      <c r="AJ36" s="2393"/>
      <c r="AK36" s="2393"/>
      <c r="AL36" s="2393"/>
      <c r="AM36" s="2393"/>
      <c r="AN36" s="2393"/>
      <c r="AO36" s="2394"/>
    </row>
    <row r="37" spans="1:41" s="488" customFormat="1" ht="15.95" customHeight="1">
      <c r="C37" s="2376" t="s">
        <v>1943</v>
      </c>
      <c r="D37" s="2377"/>
      <c r="E37" s="2377"/>
      <c r="F37" s="2377"/>
      <c r="G37" s="2377"/>
      <c r="H37" s="2377"/>
      <c r="I37" s="2377"/>
      <c r="J37" s="2377"/>
      <c r="K37" s="2377"/>
      <c r="L37" s="2377"/>
      <c r="M37" s="2377"/>
      <c r="N37" s="2377"/>
      <c r="O37" s="2377"/>
      <c r="P37" s="2377"/>
      <c r="Q37" s="2377"/>
      <c r="R37" s="2377"/>
      <c r="S37" s="2377"/>
      <c r="T37" s="2378"/>
      <c r="U37" s="2379">
        <f>DB!V36</f>
        <v>4500000</v>
      </c>
      <c r="V37" s="2380"/>
      <c r="W37" s="2380"/>
      <c r="X37" s="2380"/>
      <c r="Y37" s="2380"/>
      <c r="Z37" s="2380"/>
      <c r="AA37" s="2381"/>
      <c r="AB37" s="2379">
        <f>DB!AH36</f>
        <v>4909090.9090909092</v>
      </c>
      <c r="AC37" s="2380"/>
      <c r="AD37" s="2380"/>
      <c r="AE37" s="2380"/>
      <c r="AF37" s="2380"/>
      <c r="AG37" s="2380"/>
      <c r="AH37" s="2381"/>
      <c r="AI37" s="2379">
        <f>DB!AT36</f>
        <v>4500000</v>
      </c>
      <c r="AJ37" s="2380"/>
      <c r="AK37" s="2380"/>
      <c r="AL37" s="2380"/>
      <c r="AM37" s="2380"/>
      <c r="AN37" s="2380"/>
      <c r="AO37" s="2381"/>
    </row>
    <row r="38" spans="1:41" s="305" customFormat="1" ht="3.95" customHeight="1">
      <c r="C38" s="489"/>
      <c r="D38" s="311"/>
      <c r="E38" s="311"/>
      <c r="F38" s="311"/>
      <c r="G38" s="311"/>
      <c r="H38" s="311"/>
      <c r="I38" s="311"/>
      <c r="J38" s="313"/>
      <c r="K38" s="313"/>
      <c r="L38" s="313"/>
      <c r="M38" s="490"/>
      <c r="N38" s="490"/>
      <c r="O38" s="490"/>
      <c r="P38" s="490"/>
      <c r="Q38" s="490"/>
      <c r="R38" s="490"/>
      <c r="S38" s="490"/>
      <c r="T38" s="311"/>
      <c r="U38" s="311"/>
      <c r="V38" s="311"/>
      <c r="W38" s="311"/>
      <c r="X38" s="311"/>
      <c r="Y38" s="311"/>
      <c r="Z38" s="490"/>
      <c r="AA38" s="311"/>
      <c r="AB38" s="311"/>
      <c r="AC38" s="311"/>
      <c r="AD38" s="311"/>
      <c r="AE38" s="311"/>
      <c r="AF38" s="490"/>
      <c r="AG38" s="490"/>
      <c r="AH38" s="311"/>
      <c r="AI38" s="490"/>
      <c r="AJ38" s="490"/>
      <c r="AK38" s="490"/>
      <c r="AL38" s="490"/>
      <c r="AM38" s="490"/>
      <c r="AN38" s="490"/>
      <c r="AO38" s="491"/>
    </row>
    <row r="39" spans="1:41" s="360" customFormat="1" ht="17.100000000000001" customHeight="1">
      <c r="C39" s="2382" t="s">
        <v>1944</v>
      </c>
      <c r="D39" s="2383"/>
      <c r="E39" s="2383"/>
      <c r="F39" s="2383"/>
      <c r="G39" s="2383"/>
      <c r="H39" s="2383"/>
      <c r="I39" s="2383"/>
      <c r="J39" s="2383"/>
      <c r="K39" s="2383"/>
      <c r="L39" s="2383"/>
      <c r="M39" s="2384"/>
      <c r="N39" s="2385"/>
      <c r="O39" s="2386"/>
      <c r="P39" s="2386"/>
      <c r="Q39" s="2386"/>
      <c r="R39" s="2386"/>
      <c r="S39" s="2386"/>
      <c r="T39" s="2387"/>
      <c r="U39" s="2385" t="s">
        <v>2315</v>
      </c>
      <c r="V39" s="2386"/>
      <c r="W39" s="2386"/>
      <c r="X39" s="2386"/>
      <c r="Y39" s="2386"/>
      <c r="Z39" s="2386"/>
      <c r="AA39" s="2387"/>
      <c r="AB39" s="2385" t="s">
        <v>2316</v>
      </c>
      <c r="AC39" s="2386"/>
      <c r="AD39" s="2386"/>
      <c r="AE39" s="2386"/>
      <c r="AF39" s="2386"/>
      <c r="AG39" s="2386"/>
      <c r="AH39" s="2387"/>
      <c r="AI39" s="2385" t="s">
        <v>2317</v>
      </c>
      <c r="AJ39" s="2386"/>
      <c r="AK39" s="2386"/>
      <c r="AL39" s="2386"/>
      <c r="AM39" s="2386"/>
      <c r="AN39" s="2386"/>
      <c r="AO39" s="2388"/>
    </row>
    <row r="40" spans="1:41" s="360" customFormat="1" ht="13.5" customHeight="1">
      <c r="C40" s="466" t="s">
        <v>1770</v>
      </c>
      <c r="D40" s="467" t="str">
        <f>DB!C39</f>
        <v>Lokasi</v>
      </c>
      <c r="E40" s="467"/>
      <c r="F40" s="467"/>
      <c r="G40" s="467"/>
      <c r="H40" s="467"/>
      <c r="I40" s="467"/>
      <c r="J40" s="858"/>
      <c r="K40" s="858"/>
      <c r="L40" s="858"/>
      <c r="M40" s="468"/>
      <c r="N40" s="2361"/>
      <c r="O40" s="2362"/>
      <c r="P40" s="2362"/>
      <c r="Q40" s="2362"/>
      <c r="R40" s="2362"/>
      <c r="S40" s="2362"/>
      <c r="T40" s="2363"/>
      <c r="U40" s="2364">
        <f>DB!V39</f>
        <v>0</v>
      </c>
      <c r="V40" s="2365"/>
      <c r="W40" s="2365"/>
      <c r="X40" s="2365"/>
      <c r="Y40" s="2365"/>
      <c r="Z40" s="2365"/>
      <c r="AA40" s="2366"/>
      <c r="AB40" s="2364">
        <f>DB!AH39</f>
        <v>0</v>
      </c>
      <c r="AC40" s="2365"/>
      <c r="AD40" s="2365"/>
      <c r="AE40" s="2365"/>
      <c r="AF40" s="2365"/>
      <c r="AG40" s="2365"/>
      <c r="AH40" s="2366"/>
      <c r="AI40" s="2364">
        <f>DB!AT39</f>
        <v>0</v>
      </c>
      <c r="AJ40" s="2365"/>
      <c r="AK40" s="2365"/>
      <c r="AL40" s="2365"/>
      <c r="AM40" s="2365"/>
      <c r="AN40" s="2365"/>
      <c r="AO40" s="2366"/>
    </row>
    <row r="41" spans="1:41" s="360" customFormat="1" ht="13.5" customHeight="1">
      <c r="C41" s="466" t="s">
        <v>1770</v>
      </c>
      <c r="D41" s="467" t="str">
        <f>DB!C40</f>
        <v>Dokumen / legalitas tanah</v>
      </c>
      <c r="E41" s="467"/>
      <c r="F41" s="467"/>
      <c r="G41" s="467"/>
      <c r="H41" s="467"/>
      <c r="I41" s="467"/>
      <c r="J41" s="858"/>
      <c r="K41" s="858"/>
      <c r="L41" s="858"/>
      <c r="M41" s="468"/>
      <c r="N41" s="2370"/>
      <c r="O41" s="2371"/>
      <c r="P41" s="2371"/>
      <c r="Q41" s="2371"/>
      <c r="R41" s="2371"/>
      <c r="S41" s="2371"/>
      <c r="T41" s="2372"/>
      <c r="U41" s="2364">
        <f>DB!V40</f>
        <v>0</v>
      </c>
      <c r="V41" s="2365"/>
      <c r="W41" s="2365"/>
      <c r="X41" s="2365"/>
      <c r="Y41" s="2365"/>
      <c r="Z41" s="2365"/>
      <c r="AA41" s="2366"/>
      <c r="AB41" s="2364">
        <f>DB!AH40</f>
        <v>0</v>
      </c>
      <c r="AC41" s="2365"/>
      <c r="AD41" s="2365"/>
      <c r="AE41" s="2365"/>
      <c r="AF41" s="2365"/>
      <c r="AG41" s="2365"/>
      <c r="AH41" s="2366"/>
      <c r="AI41" s="2364">
        <f>DB!AT40</f>
        <v>0</v>
      </c>
      <c r="AJ41" s="2365"/>
      <c r="AK41" s="2365"/>
      <c r="AL41" s="2365"/>
      <c r="AM41" s="2365"/>
      <c r="AN41" s="2365"/>
      <c r="AO41" s="2366"/>
    </row>
    <row r="42" spans="1:41" s="360" customFormat="1" ht="13.5" customHeight="1">
      <c r="C42" s="466" t="s">
        <v>1770</v>
      </c>
      <c r="D42" s="467" t="str">
        <f>DB!C41</f>
        <v>Luas tanah</v>
      </c>
      <c r="E42" s="467"/>
      <c r="F42" s="467"/>
      <c r="G42" s="467"/>
      <c r="H42" s="467"/>
      <c r="I42" s="467"/>
      <c r="J42" s="858"/>
      <c r="K42" s="858"/>
      <c r="L42" s="858"/>
      <c r="M42" s="468"/>
      <c r="N42" s="2361"/>
      <c r="O42" s="2362"/>
      <c r="P42" s="2362"/>
      <c r="Q42" s="2362"/>
      <c r="R42" s="2362"/>
      <c r="S42" s="2362"/>
      <c r="T42" s="2363"/>
      <c r="U42" s="2364">
        <f>DB!V41</f>
        <v>0</v>
      </c>
      <c r="V42" s="2365"/>
      <c r="W42" s="2365"/>
      <c r="X42" s="2365"/>
      <c r="Y42" s="2365"/>
      <c r="Z42" s="2365"/>
      <c r="AA42" s="2366"/>
      <c r="AB42" s="2364">
        <f>DB!AH41</f>
        <v>0.05</v>
      </c>
      <c r="AC42" s="2365"/>
      <c r="AD42" s="2365"/>
      <c r="AE42" s="2365"/>
      <c r="AF42" s="2365"/>
      <c r="AG42" s="2365"/>
      <c r="AH42" s="2366"/>
      <c r="AI42" s="2364">
        <f>DB!AT41</f>
        <v>0.08</v>
      </c>
      <c r="AJ42" s="2365"/>
      <c r="AK42" s="2365"/>
      <c r="AL42" s="2365"/>
      <c r="AM42" s="2365"/>
      <c r="AN42" s="2365"/>
      <c r="AO42" s="2366"/>
    </row>
    <row r="43" spans="1:41" s="360" customFormat="1" ht="13.5" customHeight="1">
      <c r="C43" s="466" t="s">
        <v>1770</v>
      </c>
      <c r="D43" s="467" t="str">
        <f>DB!C42</f>
        <v>Lebar dan kondisi jalan</v>
      </c>
      <c r="E43" s="467"/>
      <c r="F43" s="467"/>
      <c r="G43" s="467"/>
      <c r="H43" s="467"/>
      <c r="I43" s="467"/>
      <c r="J43" s="858"/>
      <c r="K43" s="858"/>
      <c r="L43" s="858"/>
      <c r="M43" s="468"/>
      <c r="N43" s="2373"/>
      <c r="O43" s="2374"/>
      <c r="P43" s="2374"/>
      <c r="Q43" s="2374"/>
      <c r="R43" s="2374"/>
      <c r="S43" s="2374"/>
      <c r="T43" s="2375"/>
      <c r="U43" s="2364">
        <f>DB!V42</f>
        <v>0</v>
      </c>
      <c r="V43" s="2365"/>
      <c r="W43" s="2365"/>
      <c r="X43" s="2365"/>
      <c r="Y43" s="2365"/>
      <c r="Z43" s="2365"/>
      <c r="AA43" s="2366"/>
      <c r="AB43" s="2364">
        <f>DB!AH42</f>
        <v>0</v>
      </c>
      <c r="AC43" s="2365"/>
      <c r="AD43" s="2365"/>
      <c r="AE43" s="2365"/>
      <c r="AF43" s="2365"/>
      <c r="AG43" s="2365"/>
      <c r="AH43" s="2366"/>
      <c r="AI43" s="2364">
        <f>DB!AT42</f>
        <v>0</v>
      </c>
      <c r="AJ43" s="2365"/>
      <c r="AK43" s="2365"/>
      <c r="AL43" s="2365"/>
      <c r="AM43" s="2365"/>
      <c r="AN43" s="2365"/>
      <c r="AO43" s="2366"/>
    </row>
    <row r="44" spans="1:41" s="360" customFormat="1" ht="13.5" customHeight="1">
      <c r="C44" s="466" t="s">
        <v>1770</v>
      </c>
      <c r="D44" s="467" t="str">
        <f>DB!C43</f>
        <v>Bentuk tanah</v>
      </c>
      <c r="E44" s="467"/>
      <c r="F44" s="467"/>
      <c r="G44" s="467"/>
      <c r="H44" s="467"/>
      <c r="I44" s="467"/>
      <c r="J44" s="858"/>
      <c r="K44" s="858"/>
      <c r="L44" s="858"/>
      <c r="M44" s="468"/>
      <c r="N44" s="2361"/>
      <c r="O44" s="2362"/>
      <c r="P44" s="2362"/>
      <c r="Q44" s="2362"/>
      <c r="R44" s="2362"/>
      <c r="S44" s="2362"/>
      <c r="T44" s="2363"/>
      <c r="U44" s="2364">
        <f>DB!V43</f>
        <v>0</v>
      </c>
      <c r="V44" s="2365"/>
      <c r="W44" s="2365"/>
      <c r="X44" s="2365"/>
      <c r="Y44" s="2365"/>
      <c r="Z44" s="2365"/>
      <c r="AA44" s="2366"/>
      <c r="AB44" s="2364">
        <f>DB!AH43</f>
        <v>0</v>
      </c>
      <c r="AC44" s="2365"/>
      <c r="AD44" s="2365"/>
      <c r="AE44" s="2365"/>
      <c r="AF44" s="2365"/>
      <c r="AG44" s="2365"/>
      <c r="AH44" s="2366"/>
      <c r="AI44" s="2364">
        <f>DB!AT43</f>
        <v>0</v>
      </c>
      <c r="AJ44" s="2365"/>
      <c r="AK44" s="2365"/>
      <c r="AL44" s="2365"/>
      <c r="AM44" s="2365"/>
      <c r="AN44" s="2365"/>
      <c r="AO44" s="2366"/>
    </row>
    <row r="45" spans="1:41" s="360" customFormat="1" ht="13.5" customHeight="1">
      <c r="C45" s="466" t="s">
        <v>1770</v>
      </c>
      <c r="D45" s="467" t="str">
        <f>DB!C44</f>
        <v>Posisi tanah sudut / hook</v>
      </c>
      <c r="E45" s="467"/>
      <c r="F45" s="467"/>
      <c r="G45" s="467"/>
      <c r="H45" s="467"/>
      <c r="I45" s="467"/>
      <c r="J45" s="858"/>
      <c r="K45" s="858"/>
      <c r="L45" s="858"/>
      <c r="M45" s="468"/>
      <c r="N45" s="2370"/>
      <c r="O45" s="2371"/>
      <c r="P45" s="2371"/>
      <c r="Q45" s="2371"/>
      <c r="R45" s="2371"/>
      <c r="S45" s="2371"/>
      <c r="T45" s="2372"/>
      <c r="U45" s="2364">
        <f>DB!V44</f>
        <v>0</v>
      </c>
      <c r="V45" s="2365"/>
      <c r="W45" s="2365"/>
      <c r="X45" s="2365"/>
      <c r="Y45" s="2365"/>
      <c r="Z45" s="2365"/>
      <c r="AA45" s="2366"/>
      <c r="AB45" s="2364">
        <f>DB!AH44</f>
        <v>0</v>
      </c>
      <c r="AC45" s="2365"/>
      <c r="AD45" s="2365"/>
      <c r="AE45" s="2365"/>
      <c r="AF45" s="2365"/>
      <c r="AG45" s="2365"/>
      <c r="AH45" s="2366"/>
      <c r="AI45" s="2364">
        <f>DB!AT44</f>
        <v>0</v>
      </c>
      <c r="AJ45" s="2365"/>
      <c r="AK45" s="2365"/>
      <c r="AL45" s="2365"/>
      <c r="AM45" s="2365"/>
      <c r="AN45" s="2365"/>
      <c r="AO45" s="2366"/>
    </row>
    <row r="46" spans="1:41" s="360" customFormat="1" ht="13.5" customHeight="1">
      <c r="C46" s="466" t="s">
        <v>1770</v>
      </c>
      <c r="D46" s="467" t="str">
        <f>DB!C45</f>
        <v>Posisi tanah tusuk sate</v>
      </c>
      <c r="E46" s="467"/>
      <c r="F46" s="467"/>
      <c r="G46" s="467"/>
      <c r="H46" s="467"/>
      <c r="I46" s="467"/>
      <c r="J46" s="858"/>
      <c r="K46" s="858"/>
      <c r="L46" s="858"/>
      <c r="M46" s="468"/>
      <c r="N46" s="2367"/>
      <c r="O46" s="2368"/>
      <c r="P46" s="2368"/>
      <c r="Q46" s="2368"/>
      <c r="R46" s="2368"/>
      <c r="S46" s="2368"/>
      <c r="T46" s="2369"/>
      <c r="U46" s="2364">
        <f>DB!V45</f>
        <v>0</v>
      </c>
      <c r="V46" s="2365"/>
      <c r="W46" s="2365"/>
      <c r="X46" s="2365"/>
      <c r="Y46" s="2365"/>
      <c r="Z46" s="2365"/>
      <c r="AA46" s="2366"/>
      <c r="AB46" s="2364">
        <f>DB!AH45</f>
        <v>0</v>
      </c>
      <c r="AC46" s="2365"/>
      <c r="AD46" s="2365"/>
      <c r="AE46" s="2365"/>
      <c r="AF46" s="2365"/>
      <c r="AG46" s="2365"/>
      <c r="AH46" s="2366"/>
      <c r="AI46" s="2364">
        <f>DB!AT45</f>
        <v>0</v>
      </c>
      <c r="AJ46" s="2365"/>
      <c r="AK46" s="2365"/>
      <c r="AL46" s="2365"/>
      <c r="AM46" s="2365"/>
      <c r="AN46" s="2365"/>
      <c r="AO46" s="2366"/>
    </row>
    <row r="47" spans="1:41" s="360" customFormat="1" ht="13.5" customHeight="1">
      <c r="C47" s="466" t="s">
        <v>1770</v>
      </c>
      <c r="D47" s="467" t="str">
        <f>DB!C46</f>
        <v>Peruntukan / zoning</v>
      </c>
      <c r="E47" s="467"/>
      <c r="F47" s="467"/>
      <c r="G47" s="467"/>
      <c r="H47" s="467"/>
      <c r="I47" s="467"/>
      <c r="J47" s="858"/>
      <c r="K47" s="858"/>
      <c r="L47" s="858"/>
      <c r="M47" s="468"/>
      <c r="N47" s="2361"/>
      <c r="O47" s="2362"/>
      <c r="P47" s="2362"/>
      <c r="Q47" s="2362"/>
      <c r="R47" s="2362"/>
      <c r="S47" s="2362"/>
      <c r="T47" s="2363"/>
      <c r="U47" s="2364">
        <f>DB!V46</f>
        <v>0</v>
      </c>
      <c r="V47" s="2365"/>
      <c r="W47" s="2365"/>
      <c r="X47" s="2365"/>
      <c r="Y47" s="2365"/>
      <c r="Z47" s="2365"/>
      <c r="AA47" s="2366"/>
      <c r="AB47" s="2364">
        <f>DB!AH46</f>
        <v>0</v>
      </c>
      <c r="AC47" s="2365"/>
      <c r="AD47" s="2365"/>
      <c r="AE47" s="2365"/>
      <c r="AF47" s="2365"/>
      <c r="AG47" s="2365"/>
      <c r="AH47" s="2366"/>
      <c r="AI47" s="2364">
        <f>DB!AT46</f>
        <v>0</v>
      </c>
      <c r="AJ47" s="2365"/>
      <c r="AK47" s="2365"/>
      <c r="AL47" s="2365"/>
      <c r="AM47" s="2365"/>
      <c r="AN47" s="2365"/>
      <c r="AO47" s="2366"/>
    </row>
    <row r="48" spans="1:41" s="360" customFormat="1" ht="13.5" customHeight="1">
      <c r="C48" s="466" t="s">
        <v>1770</v>
      </c>
      <c r="D48" s="467" t="str">
        <f>DB!C47</f>
        <v>Kontur tanah / topograpi</v>
      </c>
      <c r="E48" s="467"/>
      <c r="F48" s="467"/>
      <c r="G48" s="467"/>
      <c r="H48" s="467"/>
      <c r="I48" s="467"/>
      <c r="J48" s="858"/>
      <c r="K48" s="858"/>
      <c r="L48" s="858"/>
      <c r="M48" s="468"/>
      <c r="N48" s="2361"/>
      <c r="O48" s="2362"/>
      <c r="P48" s="2362"/>
      <c r="Q48" s="2362"/>
      <c r="R48" s="2362"/>
      <c r="S48" s="2362"/>
      <c r="T48" s="2363"/>
      <c r="U48" s="2364">
        <f>DB!V47</f>
        <v>0.02</v>
      </c>
      <c r="V48" s="2365"/>
      <c r="W48" s="2365"/>
      <c r="X48" s="2365"/>
      <c r="Y48" s="2365"/>
      <c r="Z48" s="2365"/>
      <c r="AA48" s="2366"/>
      <c r="AB48" s="2364">
        <f>DB!AH47</f>
        <v>0</v>
      </c>
      <c r="AC48" s="2365"/>
      <c r="AD48" s="2365"/>
      <c r="AE48" s="2365"/>
      <c r="AF48" s="2365"/>
      <c r="AG48" s="2365"/>
      <c r="AH48" s="2366"/>
      <c r="AI48" s="2364">
        <f>DB!AT47</f>
        <v>0.02</v>
      </c>
      <c r="AJ48" s="2365"/>
      <c r="AK48" s="2365"/>
      <c r="AL48" s="2365"/>
      <c r="AM48" s="2365"/>
      <c r="AN48" s="2365"/>
      <c r="AO48" s="2366"/>
    </row>
    <row r="49" spans="1:47" s="360" customFormat="1" ht="13.5" customHeight="1">
      <c r="C49" s="466" t="s">
        <v>1770</v>
      </c>
      <c r="D49" s="467" t="str">
        <f>DB!C48</f>
        <v>Waktu penawaran / transaksi</v>
      </c>
      <c r="E49" s="482"/>
      <c r="F49" s="482"/>
      <c r="G49" s="482"/>
      <c r="H49" s="482"/>
      <c r="I49" s="482"/>
      <c r="J49" s="862"/>
      <c r="K49" s="862"/>
      <c r="L49" s="862"/>
      <c r="M49" s="483"/>
      <c r="N49" s="2361"/>
      <c r="O49" s="2362"/>
      <c r="P49" s="2362"/>
      <c r="Q49" s="2362"/>
      <c r="R49" s="2362"/>
      <c r="S49" s="2362"/>
      <c r="T49" s="2363"/>
      <c r="U49" s="2364">
        <f>DB!V48</f>
        <v>0</v>
      </c>
      <c r="V49" s="2365"/>
      <c r="W49" s="2365"/>
      <c r="X49" s="2365"/>
      <c r="Y49" s="2365"/>
      <c r="Z49" s="2365"/>
      <c r="AA49" s="2366"/>
      <c r="AB49" s="2364">
        <f>DB!AH48</f>
        <v>0</v>
      </c>
      <c r="AC49" s="2365"/>
      <c r="AD49" s="2365"/>
      <c r="AE49" s="2365"/>
      <c r="AF49" s="2365"/>
      <c r="AG49" s="2365"/>
      <c r="AH49" s="2366"/>
      <c r="AI49" s="2364">
        <f>DB!AT48</f>
        <v>0</v>
      </c>
      <c r="AJ49" s="2365"/>
      <c r="AK49" s="2365"/>
      <c r="AL49" s="2365"/>
      <c r="AM49" s="2365"/>
      <c r="AN49" s="2365"/>
      <c r="AO49" s="2366"/>
    </row>
    <row r="50" spans="1:47" s="360" customFormat="1" ht="13.5" customHeight="1">
      <c r="C50" s="494" t="s">
        <v>1770</v>
      </c>
      <c r="D50" s="467" t="str">
        <f>DB!C49</f>
        <v>Lain-lain</v>
      </c>
      <c r="E50" s="482"/>
      <c r="F50" s="482"/>
      <c r="G50" s="482"/>
      <c r="H50" s="482"/>
      <c r="I50" s="482"/>
      <c r="J50" s="862"/>
      <c r="K50" s="862"/>
      <c r="L50" s="862"/>
      <c r="M50" s="483"/>
      <c r="N50" s="2352" t="str">
        <f>DB!K49</f>
        <v>Data-1,3 indikasi jual cepat</v>
      </c>
      <c r="O50" s="2353"/>
      <c r="P50" s="2353"/>
      <c r="Q50" s="2353"/>
      <c r="R50" s="2353"/>
      <c r="S50" s="2353"/>
      <c r="T50" s="2354"/>
      <c r="U50" s="2355">
        <f>DB!V49</f>
        <v>0.06</v>
      </c>
      <c r="V50" s="2356"/>
      <c r="W50" s="2356"/>
      <c r="X50" s="2356"/>
      <c r="Y50" s="2356"/>
      <c r="Z50" s="2356"/>
      <c r="AA50" s="2357"/>
      <c r="AB50" s="2355">
        <f>DB!AH49</f>
        <v>0</v>
      </c>
      <c r="AC50" s="2356"/>
      <c r="AD50" s="2356"/>
      <c r="AE50" s="2356"/>
      <c r="AF50" s="2356"/>
      <c r="AG50" s="2356"/>
      <c r="AH50" s="2357"/>
      <c r="AI50" s="2355">
        <f>DB!AT49</f>
        <v>0</v>
      </c>
      <c r="AJ50" s="2356"/>
      <c r="AK50" s="2356"/>
      <c r="AL50" s="2356"/>
      <c r="AM50" s="2356"/>
      <c r="AN50" s="2356"/>
      <c r="AO50" s="2357"/>
    </row>
    <row r="51" spans="1:47" s="456" customFormat="1" ht="15" customHeight="1">
      <c r="A51" s="360"/>
      <c r="B51" s="360"/>
      <c r="C51" s="2343" t="s">
        <v>1959</v>
      </c>
      <c r="D51" s="2344"/>
      <c r="E51" s="2344"/>
      <c r="F51" s="2344"/>
      <c r="G51" s="2344"/>
      <c r="H51" s="2344"/>
      <c r="I51" s="2344"/>
      <c r="J51" s="2344"/>
      <c r="K51" s="2344"/>
      <c r="L51" s="2344"/>
      <c r="M51" s="2344"/>
      <c r="N51" s="2344"/>
      <c r="O51" s="2344"/>
      <c r="P51" s="2344"/>
      <c r="Q51" s="2344"/>
      <c r="R51" s="2344"/>
      <c r="S51" s="2344"/>
      <c r="T51" s="2345"/>
      <c r="U51" s="2358">
        <f>DB!V50</f>
        <v>0.08</v>
      </c>
      <c r="V51" s="2359"/>
      <c r="W51" s="2359"/>
      <c r="X51" s="2359"/>
      <c r="Y51" s="2359"/>
      <c r="Z51" s="2359"/>
      <c r="AA51" s="2360"/>
      <c r="AB51" s="2358">
        <f>DB!AH50</f>
        <v>0.05</v>
      </c>
      <c r="AC51" s="2359"/>
      <c r="AD51" s="2359"/>
      <c r="AE51" s="2359"/>
      <c r="AF51" s="2359"/>
      <c r="AG51" s="2359"/>
      <c r="AH51" s="2360"/>
      <c r="AI51" s="2358">
        <f>DB!AT50</f>
        <v>0.1</v>
      </c>
      <c r="AJ51" s="2359"/>
      <c r="AK51" s="2359"/>
      <c r="AL51" s="2359"/>
      <c r="AM51" s="2359"/>
      <c r="AN51" s="2359"/>
      <c r="AO51" s="2360"/>
    </row>
    <row r="52" spans="1:47" s="496" customFormat="1" ht="15" customHeight="1">
      <c r="A52" s="360"/>
      <c r="B52" s="360"/>
      <c r="C52" s="2337" t="s">
        <v>1960</v>
      </c>
      <c r="D52" s="2338"/>
      <c r="E52" s="2338"/>
      <c r="F52" s="2338"/>
      <c r="G52" s="2338"/>
      <c r="H52" s="2338"/>
      <c r="I52" s="2338"/>
      <c r="J52" s="2338"/>
      <c r="K52" s="2338"/>
      <c r="L52" s="2338"/>
      <c r="M52" s="2338"/>
      <c r="N52" s="2338"/>
      <c r="O52" s="2338"/>
      <c r="P52" s="2338"/>
      <c r="Q52" s="2338"/>
      <c r="R52" s="2338"/>
      <c r="S52" s="2338"/>
      <c r="T52" s="2339"/>
      <c r="U52" s="2340">
        <f>DB!V51</f>
        <v>4860000</v>
      </c>
      <c r="V52" s="2341"/>
      <c r="W52" s="2341"/>
      <c r="X52" s="2341"/>
      <c r="Y52" s="2341"/>
      <c r="Z52" s="2341"/>
      <c r="AA52" s="2342"/>
      <c r="AB52" s="2340">
        <f>DB!AH51</f>
        <v>5154545.4545454551</v>
      </c>
      <c r="AC52" s="2341"/>
      <c r="AD52" s="2341"/>
      <c r="AE52" s="2341"/>
      <c r="AF52" s="2341"/>
      <c r="AG52" s="2341"/>
      <c r="AH52" s="2342"/>
      <c r="AI52" s="2340">
        <f>DB!AT51</f>
        <v>4950000</v>
      </c>
      <c r="AJ52" s="2341"/>
      <c r="AK52" s="2341"/>
      <c r="AL52" s="2341"/>
      <c r="AM52" s="2341"/>
      <c r="AN52" s="2341"/>
      <c r="AO52" s="2342"/>
    </row>
    <row r="53" spans="1:47" s="456" customFormat="1" ht="15" customHeight="1">
      <c r="C53" s="2343" t="s">
        <v>1961</v>
      </c>
      <c r="D53" s="2344"/>
      <c r="E53" s="2344"/>
      <c r="F53" s="2344"/>
      <c r="G53" s="2344"/>
      <c r="H53" s="2344"/>
      <c r="I53" s="2344"/>
      <c r="J53" s="2344"/>
      <c r="K53" s="2344"/>
      <c r="L53" s="2344"/>
      <c r="M53" s="2345"/>
      <c r="N53" s="2346">
        <f>DB!K52</f>
        <v>1</v>
      </c>
      <c r="O53" s="2347"/>
      <c r="P53" s="2347"/>
      <c r="Q53" s="2347"/>
      <c r="R53" s="2347"/>
      <c r="S53" s="2347"/>
      <c r="T53" s="2348"/>
      <c r="U53" s="2349">
        <f>DB!V52</f>
        <v>0.32608695652173914</v>
      </c>
      <c r="V53" s="2350"/>
      <c r="W53" s="2350"/>
      <c r="X53" s="2350"/>
      <c r="Y53" s="2350"/>
      <c r="Z53" s="2350"/>
      <c r="AA53" s="2351"/>
      <c r="AB53" s="2349">
        <f>DB!AH52</f>
        <v>0.39130434782608697</v>
      </c>
      <c r="AC53" s="2350"/>
      <c r="AD53" s="2350"/>
      <c r="AE53" s="2350"/>
      <c r="AF53" s="2350"/>
      <c r="AG53" s="2350"/>
      <c r="AH53" s="2351"/>
      <c r="AI53" s="2349">
        <f>DB!AT52</f>
        <v>0.28260869565217395</v>
      </c>
      <c r="AJ53" s="2350"/>
      <c r="AK53" s="2350"/>
      <c r="AL53" s="2350"/>
      <c r="AM53" s="2350"/>
      <c r="AN53" s="2350"/>
      <c r="AO53" s="2351"/>
    </row>
    <row r="54" spans="1:47" s="456" customFormat="1" ht="15" customHeight="1">
      <c r="C54" s="2322" t="s">
        <v>1962</v>
      </c>
      <c r="D54" s="2323"/>
      <c r="E54" s="2323"/>
      <c r="F54" s="2323"/>
      <c r="G54" s="2323"/>
      <c r="H54" s="2323"/>
      <c r="I54" s="2323"/>
      <c r="J54" s="2323"/>
      <c r="K54" s="2323"/>
      <c r="L54" s="2323"/>
      <c r="M54" s="2324"/>
      <c r="N54" s="2325">
        <f>DB!$K$53</f>
        <v>5000691.6996047432</v>
      </c>
      <c r="O54" s="2326"/>
      <c r="P54" s="2326"/>
      <c r="Q54" s="2326"/>
      <c r="R54" s="2326"/>
      <c r="S54" s="2326"/>
      <c r="T54" s="2327"/>
      <c r="U54" s="2328">
        <f>DB!V53</f>
        <v>1584782.6086956521</v>
      </c>
      <c r="V54" s="2329"/>
      <c r="W54" s="2329"/>
      <c r="X54" s="2329"/>
      <c r="Y54" s="2329"/>
      <c r="Z54" s="2329"/>
      <c r="AA54" s="2330"/>
      <c r="AB54" s="2328">
        <f>DB!AH53</f>
        <v>2016996.0474308303</v>
      </c>
      <c r="AC54" s="2329"/>
      <c r="AD54" s="2329"/>
      <c r="AE54" s="2329"/>
      <c r="AF54" s="2329"/>
      <c r="AG54" s="2329"/>
      <c r="AH54" s="2330"/>
      <c r="AI54" s="2328">
        <f>DB!AT53</f>
        <v>1398913.043478261</v>
      </c>
      <c r="AJ54" s="2329"/>
      <c r="AK54" s="2329"/>
      <c r="AL54" s="2329"/>
      <c r="AM54" s="2329"/>
      <c r="AN54" s="2329"/>
      <c r="AO54" s="2330"/>
    </row>
    <row r="55" spans="1:47" s="456" customFormat="1" ht="15" customHeight="1">
      <c r="C55" s="2331" t="str">
        <f>DB!B64</f>
        <v>P E M B U L A T A N</v>
      </c>
      <c r="D55" s="2332"/>
      <c r="E55" s="2332"/>
      <c r="F55" s="2332"/>
      <c r="G55" s="2332"/>
      <c r="H55" s="2332"/>
      <c r="I55" s="2332"/>
      <c r="J55" s="2332"/>
      <c r="K55" s="2332"/>
      <c r="L55" s="2332"/>
      <c r="M55" s="2333"/>
      <c r="N55" s="2334">
        <f>DB!$Q$64</f>
        <v>5000000</v>
      </c>
      <c r="O55" s="2335"/>
      <c r="P55" s="2335"/>
      <c r="Q55" s="2335"/>
      <c r="R55" s="2335"/>
      <c r="S55" s="2335"/>
      <c r="T55" s="2336"/>
      <c r="V55" s="455"/>
      <c r="W55" s="455"/>
      <c r="X55" s="455"/>
      <c r="Y55" s="549"/>
      <c r="Z55" s="549"/>
      <c r="AA55" s="549"/>
      <c r="AB55" s="549"/>
      <c r="AC55" s="549"/>
      <c r="AD55" s="549"/>
      <c r="AE55" s="549"/>
      <c r="AF55" s="549"/>
      <c r="AG55" s="549"/>
      <c r="AH55" s="549"/>
      <c r="AI55" s="549"/>
      <c r="AJ55" s="549"/>
      <c r="AK55" s="549"/>
      <c r="AL55" s="549"/>
      <c r="AM55" s="549"/>
      <c r="AN55" s="549"/>
      <c r="AO55" s="549"/>
    </row>
    <row r="56" spans="1:47" s="519" customFormat="1" ht="12.75" customHeight="1">
      <c r="A56" s="863"/>
      <c r="B56" s="863"/>
      <c r="C56" s="863"/>
      <c r="D56" s="863"/>
      <c r="E56" s="863"/>
      <c r="F56" s="863"/>
      <c r="G56" s="863"/>
      <c r="H56" s="863"/>
      <c r="I56" s="863"/>
      <c r="J56" s="863"/>
      <c r="K56" s="863"/>
      <c r="L56" s="863"/>
      <c r="M56" s="863"/>
      <c r="N56" s="863"/>
      <c r="O56" s="863"/>
      <c r="P56" s="863"/>
      <c r="Q56" s="863"/>
      <c r="R56" s="863"/>
      <c r="S56" s="863"/>
      <c r="T56" s="863"/>
      <c r="U56" s="863"/>
      <c r="V56" s="863"/>
      <c r="W56" s="863"/>
      <c r="X56" s="863"/>
      <c r="Y56" s="517"/>
      <c r="Z56" s="517"/>
      <c r="AA56" s="517"/>
      <c r="AB56" s="517"/>
      <c r="AC56" s="517"/>
      <c r="AD56" s="517"/>
      <c r="AE56" s="517"/>
      <c r="AF56" s="517"/>
      <c r="AG56" s="517"/>
      <c r="AH56" s="517"/>
      <c r="AJ56" s="864"/>
      <c r="AK56" s="864"/>
      <c r="AL56" s="864"/>
      <c r="AM56" s="864"/>
      <c r="AN56" s="864"/>
      <c r="AO56" s="864"/>
    </row>
    <row r="57" spans="1:47" s="519" customFormat="1" ht="9">
      <c r="A57" s="863"/>
      <c r="B57" s="863"/>
      <c r="C57" s="863"/>
      <c r="D57" s="863"/>
      <c r="E57" s="863"/>
      <c r="F57" s="863"/>
      <c r="G57" s="863"/>
      <c r="H57" s="863"/>
      <c r="I57" s="863"/>
      <c r="J57" s="863"/>
      <c r="K57" s="863"/>
      <c r="L57" s="863"/>
      <c r="M57" s="863"/>
      <c r="N57" s="863"/>
      <c r="O57" s="863"/>
      <c r="P57" s="863"/>
      <c r="Q57" s="863"/>
      <c r="R57" s="863"/>
      <c r="S57" s="863"/>
      <c r="T57" s="863"/>
      <c r="U57" s="863"/>
      <c r="V57" s="863"/>
      <c r="W57" s="863"/>
      <c r="X57" s="863"/>
      <c r="Y57" s="517"/>
      <c r="Z57" s="517"/>
      <c r="AA57" s="517"/>
      <c r="AB57" s="517"/>
      <c r="AC57" s="517"/>
      <c r="AD57" s="517"/>
      <c r="AE57" s="517"/>
      <c r="AF57" s="517"/>
      <c r="AG57" s="517"/>
      <c r="AH57" s="517"/>
      <c r="AJ57" s="864"/>
      <c r="AK57" s="864"/>
      <c r="AL57" s="864"/>
      <c r="AM57" s="864"/>
      <c r="AN57" s="864"/>
      <c r="AO57" s="864"/>
    </row>
    <row r="58" spans="1:47" s="388" customFormat="1" ht="11.25" hidden="1" customHeight="1" thickBot="1">
      <c r="B58" s="383"/>
      <c r="C58" s="383"/>
      <c r="D58" s="383"/>
      <c r="E58" s="383"/>
      <c r="F58" s="383"/>
      <c r="G58" s="383"/>
      <c r="H58" s="383"/>
      <c r="I58" s="383"/>
      <c r="J58" s="383"/>
      <c r="K58" s="383"/>
      <c r="L58" s="383"/>
      <c r="M58" s="383"/>
      <c r="N58" s="383"/>
      <c r="O58" s="383"/>
      <c r="P58" s="383"/>
      <c r="Q58" s="383"/>
      <c r="R58" s="383"/>
      <c r="S58" s="383"/>
      <c r="T58" s="383"/>
      <c r="U58" s="383"/>
      <c r="V58" s="383"/>
      <c r="W58" s="383"/>
      <c r="X58" s="383"/>
      <c r="Y58" s="383"/>
      <c r="Z58" s="383"/>
      <c r="AA58" s="383"/>
      <c r="AB58" s="383"/>
      <c r="AC58" s="383"/>
      <c r="AD58" s="383"/>
      <c r="AE58" s="383"/>
      <c r="AF58" s="383"/>
      <c r="AG58" s="383"/>
      <c r="AH58" s="383"/>
      <c r="AI58" s="383"/>
      <c r="AJ58" s="383"/>
      <c r="AK58" s="384"/>
      <c r="AL58" s="384"/>
      <c r="AM58" s="384"/>
      <c r="AN58" s="385"/>
      <c r="AO58" s="384" t="str">
        <f>CONCATENATE("Hal - ",AQ58,"  dari  ",AT58)</f>
        <v>Hal - 7  dari  10</v>
      </c>
      <c r="AP58" s="386"/>
      <c r="AQ58" s="1881">
        <f>+'B1'!AP69+1</f>
        <v>7</v>
      </c>
      <c r="AR58" s="1882"/>
      <c r="AS58" s="387" t="s">
        <v>3</v>
      </c>
      <c r="AT58" s="1881">
        <f>'Surat-01'!$AW$55</f>
        <v>10</v>
      </c>
      <c r="AU58" s="1882"/>
    </row>
    <row r="59" spans="1:47" ht="14.1" customHeight="1">
      <c r="A59" s="524"/>
      <c r="B59" s="524"/>
      <c r="C59" s="520"/>
      <c r="D59" s="2321"/>
      <c r="E59" s="2321"/>
      <c r="F59" s="522"/>
      <c r="G59" s="863"/>
      <c r="H59" s="522"/>
      <c r="I59" s="522"/>
      <c r="J59" s="522"/>
      <c r="K59" s="522"/>
      <c r="L59" s="522"/>
      <c r="M59" s="522"/>
      <c r="N59" s="522"/>
      <c r="O59" s="522"/>
      <c r="P59" s="522"/>
      <c r="Q59" s="522"/>
      <c r="R59" s="522"/>
      <c r="S59" s="522"/>
      <c r="T59" s="522"/>
      <c r="U59" s="522"/>
      <c r="V59" s="522"/>
      <c r="W59" s="522"/>
      <c r="X59" s="522"/>
      <c r="Y59" s="522"/>
      <c r="Z59" s="522"/>
      <c r="AA59" s="522"/>
      <c r="AB59" s="522"/>
      <c r="AC59" s="522"/>
      <c r="AD59" s="522"/>
      <c r="AE59" s="522"/>
      <c r="AF59" s="522"/>
      <c r="AG59" s="522"/>
      <c r="AH59" s="522"/>
      <c r="AI59" s="522"/>
      <c r="AJ59" s="522"/>
      <c r="AK59" s="522"/>
      <c r="AL59" s="522"/>
      <c r="AM59" s="522"/>
      <c r="AN59" s="522"/>
      <c r="AO59" s="522"/>
    </row>
    <row r="60" spans="1:47" ht="14.1" customHeight="1">
      <c r="A60" s="524"/>
      <c r="B60" s="524"/>
      <c r="C60" s="520"/>
      <c r="D60" s="2321"/>
      <c r="E60" s="2321"/>
      <c r="F60" s="522"/>
      <c r="G60" s="863"/>
      <c r="H60" s="522"/>
      <c r="I60" s="522"/>
      <c r="J60" s="522"/>
      <c r="K60" s="522"/>
      <c r="L60" s="522"/>
      <c r="M60" s="522"/>
      <c r="N60" s="522"/>
      <c r="O60" s="522"/>
      <c r="P60" s="522"/>
      <c r="Q60" s="522"/>
      <c r="R60" s="522"/>
      <c r="S60" s="522"/>
      <c r="T60" s="522"/>
      <c r="U60" s="522"/>
      <c r="V60" s="522"/>
      <c r="W60" s="522"/>
      <c r="X60" s="522"/>
      <c r="Y60" s="522"/>
      <c r="Z60" s="522"/>
      <c r="AA60" s="522"/>
      <c r="AB60" s="522"/>
      <c r="AC60" s="522"/>
      <c r="AD60" s="522"/>
      <c r="AE60" s="522"/>
      <c r="AF60" s="522"/>
      <c r="AG60" s="522"/>
      <c r="AH60" s="522"/>
      <c r="AI60" s="522"/>
      <c r="AJ60" s="522"/>
      <c r="AK60" s="522"/>
      <c r="AL60" s="522"/>
      <c r="AM60" s="522"/>
      <c r="AN60" s="522"/>
      <c r="AO60" s="522"/>
    </row>
    <row r="61" spans="1:47" ht="12.95" customHeight="1">
      <c r="A61" s="524"/>
      <c r="B61" s="524"/>
      <c r="C61" s="520"/>
      <c r="D61" s="2321"/>
      <c r="E61" s="2321"/>
      <c r="F61" s="522"/>
      <c r="G61" s="863"/>
      <c r="H61" s="522"/>
      <c r="I61" s="522"/>
      <c r="J61" s="522"/>
      <c r="K61" s="522"/>
      <c r="L61" s="522"/>
      <c r="M61" s="522"/>
      <c r="N61" s="522"/>
      <c r="O61" s="522"/>
      <c r="P61" s="522"/>
      <c r="Q61" s="522"/>
      <c r="R61" s="522"/>
      <c r="S61" s="522"/>
      <c r="T61" s="522"/>
      <c r="U61" s="522"/>
      <c r="V61" s="522"/>
      <c r="W61" s="522"/>
      <c r="X61" s="522"/>
      <c r="Y61" s="522"/>
      <c r="Z61" s="522"/>
      <c r="AA61" s="522"/>
      <c r="AB61" s="522"/>
      <c r="AC61" s="522"/>
      <c r="AD61" s="522"/>
      <c r="AE61" s="522"/>
      <c r="AF61" s="522"/>
      <c r="AG61" s="522"/>
      <c r="AH61" s="522"/>
      <c r="AI61" s="522"/>
      <c r="AJ61" s="522"/>
      <c r="AK61" s="522"/>
      <c r="AL61" s="522"/>
      <c r="AM61" s="522"/>
      <c r="AN61" s="522"/>
      <c r="AO61" s="522"/>
    </row>
    <row r="62" spans="1:47" ht="12.95" customHeight="1">
      <c r="A62" s="524"/>
      <c r="B62" s="524"/>
      <c r="C62" s="520"/>
      <c r="D62" s="2321"/>
      <c r="E62" s="2321"/>
      <c r="F62" s="522"/>
      <c r="G62" s="863"/>
      <c r="H62" s="522"/>
      <c r="I62" s="522"/>
      <c r="J62" s="522"/>
      <c r="K62" s="522"/>
      <c r="L62" s="522"/>
      <c r="M62" s="522"/>
      <c r="N62" s="522"/>
      <c r="O62" s="522"/>
      <c r="P62" s="522"/>
      <c r="Q62" s="522"/>
      <c r="R62" s="522"/>
      <c r="S62" s="522"/>
      <c r="T62" s="522"/>
      <c r="U62" s="522"/>
      <c r="V62" s="522"/>
      <c r="W62" s="522"/>
      <c r="X62" s="522"/>
      <c r="Y62" s="522"/>
      <c r="Z62" s="522"/>
      <c r="AA62" s="522"/>
      <c r="AB62" s="522"/>
      <c r="AC62" s="522"/>
      <c r="AD62" s="522"/>
      <c r="AE62" s="522"/>
      <c r="AF62" s="522"/>
      <c r="AG62" s="522"/>
      <c r="AH62" s="522"/>
      <c r="AI62" s="522"/>
      <c r="AJ62" s="522"/>
      <c r="AK62" s="522"/>
      <c r="AL62" s="522"/>
      <c r="AM62" s="522"/>
      <c r="AN62" s="522"/>
      <c r="AO62" s="522"/>
    </row>
    <row r="63" spans="1:47" ht="12.95" customHeight="1">
      <c r="A63" s="524"/>
      <c r="B63" s="524"/>
      <c r="C63" s="520"/>
      <c r="D63" s="522"/>
      <c r="E63" s="522"/>
      <c r="F63" s="522"/>
      <c r="G63" s="863"/>
      <c r="H63" s="522"/>
      <c r="I63" s="522"/>
      <c r="J63" s="522"/>
      <c r="K63" s="522"/>
      <c r="L63" s="522"/>
      <c r="M63" s="522"/>
      <c r="N63" s="522"/>
      <c r="O63" s="522"/>
      <c r="P63" s="522"/>
      <c r="Q63" s="522"/>
      <c r="R63" s="522"/>
      <c r="S63" s="522"/>
      <c r="T63" s="522"/>
      <c r="U63" s="522"/>
      <c r="V63" s="522"/>
      <c r="W63" s="522"/>
      <c r="X63" s="522"/>
      <c r="Y63" s="522"/>
      <c r="Z63" s="522"/>
      <c r="AA63" s="522"/>
      <c r="AB63" s="522"/>
      <c r="AC63" s="522"/>
      <c r="AD63" s="522"/>
      <c r="AE63" s="522"/>
      <c r="AF63" s="522"/>
      <c r="AG63" s="522"/>
      <c r="AH63" s="522"/>
      <c r="AI63" s="522"/>
      <c r="AJ63" s="522"/>
      <c r="AK63" s="522"/>
      <c r="AL63" s="522"/>
      <c r="AM63" s="522"/>
      <c r="AN63" s="522"/>
      <c r="AO63" s="522"/>
    </row>
    <row r="64" spans="1:47" ht="12.95" customHeight="1">
      <c r="A64" s="524"/>
      <c r="B64" s="524"/>
      <c r="C64" s="520"/>
      <c r="D64" s="522"/>
      <c r="E64" s="522"/>
      <c r="F64" s="522"/>
      <c r="G64" s="863"/>
      <c r="H64" s="522"/>
      <c r="I64" s="522"/>
      <c r="J64" s="522"/>
      <c r="K64" s="522"/>
      <c r="L64" s="522"/>
      <c r="M64" s="522"/>
      <c r="N64" s="522"/>
      <c r="O64" s="522"/>
      <c r="P64" s="522"/>
      <c r="Q64" s="522"/>
      <c r="R64" s="522"/>
      <c r="S64" s="522"/>
      <c r="T64" s="522"/>
      <c r="U64" s="522"/>
      <c r="V64" s="522"/>
      <c r="W64" s="522"/>
      <c r="X64" s="522"/>
      <c r="Y64" s="522"/>
      <c r="Z64" s="522"/>
      <c r="AA64" s="522"/>
      <c r="AB64" s="522"/>
      <c r="AC64" s="522"/>
      <c r="AD64" s="522"/>
      <c r="AE64" s="522"/>
      <c r="AF64" s="522"/>
      <c r="AG64" s="522"/>
      <c r="AH64" s="522"/>
      <c r="AI64" s="522"/>
      <c r="AJ64" s="522"/>
      <c r="AK64" s="522"/>
      <c r="AL64" s="522"/>
      <c r="AM64" s="522"/>
      <c r="AN64" s="522"/>
      <c r="AO64" s="522"/>
    </row>
    <row r="65" spans="1:41" ht="12.95" customHeight="1">
      <c r="A65" s="524"/>
      <c r="B65" s="524"/>
      <c r="C65" s="520"/>
      <c r="D65" s="522"/>
      <c r="E65" s="522"/>
      <c r="F65" s="522"/>
      <c r="G65" s="863"/>
      <c r="H65" s="522"/>
      <c r="I65" s="522"/>
      <c r="J65" s="522"/>
      <c r="K65" s="522"/>
      <c r="L65" s="522"/>
      <c r="M65" s="522"/>
      <c r="N65" s="522"/>
      <c r="O65" s="522"/>
      <c r="P65" s="522"/>
      <c r="Q65" s="522"/>
      <c r="R65" s="522"/>
      <c r="S65" s="522"/>
      <c r="T65" s="522"/>
      <c r="U65" s="522"/>
      <c r="V65" s="522"/>
      <c r="W65" s="522"/>
      <c r="X65" s="522"/>
      <c r="Y65" s="522"/>
      <c r="Z65" s="522"/>
      <c r="AA65" s="522"/>
      <c r="AB65" s="522"/>
      <c r="AC65" s="522"/>
      <c r="AD65" s="522"/>
      <c r="AE65" s="522"/>
      <c r="AF65" s="522"/>
      <c r="AG65" s="522"/>
      <c r="AH65" s="522"/>
      <c r="AI65" s="522"/>
      <c r="AJ65" s="522"/>
      <c r="AK65" s="522"/>
      <c r="AL65" s="522"/>
      <c r="AM65" s="522"/>
      <c r="AN65" s="522"/>
      <c r="AO65" s="522"/>
    </row>
    <row r="66" spans="1:41" ht="12.95" customHeight="1">
      <c r="A66" s="524"/>
      <c r="B66" s="524"/>
      <c r="C66" s="520"/>
      <c r="D66" s="522"/>
      <c r="E66" s="522"/>
      <c r="F66" s="522"/>
      <c r="G66" s="863"/>
      <c r="H66" s="522"/>
      <c r="I66" s="522"/>
      <c r="J66" s="522"/>
      <c r="K66" s="522"/>
      <c r="L66" s="522"/>
      <c r="M66" s="522"/>
      <c r="N66" s="522"/>
      <c r="O66" s="522"/>
      <c r="P66" s="522"/>
      <c r="Q66" s="522"/>
      <c r="R66" s="522"/>
      <c r="S66" s="522"/>
      <c r="T66" s="522"/>
      <c r="U66" s="522"/>
      <c r="V66" s="522"/>
      <c r="W66" s="522"/>
      <c r="X66" s="522"/>
      <c r="Y66" s="522"/>
      <c r="Z66" s="522"/>
      <c r="AA66" s="522"/>
      <c r="AB66" s="522"/>
      <c r="AC66" s="522"/>
      <c r="AD66" s="522"/>
      <c r="AE66" s="522"/>
      <c r="AF66" s="522"/>
      <c r="AG66" s="522"/>
      <c r="AH66" s="522"/>
      <c r="AI66" s="522"/>
      <c r="AJ66" s="522"/>
      <c r="AK66" s="522"/>
      <c r="AL66" s="522"/>
      <c r="AM66" s="522"/>
      <c r="AN66" s="522"/>
      <c r="AO66" s="522"/>
    </row>
    <row r="67" spans="1:41" ht="12.95" customHeight="1">
      <c r="A67" s="524"/>
      <c r="B67" s="524"/>
      <c r="C67" s="520"/>
      <c r="D67" s="522"/>
      <c r="E67" s="522"/>
      <c r="F67" s="522"/>
      <c r="G67" s="522"/>
      <c r="H67" s="522"/>
      <c r="I67" s="522"/>
      <c r="J67" s="522"/>
      <c r="K67" s="522"/>
      <c r="L67" s="522"/>
      <c r="M67" s="522"/>
      <c r="N67" s="522"/>
      <c r="O67" s="522"/>
      <c r="P67" s="522"/>
      <c r="Q67" s="522"/>
      <c r="R67" s="522"/>
      <c r="S67" s="522"/>
      <c r="T67" s="522"/>
      <c r="U67" s="522"/>
      <c r="V67" s="522"/>
      <c r="W67" s="522"/>
      <c r="X67" s="522"/>
      <c r="Y67" s="522"/>
      <c r="Z67" s="522"/>
      <c r="AA67" s="522"/>
      <c r="AB67" s="522"/>
      <c r="AC67" s="522"/>
      <c r="AD67" s="522"/>
      <c r="AE67" s="522"/>
      <c r="AF67" s="522"/>
      <c r="AG67" s="522"/>
      <c r="AH67" s="522"/>
      <c r="AI67" s="522"/>
      <c r="AJ67" s="522"/>
      <c r="AK67" s="522"/>
      <c r="AL67" s="522"/>
      <c r="AM67" s="522"/>
      <c r="AN67" s="522"/>
      <c r="AO67" s="522"/>
    </row>
    <row r="68" spans="1:41" ht="12.95" customHeight="1">
      <c r="A68" s="524"/>
      <c r="B68" s="524"/>
      <c r="C68" s="520"/>
      <c r="D68" s="522"/>
      <c r="E68" s="522"/>
      <c r="F68" s="522"/>
      <c r="G68" s="522"/>
      <c r="H68" s="522"/>
      <c r="I68" s="522"/>
      <c r="J68" s="522"/>
      <c r="K68" s="522"/>
      <c r="L68" s="522"/>
      <c r="M68" s="522"/>
      <c r="N68" s="522"/>
      <c r="O68" s="522"/>
      <c r="P68" s="522"/>
      <c r="Q68" s="522"/>
      <c r="R68" s="522"/>
      <c r="S68" s="522"/>
      <c r="T68" s="522"/>
      <c r="U68" s="522"/>
      <c r="V68" s="522"/>
      <c r="W68" s="522"/>
      <c r="X68" s="522"/>
      <c r="Y68" s="522"/>
      <c r="Z68" s="522"/>
      <c r="AA68" s="522"/>
      <c r="AB68" s="522"/>
      <c r="AC68" s="522"/>
      <c r="AD68" s="522"/>
      <c r="AE68" s="522"/>
      <c r="AF68" s="522"/>
      <c r="AG68" s="522"/>
      <c r="AH68" s="522"/>
      <c r="AI68" s="522"/>
      <c r="AJ68" s="522"/>
      <c r="AK68" s="522"/>
      <c r="AL68" s="522"/>
      <c r="AM68" s="522"/>
      <c r="AN68" s="522"/>
      <c r="AO68" s="522"/>
    </row>
    <row r="69" spans="1:41" ht="12.95" customHeight="1">
      <c r="A69" s="524"/>
      <c r="B69" s="524"/>
      <c r="C69" s="520"/>
      <c r="D69" s="522"/>
      <c r="E69" s="522"/>
      <c r="F69" s="522"/>
      <c r="G69" s="522"/>
      <c r="H69" s="522"/>
      <c r="I69" s="522"/>
      <c r="J69" s="522"/>
      <c r="K69" s="522"/>
      <c r="L69" s="522"/>
      <c r="M69" s="522"/>
      <c r="N69" s="522"/>
      <c r="O69" s="522"/>
      <c r="P69" s="522"/>
      <c r="Q69" s="522"/>
      <c r="R69" s="522"/>
      <c r="S69" s="522"/>
      <c r="T69" s="522"/>
      <c r="U69" s="522"/>
      <c r="V69" s="522"/>
      <c r="W69" s="522"/>
      <c r="X69" s="522"/>
      <c r="Y69" s="522"/>
      <c r="Z69" s="522"/>
      <c r="AA69" s="522"/>
      <c r="AB69" s="522"/>
      <c r="AC69" s="522"/>
      <c r="AD69" s="522"/>
      <c r="AE69" s="522"/>
      <c r="AF69" s="522"/>
      <c r="AG69" s="522"/>
      <c r="AH69" s="522"/>
      <c r="AI69" s="522"/>
      <c r="AJ69" s="522"/>
      <c r="AK69" s="522"/>
      <c r="AL69" s="522"/>
      <c r="AM69" s="522"/>
      <c r="AN69" s="522"/>
      <c r="AO69" s="522"/>
    </row>
    <row r="70" spans="1:41" ht="12.95" customHeight="1">
      <c r="A70" s="524"/>
      <c r="B70" s="524"/>
      <c r="C70" s="520"/>
      <c r="D70" s="522"/>
      <c r="E70" s="522"/>
      <c r="F70" s="522"/>
      <c r="G70" s="522"/>
      <c r="H70" s="522"/>
      <c r="I70" s="522"/>
      <c r="J70" s="522"/>
      <c r="K70" s="522"/>
      <c r="L70" s="522"/>
      <c r="M70" s="522"/>
      <c r="N70" s="522"/>
      <c r="O70" s="522"/>
      <c r="P70" s="522"/>
      <c r="Q70" s="522"/>
      <c r="R70" s="522"/>
      <c r="S70" s="522"/>
      <c r="T70" s="522"/>
      <c r="U70" s="522"/>
      <c r="V70" s="522"/>
      <c r="W70" s="522"/>
      <c r="X70" s="522"/>
      <c r="Y70" s="522"/>
      <c r="Z70" s="522"/>
      <c r="AA70" s="522"/>
      <c r="AB70" s="522"/>
      <c r="AC70" s="522"/>
      <c r="AD70" s="522"/>
      <c r="AE70" s="522"/>
      <c r="AF70" s="522"/>
      <c r="AG70" s="522"/>
      <c r="AH70" s="522"/>
      <c r="AI70" s="522"/>
      <c r="AJ70" s="522"/>
      <c r="AK70" s="522"/>
      <c r="AL70" s="522"/>
      <c r="AM70" s="522"/>
      <c r="AN70" s="522"/>
      <c r="AO70" s="522"/>
    </row>
    <row r="71" spans="1:41" ht="12.95" customHeight="1">
      <c r="A71" s="524"/>
      <c r="B71" s="524"/>
      <c r="C71" s="520"/>
      <c r="D71" s="522"/>
      <c r="E71" s="522"/>
      <c r="F71" s="522"/>
      <c r="G71" s="522"/>
      <c r="H71" s="522"/>
      <c r="I71" s="522"/>
      <c r="J71" s="522"/>
      <c r="K71" s="522"/>
      <c r="L71" s="522"/>
      <c r="M71" s="522"/>
      <c r="N71" s="522"/>
      <c r="O71" s="522"/>
      <c r="P71" s="522"/>
      <c r="Q71" s="522"/>
      <c r="R71" s="522"/>
      <c r="S71" s="522"/>
      <c r="T71" s="522"/>
      <c r="U71" s="522"/>
      <c r="V71" s="522"/>
      <c r="W71" s="522"/>
      <c r="X71" s="522"/>
      <c r="Y71" s="522"/>
      <c r="Z71" s="522"/>
      <c r="AA71" s="522"/>
      <c r="AB71" s="522"/>
      <c r="AC71" s="522"/>
      <c r="AD71" s="522"/>
      <c r="AE71" s="522"/>
      <c r="AF71" s="522"/>
      <c r="AG71" s="522"/>
      <c r="AH71" s="522"/>
      <c r="AI71" s="522"/>
      <c r="AJ71" s="522"/>
      <c r="AK71" s="522"/>
      <c r="AL71" s="522"/>
      <c r="AM71" s="522"/>
      <c r="AN71" s="522"/>
      <c r="AO71" s="522"/>
    </row>
    <row r="72" spans="1:41" ht="12.95" customHeight="1">
      <c r="A72" s="524"/>
      <c r="B72" s="524"/>
      <c r="C72" s="520"/>
      <c r="D72" s="522"/>
      <c r="E72" s="522"/>
      <c r="F72" s="522"/>
      <c r="G72" s="522"/>
      <c r="H72" s="522"/>
      <c r="I72" s="522"/>
      <c r="J72" s="522"/>
      <c r="K72" s="522"/>
      <c r="L72" s="522"/>
      <c r="M72" s="522"/>
      <c r="N72" s="522"/>
      <c r="O72" s="522"/>
      <c r="P72" s="522"/>
      <c r="Q72" s="522"/>
      <c r="R72" s="522"/>
      <c r="S72" s="522"/>
      <c r="T72" s="522"/>
      <c r="U72" s="522"/>
      <c r="V72" s="522"/>
      <c r="W72" s="522"/>
      <c r="X72" s="522"/>
      <c r="Y72" s="522"/>
      <c r="Z72" s="522"/>
      <c r="AA72" s="522"/>
      <c r="AB72" s="522"/>
      <c r="AC72" s="522"/>
      <c r="AD72" s="522"/>
      <c r="AE72" s="522"/>
      <c r="AF72" s="522"/>
      <c r="AG72" s="522"/>
      <c r="AH72" s="522"/>
      <c r="AI72" s="522"/>
      <c r="AJ72" s="522"/>
      <c r="AK72" s="522"/>
      <c r="AL72" s="522"/>
      <c r="AM72" s="522"/>
      <c r="AN72" s="522"/>
      <c r="AO72" s="522"/>
    </row>
  </sheetData>
  <sheetProtection formatCells="0" formatColumns="0" formatRows="0" insertColumns="0" insertRows="0" insertHyperlinks="0" deleteColumns="0" deleteRows="0" sort="0" autoFilter="0" pivotTables="0"/>
  <mergeCells count="193">
    <mergeCell ref="C11:M11"/>
    <mergeCell ref="N11:T11"/>
    <mergeCell ref="U11:AA11"/>
    <mergeCell ref="AB11:AH11"/>
    <mergeCell ref="AI11:AO11"/>
    <mergeCell ref="N15:T15"/>
    <mergeCell ref="U15:AA15"/>
    <mergeCell ref="AB15:AH15"/>
    <mergeCell ref="AI15:AO15"/>
    <mergeCell ref="AB14:AH14"/>
    <mergeCell ref="C3:T3"/>
    <mergeCell ref="C10:M10"/>
    <mergeCell ref="N10:T10"/>
    <mergeCell ref="U10:AA10"/>
    <mergeCell ref="AB10:AH10"/>
    <mergeCell ref="AI10:AO10"/>
    <mergeCell ref="AI14:AO14"/>
    <mergeCell ref="C12:M12"/>
    <mergeCell ref="N12:T12"/>
    <mergeCell ref="U12:AA12"/>
    <mergeCell ref="AB12:AH12"/>
    <mergeCell ref="AI12:AO12"/>
    <mergeCell ref="N16:T16"/>
    <mergeCell ref="U16:AA16"/>
    <mergeCell ref="AB16:AH16"/>
    <mergeCell ref="AI16:AO16"/>
    <mergeCell ref="N13:T13"/>
    <mergeCell ref="U13:AA13"/>
    <mergeCell ref="AB13:AH13"/>
    <mergeCell ref="AI13:AO13"/>
    <mergeCell ref="N14:T14"/>
    <mergeCell ref="U14:AA14"/>
    <mergeCell ref="N17:T17"/>
    <mergeCell ref="U17:AA17"/>
    <mergeCell ref="AB17:AH17"/>
    <mergeCell ref="AI17:AO17"/>
    <mergeCell ref="N18:T18"/>
    <mergeCell ref="U18:AA18"/>
    <mergeCell ref="AB18:AH18"/>
    <mergeCell ref="AI18:AO18"/>
    <mergeCell ref="N19:T19"/>
    <mergeCell ref="U19:AA19"/>
    <mergeCell ref="AB19:AH19"/>
    <mergeCell ref="AI19:AO19"/>
    <mergeCell ref="N20:T20"/>
    <mergeCell ref="U20:AA20"/>
    <mergeCell ref="AB20:AH20"/>
    <mergeCell ref="AI20:AO20"/>
    <mergeCell ref="N21:T21"/>
    <mergeCell ref="U21:AA21"/>
    <mergeCell ref="AB21:AH21"/>
    <mergeCell ref="AI21:AO21"/>
    <mergeCell ref="C22:M22"/>
    <mergeCell ref="N22:T22"/>
    <mergeCell ref="U22:AA22"/>
    <mergeCell ref="AB22:AH22"/>
    <mergeCell ref="AI22:AO22"/>
    <mergeCell ref="N23:T23"/>
    <mergeCell ref="U23:AA23"/>
    <mergeCell ref="AB23:AH23"/>
    <mergeCell ref="AI23:AO23"/>
    <mergeCell ref="N24:T24"/>
    <mergeCell ref="U24:AA24"/>
    <mergeCell ref="AB24:AH24"/>
    <mergeCell ref="AI24:AO24"/>
    <mergeCell ref="N25:T25"/>
    <mergeCell ref="U25:AA25"/>
    <mergeCell ref="AB25:AH25"/>
    <mergeCell ref="AI25:AO25"/>
    <mergeCell ref="N26:T26"/>
    <mergeCell ref="U26:AA26"/>
    <mergeCell ref="AB26:AH26"/>
    <mergeCell ref="AI26:AO26"/>
    <mergeCell ref="N27:T27"/>
    <mergeCell ref="U27:AA27"/>
    <mergeCell ref="AB27:AH27"/>
    <mergeCell ref="AI27:AO27"/>
    <mergeCell ref="N28:T28"/>
    <mergeCell ref="U28:AA28"/>
    <mergeCell ref="AB28:AH28"/>
    <mergeCell ref="AI28:AO28"/>
    <mergeCell ref="N29:T29"/>
    <mergeCell ref="U29:AA29"/>
    <mergeCell ref="AB29:AH29"/>
    <mergeCell ref="AI29:AO29"/>
    <mergeCell ref="N30:T30"/>
    <mergeCell ref="U30:AA30"/>
    <mergeCell ref="AB30:AH30"/>
    <mergeCell ref="AI30:AO30"/>
    <mergeCell ref="N31:T31"/>
    <mergeCell ref="U31:AA31"/>
    <mergeCell ref="AB31:AH31"/>
    <mergeCell ref="AI31:AO31"/>
    <mergeCell ref="C32:M32"/>
    <mergeCell ref="N32:T32"/>
    <mergeCell ref="U32:AA32"/>
    <mergeCell ref="AB32:AH32"/>
    <mergeCell ref="AI32:AO32"/>
    <mergeCell ref="N33:T33"/>
    <mergeCell ref="U33:AA33"/>
    <mergeCell ref="AB33:AH33"/>
    <mergeCell ref="AI33:AO33"/>
    <mergeCell ref="N34:T34"/>
    <mergeCell ref="U34:AA34"/>
    <mergeCell ref="AB34:AH34"/>
    <mergeCell ref="AI34:AO34"/>
    <mergeCell ref="N35:T35"/>
    <mergeCell ref="U35:AA35"/>
    <mergeCell ref="AB35:AH35"/>
    <mergeCell ref="AI35:AO35"/>
    <mergeCell ref="N36:T36"/>
    <mergeCell ref="U36:AA36"/>
    <mergeCell ref="AB36:AH36"/>
    <mergeCell ref="AI36:AO36"/>
    <mergeCell ref="C37:T37"/>
    <mergeCell ref="U37:AA37"/>
    <mergeCell ref="AB37:AH37"/>
    <mergeCell ref="AI37:AO37"/>
    <mergeCell ref="C39:M39"/>
    <mergeCell ref="N39:T39"/>
    <mergeCell ref="U39:AA39"/>
    <mergeCell ref="AB39:AH39"/>
    <mergeCell ref="AI39:AO39"/>
    <mergeCell ref="N40:T40"/>
    <mergeCell ref="U40:AA40"/>
    <mergeCell ref="AB40:AH40"/>
    <mergeCell ref="AI40:AO40"/>
    <mergeCell ref="N41:T41"/>
    <mergeCell ref="U41:AA41"/>
    <mergeCell ref="AB41:AH41"/>
    <mergeCell ref="AI41:AO41"/>
    <mergeCell ref="N42:T42"/>
    <mergeCell ref="U42:AA42"/>
    <mergeCell ref="AB42:AH42"/>
    <mergeCell ref="AI42:AO42"/>
    <mergeCell ref="N43:T43"/>
    <mergeCell ref="U43:AA43"/>
    <mergeCell ref="AB43:AH43"/>
    <mergeCell ref="AI43:AO43"/>
    <mergeCell ref="N44:T44"/>
    <mergeCell ref="U44:AA44"/>
    <mergeCell ref="AB44:AH44"/>
    <mergeCell ref="AI44:AO44"/>
    <mergeCell ref="N45:T45"/>
    <mergeCell ref="U45:AA45"/>
    <mergeCell ref="AB45:AH45"/>
    <mergeCell ref="AI45:AO45"/>
    <mergeCell ref="N46:T46"/>
    <mergeCell ref="U46:AA46"/>
    <mergeCell ref="AB46:AH46"/>
    <mergeCell ref="AI46:AO46"/>
    <mergeCell ref="N47:T47"/>
    <mergeCell ref="U47:AA47"/>
    <mergeCell ref="AB47:AH47"/>
    <mergeCell ref="AI47:AO47"/>
    <mergeCell ref="N48:T48"/>
    <mergeCell ref="U48:AA48"/>
    <mergeCell ref="AB48:AH48"/>
    <mergeCell ref="AI48:AO48"/>
    <mergeCell ref="N49:T49"/>
    <mergeCell ref="U49:AA49"/>
    <mergeCell ref="AB49:AH49"/>
    <mergeCell ref="AI49:AO49"/>
    <mergeCell ref="N50:T50"/>
    <mergeCell ref="U50:AA50"/>
    <mergeCell ref="AB50:AH50"/>
    <mergeCell ref="AI50:AO50"/>
    <mergeCell ref="C51:T51"/>
    <mergeCell ref="U51:AA51"/>
    <mergeCell ref="AB51:AH51"/>
    <mergeCell ref="AI51:AO51"/>
    <mergeCell ref="C52:T52"/>
    <mergeCell ref="U52:AA52"/>
    <mergeCell ref="AB52:AH52"/>
    <mergeCell ref="AI52:AO52"/>
    <mergeCell ref="C53:M53"/>
    <mergeCell ref="N53:T53"/>
    <mergeCell ref="U53:AA53"/>
    <mergeCell ref="AB53:AH53"/>
    <mergeCell ref="AI53:AO53"/>
    <mergeCell ref="C54:M54"/>
    <mergeCell ref="N54:T54"/>
    <mergeCell ref="U54:AA54"/>
    <mergeCell ref="AB54:AH54"/>
    <mergeCell ref="AI54:AO54"/>
    <mergeCell ref="C55:M55"/>
    <mergeCell ref="N55:T55"/>
    <mergeCell ref="AQ58:AR58"/>
    <mergeCell ref="AT58:AU58"/>
    <mergeCell ref="D59:E59"/>
    <mergeCell ref="D60:E60"/>
    <mergeCell ref="D61:E61"/>
    <mergeCell ref="D62:E62"/>
  </mergeCells>
  <dataValidations count="2">
    <dataValidation type="whole" operator="lessThanOrEqual" allowBlank="1" showInputMessage="1" showErrorMessage="1" sqref="AQ59:AR65536 AQ8:AR57 AS8:IV65536 A1:C5 U1:IV5 D4:T5 D1:T2 A8:AP65536">
      <formula1>-5</formula1>
    </dataValidation>
    <dataValidation type="whole" operator="lessThan" allowBlank="1" showInputMessage="1" showErrorMessage="1" sqref="AW6:IV7">
      <formula1>-5</formula1>
    </dataValidation>
  </dataValidations>
  <pageMargins left="0.65" right="0" top="0" bottom="0.39370078740157499" header="0.31496062992126" footer="0"/>
  <pageSetup paperSize="9" scale="90"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sheetPr>
  <dimension ref="B3:AY103"/>
  <sheetViews>
    <sheetView showGridLines="0" view="pageBreakPreview" topLeftCell="A25" zoomScaleSheetLayoutView="100" workbookViewId="0"/>
  </sheetViews>
  <sheetFormatPr defaultColWidth="2.7109375" defaultRowHeight="12.95" customHeight="1"/>
  <cols>
    <col min="1" max="1" width="5.7109375" style="438" customWidth="1"/>
    <col min="2" max="2" width="6.7109375" style="438" customWidth="1"/>
    <col min="3" max="3" width="2.7109375" style="298" customWidth="1"/>
    <col min="4" max="7" width="2.28515625" style="299" customWidth="1"/>
    <col min="8" max="10" width="2.7109375" style="299" customWidth="1"/>
    <col min="11" max="11" width="2.28515625" style="299" customWidth="1"/>
    <col min="12" max="12" width="1.7109375" style="299" customWidth="1"/>
    <col min="13" max="39" width="2.7109375" style="299" customWidth="1"/>
    <col min="40" max="40" width="1.7109375" style="299" customWidth="1"/>
    <col min="41" max="41" width="2.7109375" style="438" customWidth="1"/>
    <col min="42" max="42" width="2.7109375" style="438" hidden="1" customWidth="1"/>
    <col min="43" max="43" width="2.7109375" style="438" customWidth="1"/>
    <col min="44" max="16384" width="2.7109375" style="438"/>
  </cols>
  <sheetData>
    <row r="3" spans="3:40" ht="80.099999999999994" customHeight="1"/>
    <row r="4" spans="3:40" s="304" customFormat="1" ht="24" customHeight="1">
      <c r="C4" s="2454" t="s">
        <v>2318</v>
      </c>
      <c r="D4" s="2454"/>
      <c r="E4" s="2454"/>
      <c r="F4" s="2454"/>
      <c r="G4" s="2454"/>
      <c r="H4" s="2454"/>
      <c r="I4" s="2454"/>
      <c r="J4" s="2454"/>
      <c r="K4" s="2454"/>
      <c r="L4" s="2454"/>
      <c r="M4" s="2454"/>
      <c r="N4" s="2454"/>
      <c r="O4" s="2454"/>
      <c r="P4" s="2454"/>
      <c r="Q4" s="2454"/>
      <c r="R4" s="2454"/>
      <c r="S4" s="2454"/>
      <c r="T4" s="2454"/>
      <c r="U4" s="2454"/>
      <c r="V4" s="2454"/>
      <c r="W4" s="2454"/>
      <c r="X4" s="2454"/>
      <c r="Y4" s="2454"/>
      <c r="Z4" s="2454"/>
      <c r="AA4" s="2454"/>
      <c r="AB4" s="2454"/>
      <c r="AC4" s="2454"/>
      <c r="AD4" s="2454"/>
      <c r="AE4" s="2454"/>
      <c r="AF4" s="2454"/>
      <c r="AG4" s="300"/>
      <c r="AH4" s="300"/>
      <c r="AI4" s="300"/>
      <c r="AJ4" s="300"/>
      <c r="AK4" s="300"/>
      <c r="AL4" s="300"/>
      <c r="AM4" s="300"/>
      <c r="AN4" s="300"/>
    </row>
    <row r="5" spans="3:40" s="848" customFormat="1" ht="9.9499999999999993" customHeight="1">
      <c r="C5" s="1115"/>
      <c r="D5" s="1116"/>
      <c r="E5" s="1117"/>
      <c r="F5" s="1117"/>
      <c r="G5" s="1117"/>
      <c r="H5" s="1117"/>
      <c r="I5" s="1117"/>
      <c r="J5" s="1117"/>
      <c r="K5" s="1117"/>
      <c r="L5" s="1117"/>
      <c r="M5" s="1117"/>
      <c r="N5" s="1117"/>
      <c r="O5" s="1117"/>
      <c r="P5" s="1117"/>
      <c r="Q5" s="1117"/>
      <c r="R5" s="1117"/>
      <c r="S5" s="1117"/>
      <c r="T5" s="1117"/>
      <c r="U5" s="1117"/>
      <c r="V5" s="1118"/>
      <c r="W5" s="1118"/>
      <c r="X5" s="1118"/>
      <c r="Y5" s="1118"/>
      <c r="Z5" s="1118"/>
      <c r="AA5" s="1118"/>
      <c r="AB5" s="1118"/>
      <c r="AC5" s="1118"/>
      <c r="AD5" s="1119"/>
      <c r="AE5" s="1119"/>
      <c r="AF5" s="1119"/>
      <c r="AG5" s="1119"/>
      <c r="AH5" s="1119"/>
      <c r="AI5" s="1119"/>
      <c r="AJ5" s="1119"/>
      <c r="AK5" s="1119"/>
      <c r="AL5" s="1119"/>
      <c r="AM5" s="1119"/>
      <c r="AN5" s="847"/>
    </row>
    <row r="6" spans="3:40" s="456" customFormat="1" ht="18" customHeight="1">
      <c r="C6" s="316" t="s">
        <v>1770</v>
      </c>
      <c r="D6" s="317" t="str">
        <f>+Entry!$B$16</f>
        <v>Calon Debitur</v>
      </c>
      <c r="E6" s="317"/>
      <c r="F6" s="317"/>
      <c r="G6" s="317"/>
      <c r="H6" s="317"/>
      <c r="I6" s="320" t="s">
        <v>5</v>
      </c>
      <c r="J6" s="317" t="str">
        <f>+Entry!$L$16</f>
        <v>PT. XYZ</v>
      </c>
      <c r="K6" s="349"/>
      <c r="L6" s="317"/>
      <c r="M6" s="317"/>
      <c r="N6" s="317"/>
      <c r="O6" s="317"/>
      <c r="P6" s="317"/>
      <c r="Q6" s="317"/>
      <c r="R6" s="317"/>
      <c r="S6" s="317"/>
      <c r="T6" s="317"/>
      <c r="U6" s="317"/>
      <c r="V6" s="317"/>
      <c r="X6" s="323"/>
      <c r="Y6" s="317"/>
      <c r="Z6" s="317"/>
      <c r="AA6" s="317"/>
      <c r="AB6" s="317"/>
      <c r="AC6" s="318"/>
      <c r="AD6" s="317"/>
      <c r="AE6" s="349"/>
      <c r="AF6" s="320"/>
      <c r="AG6" s="321"/>
      <c r="AH6" s="317"/>
      <c r="AI6" s="317"/>
      <c r="AJ6" s="317"/>
      <c r="AK6" s="318"/>
      <c r="AN6" s="328"/>
    </row>
    <row r="7" spans="3:40" s="456" customFormat="1" ht="18" customHeight="1">
      <c r="C7" s="316" t="s">
        <v>1770</v>
      </c>
      <c r="D7" s="317" t="str">
        <f>+Entry!$B$9</f>
        <v>Nomor Laporan</v>
      </c>
      <c r="E7" s="317"/>
      <c r="F7" s="317"/>
      <c r="G7" s="317"/>
      <c r="H7" s="317"/>
      <c r="I7" s="320" t="s">
        <v>5</v>
      </c>
      <c r="J7" s="317" t="str">
        <f>+Entry!$L$9</f>
        <v>0123-LK/KJPP-ASUS/V/18</v>
      </c>
      <c r="K7" s="349"/>
      <c r="L7" s="317"/>
      <c r="M7" s="317"/>
      <c r="N7" s="317"/>
      <c r="O7" s="317"/>
      <c r="P7" s="317"/>
      <c r="Q7" s="317"/>
      <c r="R7" s="317"/>
      <c r="S7" s="317"/>
      <c r="T7" s="317"/>
      <c r="U7" s="317"/>
      <c r="V7" s="317"/>
      <c r="X7" s="323"/>
      <c r="Y7" s="318"/>
      <c r="Z7" s="318"/>
      <c r="AA7" s="318"/>
      <c r="AB7" s="327"/>
      <c r="AC7" s="317"/>
      <c r="AD7" s="317"/>
      <c r="AE7" s="349"/>
      <c r="AF7" s="325"/>
      <c r="AG7" s="959"/>
      <c r="AH7" s="317"/>
      <c r="AI7" s="317"/>
      <c r="AJ7" s="317"/>
      <c r="AK7" s="318"/>
      <c r="AN7" s="328"/>
    </row>
    <row r="8" spans="3:40" s="456" customFormat="1" ht="9.9499999999999993" customHeight="1">
      <c r="C8" s="853"/>
      <c r="D8" s="854"/>
      <c r="E8" s="854"/>
      <c r="F8" s="854"/>
      <c r="G8" s="854"/>
      <c r="H8" s="854"/>
      <c r="I8" s="854"/>
      <c r="J8" s="855"/>
      <c r="K8" s="856"/>
      <c r="L8" s="856"/>
      <c r="M8" s="856"/>
      <c r="N8" s="856"/>
      <c r="O8" s="856"/>
      <c r="P8" s="856"/>
      <c r="Q8" s="856"/>
      <c r="R8" s="856"/>
      <c r="S8" s="856"/>
      <c r="T8" s="856"/>
      <c r="U8" s="856"/>
      <c r="V8" s="856"/>
      <c r="W8" s="856"/>
      <c r="X8" s="856"/>
      <c r="Y8" s="856"/>
      <c r="Z8" s="856"/>
      <c r="AA8" s="856"/>
      <c r="AB8" s="856"/>
      <c r="AC8" s="856"/>
      <c r="AD8" s="856"/>
      <c r="AE8" s="856"/>
      <c r="AF8" s="856"/>
      <c r="AG8" s="856"/>
      <c r="AH8" s="856"/>
      <c r="AI8" s="856"/>
      <c r="AJ8" s="856"/>
      <c r="AK8" s="856"/>
      <c r="AL8" s="856"/>
      <c r="AM8" s="856"/>
      <c r="AN8" s="857"/>
    </row>
    <row r="9" spans="3:40" s="456" customFormat="1" ht="12.75">
      <c r="C9" s="314"/>
      <c r="D9" s="317"/>
      <c r="E9" s="317"/>
      <c r="F9" s="317"/>
      <c r="G9" s="317"/>
      <c r="H9" s="317"/>
      <c r="I9" s="317"/>
      <c r="J9" s="320"/>
      <c r="K9" s="455"/>
      <c r="L9" s="455"/>
      <c r="M9" s="455"/>
      <c r="N9" s="455"/>
      <c r="O9" s="455"/>
      <c r="P9" s="455"/>
      <c r="Q9" s="455"/>
      <c r="R9" s="455"/>
      <c r="S9" s="455"/>
      <c r="T9" s="455"/>
      <c r="U9" s="455"/>
      <c r="V9" s="455"/>
      <c r="W9" s="455"/>
      <c r="X9" s="455"/>
      <c r="Y9" s="455"/>
      <c r="Z9" s="455"/>
      <c r="AA9" s="455"/>
      <c r="AB9" s="455"/>
      <c r="AC9" s="455"/>
      <c r="AD9" s="455"/>
      <c r="AE9" s="455"/>
      <c r="AF9" s="455"/>
      <c r="AG9" s="455"/>
      <c r="AH9" s="455"/>
      <c r="AI9" s="455"/>
      <c r="AJ9" s="455"/>
      <c r="AK9" s="455"/>
      <c r="AL9" s="455"/>
      <c r="AM9" s="455"/>
      <c r="AN9" s="317"/>
    </row>
    <row r="10" spans="3:40" s="456" customFormat="1" ht="12" customHeight="1">
      <c r="C10" s="317"/>
      <c r="D10" s="317"/>
      <c r="E10" s="317"/>
      <c r="F10" s="317"/>
      <c r="G10" s="317"/>
      <c r="H10" s="317"/>
      <c r="I10" s="317"/>
      <c r="J10" s="870"/>
      <c r="K10" s="870"/>
      <c r="L10" s="870"/>
      <c r="M10" s="870"/>
      <c r="N10" s="870"/>
      <c r="O10" s="870"/>
      <c r="P10" s="870"/>
      <c r="Q10" s="870"/>
      <c r="R10" s="870"/>
      <c r="S10" s="870"/>
      <c r="T10" s="870"/>
      <c r="U10" s="870"/>
      <c r="V10" s="870"/>
      <c r="W10" s="870"/>
      <c r="X10" s="870"/>
      <c r="Y10" s="870"/>
      <c r="Z10" s="870"/>
      <c r="AA10" s="870"/>
      <c r="AB10" s="870"/>
      <c r="AC10" s="870"/>
      <c r="AD10" s="870"/>
      <c r="AE10" s="870"/>
      <c r="AF10" s="870"/>
      <c r="AG10" s="870"/>
      <c r="AH10" s="870"/>
      <c r="AI10" s="870"/>
      <c r="AJ10" s="870"/>
      <c r="AK10" s="870"/>
      <c r="AL10" s="870"/>
      <c r="AM10" s="870"/>
      <c r="AN10" s="317"/>
    </row>
    <row r="11" spans="3:40" s="456" customFormat="1" ht="12" customHeight="1">
      <c r="C11" s="317"/>
      <c r="D11" s="317"/>
      <c r="E11" s="317"/>
      <c r="F11" s="317"/>
      <c r="G11" s="317"/>
      <c r="H11" s="317"/>
      <c r="I11" s="317"/>
      <c r="J11" s="870"/>
      <c r="K11" s="870"/>
      <c r="L11" s="870"/>
      <c r="M11" s="870"/>
      <c r="N11" s="870"/>
      <c r="O11" s="870"/>
      <c r="P11" s="870"/>
      <c r="Q11" s="870"/>
      <c r="R11" s="870"/>
      <c r="S11" s="870"/>
      <c r="T11" s="870"/>
      <c r="U11" s="870"/>
      <c r="V11" s="870"/>
      <c r="W11" s="870"/>
      <c r="X11" s="870"/>
      <c r="Y11" s="870"/>
      <c r="Z11" s="870"/>
      <c r="AA11" s="870"/>
      <c r="AB11" s="870"/>
      <c r="AC11" s="870"/>
      <c r="AD11" s="870"/>
      <c r="AE11" s="870"/>
      <c r="AF11" s="870"/>
      <c r="AG11" s="870"/>
      <c r="AH11" s="870"/>
      <c r="AI11" s="870"/>
      <c r="AJ11" s="870"/>
      <c r="AK11" s="870"/>
      <c r="AL11" s="870"/>
      <c r="AM11" s="870"/>
      <c r="AN11" s="317"/>
    </row>
    <row r="12" spans="3:40" s="340" customFormat="1" ht="24" customHeight="1">
      <c r="C12" s="2474">
        <v>1</v>
      </c>
      <c r="D12" s="2474"/>
      <c r="E12" s="2474"/>
      <c r="F12" s="2475"/>
      <c r="G12" s="2476" t="str">
        <f>"BANGUNAN "&amp;'B1'!$N$9&amp;""</f>
        <v>BANGUNAN RUMAH TINGGAL</v>
      </c>
      <c r="H12" s="2477"/>
      <c r="I12" s="2477"/>
      <c r="J12" s="2477"/>
      <c r="K12" s="2477"/>
      <c r="L12" s="2477"/>
      <c r="M12" s="2477"/>
      <c r="N12" s="2477"/>
      <c r="O12" s="2477"/>
      <c r="P12" s="2477"/>
      <c r="Q12" s="2477"/>
      <c r="R12" s="2477"/>
      <c r="S12" s="2477"/>
      <c r="T12" s="2477"/>
      <c r="U12" s="2477"/>
      <c r="V12" s="2477"/>
      <c r="W12" s="2477"/>
      <c r="X12" s="2477"/>
      <c r="Y12" s="2477"/>
      <c r="Z12" s="2477"/>
      <c r="AA12" s="2477"/>
      <c r="AB12" s="2477"/>
      <c r="AC12" s="2477"/>
      <c r="AD12" s="2478"/>
    </row>
    <row r="13" spans="3:40" s="340" customFormat="1" ht="21.95" customHeight="1">
      <c r="C13" s="2474"/>
      <c r="D13" s="2474"/>
      <c r="E13" s="2474"/>
      <c r="F13" s="2475"/>
      <c r="G13" s="2501" t="s">
        <v>1789</v>
      </c>
      <c r="H13" s="2502"/>
      <c r="I13" s="2502"/>
      <c r="J13" s="2502"/>
      <c r="K13" s="2502"/>
      <c r="L13" s="2502"/>
      <c r="M13" s="2502"/>
      <c r="N13" s="2502"/>
      <c r="O13" s="2502"/>
      <c r="P13" s="2502"/>
      <c r="Q13" s="2502"/>
      <c r="R13" s="2502"/>
      <c r="S13" s="2502"/>
      <c r="T13" s="871"/>
      <c r="U13" s="871"/>
      <c r="V13" s="871"/>
      <c r="W13" s="871"/>
      <c r="X13" s="871"/>
      <c r="Y13" s="871"/>
      <c r="Z13" s="2479" t="str">
        <f>'B1'!$M$27</f>
        <v>Tidak Terinformasi</v>
      </c>
      <c r="AA13" s="2480"/>
      <c r="AB13" s="2480"/>
      <c r="AC13" s="2480"/>
      <c r="AD13" s="2481"/>
    </row>
    <row r="14" spans="3:40" s="340" customFormat="1" ht="21.95" customHeight="1">
      <c r="C14" s="2474"/>
      <c r="D14" s="2474"/>
      <c r="E14" s="2474"/>
      <c r="F14" s="2475"/>
      <c r="G14" s="2482" t="s">
        <v>1791</v>
      </c>
      <c r="H14" s="2483"/>
      <c r="I14" s="2483"/>
      <c r="J14" s="2483"/>
      <c r="K14" s="2483"/>
      <c r="L14" s="2483"/>
      <c r="M14" s="2483"/>
      <c r="N14" s="2483"/>
      <c r="O14" s="2483"/>
      <c r="P14" s="2483"/>
      <c r="Q14" s="2483"/>
      <c r="R14" s="2483"/>
      <c r="S14" s="2484"/>
      <c r="T14" s="871"/>
      <c r="U14" s="871"/>
      <c r="V14" s="871"/>
      <c r="W14" s="871"/>
      <c r="X14" s="871"/>
      <c r="Y14" s="871"/>
      <c r="Z14" s="2485" t="str">
        <f>'B1'!$M$28</f>
        <v>Tidak Terinformasi</v>
      </c>
      <c r="AA14" s="2486"/>
      <c r="AB14" s="2486"/>
      <c r="AC14" s="2486"/>
      <c r="AD14" s="2487"/>
      <c r="AE14" s="872" t="str">
        <f>'B1'!O28</f>
        <v>(Tidak terinformasi)</v>
      </c>
    </row>
    <row r="15" spans="3:40" s="340" customFormat="1" ht="21.95" customHeight="1">
      <c r="C15" s="2474"/>
      <c r="D15" s="2474"/>
      <c r="E15" s="2474"/>
      <c r="F15" s="2475"/>
      <c r="G15" s="2469" t="s">
        <v>2436</v>
      </c>
      <c r="H15" s="2470"/>
      <c r="I15" s="2470"/>
      <c r="J15" s="2470"/>
      <c r="K15" s="2470"/>
      <c r="L15" s="2470"/>
      <c r="M15" s="2470"/>
      <c r="N15" s="2470"/>
      <c r="O15" s="2470"/>
      <c r="P15" s="2470"/>
      <c r="Q15" s="2470"/>
      <c r="R15" s="2470"/>
      <c r="S15" s="2471"/>
      <c r="T15" s="871"/>
      <c r="U15" s="871"/>
      <c r="V15" s="871"/>
      <c r="W15" s="871"/>
      <c r="X15" s="871"/>
      <c r="Y15" s="871"/>
      <c r="Z15" s="1913">
        <f>'B1'!AJ19</f>
        <v>249</v>
      </c>
      <c r="AA15" s="1914"/>
      <c r="AB15" s="1914"/>
      <c r="AC15" s="1914"/>
      <c r="AD15" s="2468"/>
    </row>
    <row r="16" spans="3:40" s="340" customFormat="1" ht="21.95" customHeight="1">
      <c r="C16" s="2474"/>
      <c r="D16" s="2474"/>
      <c r="E16" s="2474"/>
      <c r="F16" s="2475"/>
      <c r="G16" s="2469" t="s">
        <v>2320</v>
      </c>
      <c r="H16" s="2470"/>
      <c r="I16" s="2470"/>
      <c r="J16" s="2470"/>
      <c r="K16" s="2470"/>
      <c r="L16" s="2470"/>
      <c r="M16" s="2470"/>
      <c r="N16" s="2470"/>
      <c r="O16" s="2470"/>
      <c r="P16" s="2470"/>
      <c r="Q16" s="2470"/>
      <c r="R16" s="2470"/>
      <c r="S16" s="2471"/>
      <c r="T16" s="871"/>
      <c r="U16" s="871"/>
      <c r="V16" s="871"/>
      <c r="W16" s="871"/>
      <c r="X16" s="871"/>
      <c r="Y16" s="871"/>
      <c r="Z16" s="1913">
        <f>'B1'!AJ21</f>
        <v>0</v>
      </c>
      <c r="AA16" s="1914"/>
      <c r="AB16" s="1914"/>
      <c r="AC16" s="1914"/>
      <c r="AD16" s="2468"/>
    </row>
    <row r="17" spans="3:51" s="340" customFormat="1" ht="21.95" customHeight="1">
      <c r="C17" s="2474"/>
      <c r="D17" s="2474"/>
      <c r="E17" s="2474"/>
      <c r="F17" s="2475"/>
      <c r="G17" s="2469" t="s">
        <v>1796</v>
      </c>
      <c r="H17" s="2470"/>
      <c r="I17" s="2470"/>
      <c r="J17" s="2470"/>
      <c r="K17" s="2470"/>
      <c r="L17" s="2470"/>
      <c r="M17" s="2470"/>
      <c r="N17" s="2470"/>
      <c r="O17" s="2470"/>
      <c r="P17" s="2470"/>
      <c r="Q17" s="2470"/>
      <c r="R17" s="2470"/>
      <c r="S17" s="2471"/>
      <c r="T17" s="871"/>
      <c r="U17" s="871"/>
      <c r="V17" s="871"/>
      <c r="W17" s="871"/>
      <c r="X17" s="871"/>
      <c r="Y17" s="871"/>
      <c r="Z17" s="1913">
        <f>'B1'!$AI$30</f>
        <v>0</v>
      </c>
      <c r="AA17" s="1914"/>
      <c r="AB17" s="1914"/>
      <c r="AC17" s="1914"/>
      <c r="AD17" s="2468"/>
    </row>
    <row r="18" spans="3:51" s="340" customFormat="1" ht="21.95" customHeight="1">
      <c r="C18" s="2474"/>
      <c r="D18" s="2474"/>
      <c r="E18" s="2474"/>
      <c r="F18" s="2475"/>
      <c r="G18" s="2469" t="s">
        <v>1798</v>
      </c>
      <c r="H18" s="2470"/>
      <c r="I18" s="2470"/>
      <c r="J18" s="2470"/>
      <c r="K18" s="2470"/>
      <c r="L18" s="2470"/>
      <c r="M18" s="2470"/>
      <c r="N18" s="2470"/>
      <c r="O18" s="2470"/>
      <c r="P18" s="2470"/>
      <c r="Q18" s="2470"/>
      <c r="R18" s="2470"/>
      <c r="S18" s="2471"/>
      <c r="T18" s="871"/>
      <c r="U18" s="871"/>
      <c r="V18" s="871"/>
      <c r="W18" s="871"/>
      <c r="X18" s="871"/>
      <c r="Y18" s="871"/>
      <c r="Z18" s="1913">
        <f>'B1'!$AI$31</f>
        <v>0</v>
      </c>
      <c r="AA18" s="1914"/>
      <c r="AB18" s="1914"/>
      <c r="AC18" s="1914"/>
      <c r="AD18" s="2468"/>
    </row>
    <row r="19" spans="3:51" s="340" customFormat="1" ht="21.95" customHeight="1">
      <c r="C19" s="2474"/>
      <c r="D19" s="2474"/>
      <c r="E19" s="2474"/>
      <c r="F19" s="2475"/>
      <c r="G19" s="2492" t="s">
        <v>2437</v>
      </c>
      <c r="H19" s="2493"/>
      <c r="I19" s="2493"/>
      <c r="J19" s="2493"/>
      <c r="K19" s="2493"/>
      <c r="L19" s="2493"/>
      <c r="M19" s="2493"/>
      <c r="N19" s="2493"/>
      <c r="O19" s="2493"/>
      <c r="P19" s="2493"/>
      <c r="Q19" s="2493"/>
      <c r="R19" s="2493"/>
      <c r="S19" s="2493"/>
      <c r="T19" s="2493"/>
      <c r="U19" s="2493"/>
      <c r="V19" s="2493"/>
      <c r="W19" s="2493"/>
      <c r="X19" s="2493"/>
      <c r="Y19" s="2494"/>
      <c r="Z19" s="2495">
        <f>+'B1'!AI32</f>
        <v>249</v>
      </c>
      <c r="AA19" s="2496"/>
      <c r="AB19" s="2496"/>
      <c r="AC19" s="2496"/>
      <c r="AD19" s="2497"/>
    </row>
    <row r="20" spans="3:51" s="340" customFormat="1" ht="20.100000000000001" customHeight="1">
      <c r="C20" s="1069"/>
      <c r="D20" s="873"/>
      <c r="E20" s="873"/>
      <c r="F20" s="873"/>
    </row>
    <row r="21" spans="3:51" s="340" customFormat="1" ht="15" customHeight="1">
      <c r="C21" s="874"/>
    </row>
    <row r="22" spans="3:51" s="349" customFormat="1" ht="35.1" customHeight="1">
      <c r="C22" s="2466" t="s">
        <v>2321</v>
      </c>
      <c r="D22" s="2467"/>
      <c r="E22" s="2467"/>
      <c r="F22" s="2467"/>
      <c r="G22" s="2467"/>
      <c r="H22" s="2467"/>
      <c r="I22" s="2467" t="s">
        <v>2322</v>
      </c>
      <c r="J22" s="2467"/>
      <c r="K22" s="2467"/>
      <c r="L22" s="2467"/>
      <c r="M22" s="2467"/>
      <c r="N22" s="2462" t="s">
        <v>2323</v>
      </c>
      <c r="O22" s="2462"/>
      <c r="P22" s="2462"/>
      <c r="Q22" s="2462"/>
      <c r="R22" s="2462"/>
      <c r="S22" s="2462"/>
      <c r="T22" s="2462"/>
      <c r="U22" s="2467" t="s">
        <v>2324</v>
      </c>
      <c r="V22" s="2467"/>
      <c r="W22" s="2467"/>
      <c r="X22" s="2467"/>
      <c r="Y22" s="2467"/>
      <c r="Z22" s="2467"/>
      <c r="AA22" s="2467" t="s">
        <v>2325</v>
      </c>
      <c r="AB22" s="2467"/>
      <c r="AC22" s="2467"/>
      <c r="AD22" s="2467"/>
      <c r="AE22" s="2461" t="s">
        <v>2326</v>
      </c>
      <c r="AF22" s="2461"/>
      <c r="AG22" s="2461"/>
      <c r="AH22" s="2461"/>
      <c r="AI22" s="2462" t="s">
        <v>2327</v>
      </c>
      <c r="AJ22" s="2462"/>
      <c r="AK22" s="2462"/>
      <c r="AL22" s="2462"/>
      <c r="AM22" s="2462"/>
      <c r="AN22" s="2463"/>
    </row>
    <row r="23" spans="3:51" s="349" customFormat="1" ht="39.950000000000003" customHeight="1">
      <c r="C23" s="2464">
        <f ca="1">BTB!CA92</f>
        <v>620010000</v>
      </c>
      <c r="D23" s="2464"/>
      <c r="E23" s="2464"/>
      <c r="F23" s="2464"/>
      <c r="G23" s="2464"/>
      <c r="H23" s="2464"/>
      <c r="I23" s="2464">
        <f ca="1">BTB!CA91</f>
        <v>2490000</v>
      </c>
      <c r="J23" s="2464"/>
      <c r="K23" s="2464"/>
      <c r="L23" s="2464"/>
      <c r="M23" s="2464"/>
      <c r="N23" s="2464">
        <f ca="1">BTB!CA94</f>
        <v>248003999.99999994</v>
      </c>
      <c r="O23" s="2464"/>
      <c r="P23" s="2464"/>
      <c r="Q23" s="2464"/>
      <c r="R23" s="2464"/>
      <c r="S23" s="2464"/>
      <c r="T23" s="2464"/>
      <c r="U23" s="2464">
        <f ca="1">BTB!CA93</f>
        <v>995999.99999999977</v>
      </c>
      <c r="V23" s="2464"/>
      <c r="W23" s="2464"/>
      <c r="X23" s="2464"/>
      <c r="Y23" s="2464"/>
      <c r="Z23" s="2464"/>
      <c r="AA23" s="2500">
        <f>BTB!AE93</f>
        <v>0.60000000000000009</v>
      </c>
      <c r="AB23" s="2500"/>
      <c r="AC23" s="2500"/>
      <c r="AD23" s="2500"/>
      <c r="AE23" s="2500">
        <f>BTB!AN91</f>
        <v>0.39999999999999991</v>
      </c>
      <c r="AF23" s="2500"/>
      <c r="AG23" s="2500"/>
      <c r="AH23" s="2500"/>
      <c r="AI23" s="2464" t="str">
        <f>BTB!AU91</f>
        <v>Kurang</v>
      </c>
      <c r="AJ23" s="2464"/>
      <c r="AK23" s="2464"/>
      <c r="AL23" s="2464"/>
      <c r="AM23" s="2464"/>
      <c r="AN23" s="2464"/>
    </row>
    <row r="24" spans="3:51" s="349" customFormat="1" ht="12.75">
      <c r="C24" s="308"/>
      <c r="D24" s="308"/>
      <c r="E24" s="308"/>
      <c r="F24" s="308"/>
      <c r="G24" s="308"/>
      <c r="H24" s="308"/>
      <c r="I24" s="308"/>
      <c r="J24" s="308"/>
      <c r="K24" s="308"/>
      <c r="L24" s="308"/>
      <c r="M24" s="308"/>
      <c r="N24" s="308"/>
      <c r="O24" s="308"/>
      <c r="P24" s="308"/>
      <c r="Q24" s="308"/>
      <c r="R24" s="308"/>
      <c r="S24" s="308"/>
      <c r="T24" s="308"/>
      <c r="U24" s="308"/>
      <c r="V24" s="308"/>
      <c r="W24" s="308"/>
      <c r="X24" s="308"/>
      <c r="Y24" s="308"/>
      <c r="Z24" s="308"/>
      <c r="AA24" s="308"/>
      <c r="AB24" s="308"/>
      <c r="AC24" s="308"/>
      <c r="AD24" s="308"/>
      <c r="AE24" s="308"/>
      <c r="AF24" s="308"/>
      <c r="AG24" s="308"/>
      <c r="AH24" s="308"/>
      <c r="AI24" s="308"/>
      <c r="AJ24" s="308"/>
      <c r="AK24" s="308"/>
      <c r="AL24" s="308"/>
      <c r="AM24" s="308"/>
      <c r="AN24" s="308"/>
    </row>
    <row r="25" spans="3:51" s="349" customFormat="1" ht="20.100000000000001" customHeight="1">
      <c r="C25" s="875" t="s">
        <v>2328</v>
      </c>
      <c r="D25" s="308"/>
      <c r="E25" s="308"/>
      <c r="F25" s="308"/>
      <c r="G25" s="308"/>
      <c r="H25" s="308"/>
      <c r="I25" s="308"/>
      <c r="J25" s="308"/>
      <c r="K25" s="308"/>
      <c r="L25" s="308"/>
      <c r="M25" s="308"/>
      <c r="N25" s="308"/>
      <c r="O25" s="308"/>
      <c r="P25" s="308"/>
      <c r="Q25" s="308"/>
      <c r="R25" s="308"/>
      <c r="S25" s="308"/>
      <c r="T25" s="308"/>
      <c r="U25" s="308"/>
      <c r="V25" s="308"/>
      <c r="W25" s="308"/>
      <c r="X25" s="308"/>
      <c r="Y25" s="308"/>
      <c r="Z25" s="308"/>
      <c r="AA25" s="308"/>
      <c r="AB25" s="308"/>
      <c r="AC25" s="308"/>
      <c r="AD25" s="308"/>
      <c r="AE25" s="308"/>
      <c r="AF25" s="308"/>
      <c r="AG25" s="308"/>
      <c r="AH25" s="308"/>
      <c r="AI25" s="308"/>
      <c r="AJ25" s="308"/>
      <c r="AK25" s="308"/>
      <c r="AL25" s="308"/>
      <c r="AM25" s="308"/>
      <c r="AN25" s="308"/>
    </row>
    <row r="26" spans="3:51" s="877" customFormat="1" ht="20.100000000000001" customHeight="1">
      <c r="C26" s="2155" t="s">
        <v>2440</v>
      </c>
      <c r="D26" s="2156"/>
      <c r="E26" s="2156"/>
      <c r="F26" s="2156"/>
      <c r="G26" s="2156"/>
      <c r="H26" s="2156"/>
      <c r="I26" s="2156"/>
      <c r="J26" s="2156"/>
      <c r="K26" s="2156"/>
      <c r="L26" s="2156"/>
      <c r="M26" s="2156"/>
      <c r="N26" s="2156"/>
      <c r="O26" s="2156"/>
      <c r="P26" s="2156"/>
      <c r="Q26" s="2156"/>
      <c r="R26" s="2156"/>
      <c r="S26" s="2156"/>
      <c r="T26" s="2156"/>
      <c r="U26" s="2156"/>
      <c r="V26" s="2156"/>
      <c r="W26" s="2156"/>
      <c r="X26" s="2156"/>
      <c r="Y26" s="2156"/>
      <c r="Z26" s="2156"/>
      <c r="AA26" s="2156"/>
      <c r="AB26" s="2156"/>
      <c r="AC26" s="2156"/>
      <c r="AD26" s="2156"/>
      <c r="AE26" s="2156"/>
      <c r="AF26" s="2156"/>
      <c r="AG26" s="2156"/>
      <c r="AH26" s="2156"/>
      <c r="AI26" s="2156"/>
      <c r="AJ26" s="2156"/>
      <c r="AK26" s="2156"/>
      <c r="AL26" s="2156"/>
      <c r="AM26" s="2156"/>
      <c r="AN26" s="2157"/>
      <c r="AO26" s="876"/>
      <c r="AP26" s="876"/>
      <c r="AQ26" s="876"/>
      <c r="AR26" s="876"/>
      <c r="AS26" s="301"/>
      <c r="AT26" s="301"/>
      <c r="AU26" s="301"/>
      <c r="AV26" s="301"/>
      <c r="AW26" s="301"/>
      <c r="AX26" s="301"/>
      <c r="AY26" s="377"/>
    </row>
    <row r="27" spans="3:51" s="881" customFormat="1" ht="50.1" customHeight="1">
      <c r="C27" s="2499" t="s">
        <v>1991</v>
      </c>
      <c r="D27" s="2458"/>
      <c r="E27" s="2458"/>
      <c r="F27" s="2458"/>
      <c r="G27" s="2458"/>
      <c r="H27" s="2458"/>
      <c r="I27" s="2458"/>
      <c r="J27" s="2458"/>
      <c r="K27" s="2458"/>
      <c r="L27" s="2458"/>
      <c r="M27" s="2458"/>
      <c r="N27" s="2458"/>
      <c r="O27" s="2458"/>
      <c r="P27" s="2458"/>
      <c r="Q27" s="2458"/>
      <c r="R27" s="2458"/>
      <c r="S27" s="2458"/>
      <c r="T27" s="2458"/>
      <c r="U27" s="2458"/>
      <c r="V27" s="2459"/>
      <c r="W27" s="2457" t="s">
        <v>2329</v>
      </c>
      <c r="X27" s="2458"/>
      <c r="Y27" s="2459"/>
      <c r="Z27" s="2457" t="s">
        <v>2330</v>
      </c>
      <c r="AA27" s="2458"/>
      <c r="AB27" s="2458"/>
      <c r="AC27" s="2458"/>
      <c r="AD27" s="2459"/>
      <c r="AE27" s="2457" t="s">
        <v>2331</v>
      </c>
      <c r="AF27" s="2458"/>
      <c r="AG27" s="2458"/>
      <c r="AH27" s="2458"/>
      <c r="AI27" s="2459"/>
      <c r="AJ27" s="2457" t="s">
        <v>2332</v>
      </c>
      <c r="AK27" s="2458"/>
      <c r="AL27" s="2458"/>
      <c r="AM27" s="2458"/>
      <c r="AN27" s="2460"/>
      <c r="AO27" s="878"/>
      <c r="AP27" s="878"/>
      <c r="AQ27" s="878"/>
      <c r="AR27" s="878"/>
      <c r="AS27" s="879"/>
      <c r="AT27" s="879"/>
      <c r="AU27" s="879"/>
      <c r="AV27" s="879"/>
      <c r="AW27" s="879"/>
      <c r="AX27" s="879"/>
      <c r="AY27" s="880"/>
    </row>
    <row r="28" spans="3:51" s="304" customFormat="1" ht="13.5" customHeight="1">
      <c r="C28" s="460" t="s">
        <v>1770</v>
      </c>
      <c r="D28" s="882" t="str">
        <f>CONCATENATE(AP28," ",W28," saluran")</f>
        <v>Penyambungan telepon sebanyak 0 saluran</v>
      </c>
      <c r="E28" s="882"/>
      <c r="F28" s="882"/>
      <c r="G28" s="882"/>
      <c r="H28" s="882"/>
      <c r="I28" s="882"/>
      <c r="J28" s="882"/>
      <c r="K28" s="882"/>
      <c r="L28" s="882"/>
      <c r="M28" s="882"/>
      <c r="N28" s="882"/>
      <c r="O28" s="882"/>
      <c r="P28" s="882"/>
      <c r="Q28" s="882"/>
      <c r="R28" s="882"/>
      <c r="S28" s="882"/>
      <c r="T28" s="882"/>
      <c r="U28" s="882"/>
      <c r="V28" s="883"/>
      <c r="W28" s="2448">
        <f>BCT!$AB$7</f>
        <v>0</v>
      </c>
      <c r="X28" s="2448"/>
      <c r="Y28" s="2448"/>
      <c r="Z28" s="2449">
        <f>BCT!AI7</f>
        <v>0</v>
      </c>
      <c r="AA28" s="2449"/>
      <c r="AB28" s="2449"/>
      <c r="AC28" s="2449"/>
      <c r="AD28" s="2449"/>
      <c r="AE28" s="2449">
        <f>BCT!AO7</f>
        <v>0</v>
      </c>
      <c r="AF28" s="2449"/>
      <c r="AG28" s="2449"/>
      <c r="AH28" s="2449"/>
      <c r="AI28" s="2449"/>
      <c r="AJ28" s="2449">
        <f>BCT!AS7</f>
        <v>0</v>
      </c>
      <c r="AK28" s="2449"/>
      <c r="AL28" s="2449"/>
      <c r="AM28" s="2449"/>
      <c r="AN28" s="2449"/>
      <c r="AO28" s="884"/>
      <c r="AP28" s="885" t="str">
        <f>BCT!C7</f>
        <v>Penyambungan telepon sebanyak</v>
      </c>
      <c r="AQ28" s="884"/>
      <c r="AR28" s="884"/>
    </row>
    <row r="29" spans="3:51" s="304" customFormat="1" ht="13.5" customHeight="1">
      <c r="C29" s="460" t="s">
        <v>1770</v>
      </c>
      <c r="D29" s="882" t="str">
        <f>CONCATENATE(AP29," berjumlah ",W29," unit ",BCT!Q51)</f>
        <v xml:space="preserve">Biaya unit indoor &amp; outdoor AC berjumlah 0 unit </v>
      </c>
      <c r="E29" s="882"/>
      <c r="F29" s="882"/>
      <c r="G29" s="882"/>
      <c r="H29" s="882"/>
      <c r="I29" s="882"/>
      <c r="J29" s="882"/>
      <c r="K29" s="882"/>
      <c r="L29" s="882"/>
      <c r="M29" s="882"/>
      <c r="N29" s="882"/>
      <c r="O29" s="882"/>
      <c r="P29" s="882"/>
      <c r="Q29" s="882"/>
      <c r="R29" s="882"/>
      <c r="S29" s="882"/>
      <c r="T29" s="882"/>
      <c r="U29" s="882"/>
      <c r="V29" s="883"/>
      <c r="W29" s="2448">
        <f>BCT!$AB$8</f>
        <v>0</v>
      </c>
      <c r="X29" s="2448"/>
      <c r="Y29" s="2448"/>
      <c r="Z29" s="2449">
        <f>BCT!AI8</f>
        <v>0</v>
      </c>
      <c r="AA29" s="2449"/>
      <c r="AB29" s="2449"/>
      <c r="AC29" s="2449"/>
      <c r="AD29" s="2449"/>
      <c r="AE29" s="2449">
        <f>BCT!AO8</f>
        <v>0</v>
      </c>
      <c r="AF29" s="2449"/>
      <c r="AG29" s="2449"/>
      <c r="AH29" s="2449"/>
      <c r="AI29" s="2449"/>
      <c r="AJ29" s="2449">
        <f>BCT!AS8</f>
        <v>0</v>
      </c>
      <c r="AK29" s="2449"/>
      <c r="AL29" s="2449"/>
      <c r="AM29" s="2449"/>
      <c r="AN29" s="2449"/>
      <c r="AO29" s="884"/>
      <c r="AP29" s="885" t="str">
        <f>BCT!C8</f>
        <v>Biaya unit indoor &amp; outdoor AC</v>
      </c>
      <c r="AQ29" s="884"/>
      <c r="AR29" s="884"/>
    </row>
    <row r="30" spans="3:51" s="304" customFormat="1" ht="13.5" customHeight="1">
      <c r="C30" s="460" t="s">
        <v>1770</v>
      </c>
      <c r="D30" s="882" t="str">
        <f>CONCATENATE(AP30," berjumlah ",W30," unit")</f>
        <v>Pembuatan sumur dalam / artesis berjumlah 0 unit</v>
      </c>
      <c r="E30" s="882"/>
      <c r="F30" s="882"/>
      <c r="G30" s="882"/>
      <c r="H30" s="882"/>
      <c r="I30" s="882"/>
      <c r="J30" s="882"/>
      <c r="K30" s="882"/>
      <c r="L30" s="882"/>
      <c r="M30" s="882"/>
      <c r="N30" s="882"/>
      <c r="O30" s="882"/>
      <c r="P30" s="882"/>
      <c r="Q30" s="882"/>
      <c r="R30" s="882"/>
      <c r="S30" s="882"/>
      <c r="T30" s="882"/>
      <c r="U30" s="882"/>
      <c r="V30" s="883"/>
      <c r="W30" s="2448">
        <f>BCT!$AB$9</f>
        <v>0</v>
      </c>
      <c r="X30" s="2448"/>
      <c r="Y30" s="2448"/>
      <c r="Z30" s="2449">
        <f>BCT!AI9</f>
        <v>0</v>
      </c>
      <c r="AA30" s="2449"/>
      <c r="AB30" s="2449"/>
      <c r="AC30" s="2449"/>
      <c r="AD30" s="2449"/>
      <c r="AE30" s="2449">
        <f>BCT!AO9</f>
        <v>0</v>
      </c>
      <c r="AF30" s="2449"/>
      <c r="AG30" s="2449"/>
      <c r="AH30" s="2449"/>
      <c r="AI30" s="2449"/>
      <c r="AJ30" s="2449">
        <f>BCT!AS9</f>
        <v>0</v>
      </c>
      <c r="AK30" s="2449"/>
      <c r="AL30" s="2449"/>
      <c r="AM30" s="2449"/>
      <c r="AN30" s="2449"/>
      <c r="AO30" s="884"/>
      <c r="AP30" s="885" t="str">
        <f>BCT!C9</f>
        <v>Pembuatan sumur dalam / artesis</v>
      </c>
      <c r="AQ30" s="884"/>
      <c r="AR30" s="884"/>
    </row>
    <row r="31" spans="3:51" s="304" customFormat="1" ht="13.5" customHeight="1">
      <c r="C31" s="460" t="s">
        <v>1770</v>
      </c>
      <c r="D31" s="882" t="str">
        <f>CONCATENATE(AP31," ± ",W31," m²")</f>
        <v>Perkerasan &amp; Canopy Carport ± 0 m²</v>
      </c>
      <c r="E31" s="882"/>
      <c r="F31" s="882"/>
      <c r="G31" s="882"/>
      <c r="H31" s="882"/>
      <c r="I31" s="882"/>
      <c r="J31" s="882"/>
      <c r="K31" s="882"/>
      <c r="L31" s="882"/>
      <c r="M31" s="882"/>
      <c r="N31" s="882"/>
      <c r="O31" s="882"/>
      <c r="P31" s="882"/>
      <c r="Q31" s="882"/>
      <c r="R31" s="882"/>
      <c r="S31" s="882"/>
      <c r="T31" s="882"/>
      <c r="U31" s="882"/>
      <c r="V31" s="883"/>
      <c r="W31" s="2448">
        <f>BCT!$AB$10</f>
        <v>0</v>
      </c>
      <c r="X31" s="2448"/>
      <c r="Y31" s="2448"/>
      <c r="Z31" s="2449">
        <f>BCT!AI10</f>
        <v>0</v>
      </c>
      <c r="AA31" s="2449"/>
      <c r="AB31" s="2449"/>
      <c r="AC31" s="2449"/>
      <c r="AD31" s="2449"/>
      <c r="AE31" s="2449">
        <f>BCT!AO10</f>
        <v>0</v>
      </c>
      <c r="AF31" s="2449"/>
      <c r="AG31" s="2449"/>
      <c r="AH31" s="2449"/>
      <c r="AI31" s="2449"/>
      <c r="AJ31" s="2449">
        <f>BCT!AS10</f>
        <v>0</v>
      </c>
      <c r="AK31" s="2449"/>
      <c r="AL31" s="2449"/>
      <c r="AM31" s="2449"/>
      <c r="AN31" s="2449"/>
      <c r="AO31" s="884"/>
      <c r="AP31" s="885" t="str">
        <f>BCT!C10</f>
        <v>Perkerasan &amp; Canopy Carport</v>
      </c>
      <c r="AQ31" s="884"/>
      <c r="AR31" s="884"/>
    </row>
    <row r="32" spans="3:51" s="304" customFormat="1" ht="13.5" customHeight="1">
      <c r="C32" s="460" t="s">
        <v>1770</v>
      </c>
      <c r="D32" s="882" t="str">
        <f>CONCATENATE(AP32," ± ",W32," m²")</f>
        <v>Pembuatan Gazebo ± 0 m²</v>
      </c>
      <c r="E32" s="882"/>
      <c r="F32" s="882"/>
      <c r="G32" s="882"/>
      <c r="H32" s="882"/>
      <c r="I32" s="882"/>
      <c r="J32" s="882"/>
      <c r="K32" s="882"/>
      <c r="L32" s="882"/>
      <c r="M32" s="882"/>
      <c r="N32" s="882"/>
      <c r="O32" s="882"/>
      <c r="P32" s="882"/>
      <c r="Q32" s="882"/>
      <c r="R32" s="882"/>
      <c r="S32" s="882"/>
      <c r="T32" s="882"/>
      <c r="U32" s="882"/>
      <c r="V32" s="883"/>
      <c r="W32" s="2448">
        <f>BCT!$AB$11</f>
        <v>0</v>
      </c>
      <c r="X32" s="2448"/>
      <c r="Y32" s="2448"/>
      <c r="Z32" s="2449">
        <f>BCT!AI11</f>
        <v>0</v>
      </c>
      <c r="AA32" s="2449"/>
      <c r="AB32" s="2449"/>
      <c r="AC32" s="2449"/>
      <c r="AD32" s="2449"/>
      <c r="AE32" s="2449">
        <f>BCT!AO11</f>
        <v>0</v>
      </c>
      <c r="AF32" s="2449"/>
      <c r="AG32" s="2449"/>
      <c r="AH32" s="2449"/>
      <c r="AI32" s="2449"/>
      <c r="AJ32" s="2449">
        <f>BCT!AS11</f>
        <v>0</v>
      </c>
      <c r="AK32" s="2449"/>
      <c r="AL32" s="2449"/>
      <c r="AM32" s="2449"/>
      <c r="AN32" s="2449"/>
      <c r="AO32" s="884"/>
      <c r="AP32" s="885" t="str">
        <f>BCT!C11</f>
        <v>Pembuatan Gazebo</v>
      </c>
      <c r="AQ32" s="884"/>
      <c r="AR32" s="884"/>
    </row>
    <row r="33" spans="3:44" s="304" customFormat="1" ht="13.5" customHeight="1">
      <c r="C33" s="460" t="s">
        <v>1770</v>
      </c>
      <c r="D33" s="882" t="str">
        <f>CONCATENATE(AP33," dgn ","panjang ± ",W33," m'"," &amp; tinggi ± ",BCT!X12," m")</f>
        <v>Pagar depan dgn panjang ± 0 m' &amp; tinggi ± 0 m</v>
      </c>
      <c r="E33" s="882"/>
      <c r="F33" s="882"/>
      <c r="G33" s="882"/>
      <c r="H33" s="882"/>
      <c r="I33" s="882"/>
      <c r="J33" s="882"/>
      <c r="K33" s="882"/>
      <c r="L33" s="882"/>
      <c r="M33" s="882"/>
      <c r="N33" s="882"/>
      <c r="O33" s="882"/>
      <c r="P33" s="882"/>
      <c r="Q33" s="882"/>
      <c r="R33" s="882"/>
      <c r="S33" s="882"/>
      <c r="T33" s="882"/>
      <c r="U33" s="882"/>
      <c r="V33" s="883"/>
      <c r="W33" s="2448">
        <f>BCT!$AB$12</f>
        <v>0</v>
      </c>
      <c r="X33" s="2448"/>
      <c r="Y33" s="2448"/>
      <c r="Z33" s="2449">
        <f>BCT!AI12</f>
        <v>0</v>
      </c>
      <c r="AA33" s="2449"/>
      <c r="AB33" s="2449"/>
      <c r="AC33" s="2449"/>
      <c r="AD33" s="2449"/>
      <c r="AE33" s="2449">
        <f>BCT!AO12</f>
        <v>0</v>
      </c>
      <c r="AF33" s="2449"/>
      <c r="AG33" s="2449"/>
      <c r="AH33" s="2449"/>
      <c r="AI33" s="2449"/>
      <c r="AJ33" s="2449">
        <f>BCT!AS12</f>
        <v>0</v>
      </c>
      <c r="AK33" s="2449"/>
      <c r="AL33" s="2449"/>
      <c r="AM33" s="2449"/>
      <c r="AN33" s="2449"/>
      <c r="AO33" s="884"/>
      <c r="AP33" s="885" t="str">
        <f>BCT!C12</f>
        <v>Pagar depan</v>
      </c>
      <c r="AQ33" s="884"/>
      <c r="AR33" s="884"/>
    </row>
    <row r="34" spans="3:44" s="304" customFormat="1" ht="13.5" customHeight="1">
      <c r="C34" s="460" t="s">
        <v>1770</v>
      </c>
      <c r="D34" s="882" t="str">
        <f>CONCATENATE(AP34," seluas"," ± ",W34," m²")</f>
        <v>Pembuatan taman &amp; halaman seluas ± 0 m²</v>
      </c>
      <c r="E34" s="882"/>
      <c r="F34" s="882"/>
      <c r="G34" s="882"/>
      <c r="H34" s="882"/>
      <c r="I34" s="882"/>
      <c r="J34" s="882"/>
      <c r="K34" s="882"/>
      <c r="L34" s="882"/>
      <c r="M34" s="882"/>
      <c r="N34" s="882"/>
      <c r="O34" s="882"/>
      <c r="P34" s="882"/>
      <c r="Q34" s="882"/>
      <c r="R34" s="882"/>
      <c r="S34" s="882"/>
      <c r="T34" s="882"/>
      <c r="U34" s="882"/>
      <c r="V34" s="883"/>
      <c r="W34" s="2448">
        <f>BCT!$AB$13</f>
        <v>0</v>
      </c>
      <c r="X34" s="2448"/>
      <c r="Y34" s="2448"/>
      <c r="Z34" s="2449">
        <f>BCT!AI13</f>
        <v>0</v>
      </c>
      <c r="AA34" s="2449"/>
      <c r="AB34" s="2449"/>
      <c r="AC34" s="2449"/>
      <c r="AD34" s="2449"/>
      <c r="AE34" s="2449">
        <f>BCT!AO13</f>
        <v>0</v>
      </c>
      <c r="AF34" s="2449"/>
      <c r="AG34" s="2449"/>
      <c r="AH34" s="2449"/>
      <c r="AI34" s="2449"/>
      <c r="AJ34" s="2449">
        <f>BCT!AS13</f>
        <v>0</v>
      </c>
      <c r="AK34" s="2449"/>
      <c r="AL34" s="2449"/>
      <c r="AM34" s="2449"/>
      <c r="AN34" s="2449"/>
      <c r="AO34" s="884"/>
      <c r="AP34" s="885" t="str">
        <f>BCT!C13</f>
        <v>Pembuatan taman &amp; halaman</v>
      </c>
      <c r="AQ34" s="884"/>
      <c r="AR34" s="884"/>
    </row>
    <row r="35" spans="3:44" s="304" customFormat="1" ht="13.5" customHeight="1">
      <c r="C35" s="460" t="s">
        <v>1770</v>
      </c>
      <c r="D35" s="882" t="str">
        <f>CONCATENATE(AP35," seluas"," ± ",W35," m²")</f>
        <v>pembuatam taman relief seluas ± 0 m²</v>
      </c>
      <c r="E35" s="882"/>
      <c r="F35" s="882"/>
      <c r="G35" s="882"/>
      <c r="H35" s="882"/>
      <c r="I35" s="882"/>
      <c r="J35" s="882"/>
      <c r="K35" s="882"/>
      <c r="L35" s="882"/>
      <c r="M35" s="882"/>
      <c r="N35" s="882"/>
      <c r="O35" s="882"/>
      <c r="P35" s="882"/>
      <c r="Q35" s="882"/>
      <c r="R35" s="882"/>
      <c r="S35" s="882"/>
      <c r="T35" s="882"/>
      <c r="U35" s="882"/>
      <c r="V35" s="883"/>
      <c r="W35" s="2448">
        <f>BCT!$AB$14</f>
        <v>0</v>
      </c>
      <c r="X35" s="2448"/>
      <c r="Y35" s="2448"/>
      <c r="Z35" s="2449">
        <f>BCT!AI14</f>
        <v>0</v>
      </c>
      <c r="AA35" s="2449"/>
      <c r="AB35" s="2449"/>
      <c r="AC35" s="2449"/>
      <c r="AD35" s="2449"/>
      <c r="AE35" s="2449">
        <f>BCT!AO14</f>
        <v>0</v>
      </c>
      <c r="AF35" s="2449"/>
      <c r="AG35" s="2449"/>
      <c r="AH35" s="2449"/>
      <c r="AI35" s="2449"/>
      <c r="AJ35" s="2449">
        <f>BCT!AS14</f>
        <v>0</v>
      </c>
      <c r="AK35" s="2449"/>
      <c r="AL35" s="2449"/>
      <c r="AM35" s="2449"/>
      <c r="AN35" s="2449"/>
      <c r="AO35" s="884"/>
      <c r="AP35" s="885" t="str">
        <f>BCT!C14</f>
        <v>pembuatam taman relief</v>
      </c>
      <c r="AQ35" s="884"/>
      <c r="AR35" s="884"/>
    </row>
    <row r="36" spans="3:44" s="304" customFormat="1" ht="13.5" customHeight="1">
      <c r="C36" s="460" t="s">
        <v>1770</v>
      </c>
      <c r="D36" s="882" t="str">
        <f>AP36</f>
        <v>Biaya unit pemanas air / water heater</v>
      </c>
      <c r="E36" s="882"/>
      <c r="F36" s="882"/>
      <c r="G36" s="882"/>
      <c r="H36" s="882"/>
      <c r="I36" s="882"/>
      <c r="J36" s="882"/>
      <c r="K36" s="882"/>
      <c r="L36" s="882"/>
      <c r="M36" s="882"/>
      <c r="N36" s="882"/>
      <c r="O36" s="882"/>
      <c r="P36" s="882"/>
      <c r="Q36" s="882"/>
      <c r="R36" s="882"/>
      <c r="S36" s="882"/>
      <c r="T36" s="882"/>
      <c r="U36" s="882"/>
      <c r="V36" s="883"/>
      <c r="W36" s="2448">
        <f>BCT!$AB$15</f>
        <v>0</v>
      </c>
      <c r="X36" s="2448"/>
      <c r="Y36" s="2448"/>
      <c r="Z36" s="2449">
        <f>BCT!AI15</f>
        <v>0</v>
      </c>
      <c r="AA36" s="2449"/>
      <c r="AB36" s="2449"/>
      <c r="AC36" s="2449"/>
      <c r="AD36" s="2449"/>
      <c r="AE36" s="2449">
        <f>BCT!AO15</f>
        <v>0</v>
      </c>
      <c r="AF36" s="2449"/>
      <c r="AG36" s="2449"/>
      <c r="AH36" s="2449"/>
      <c r="AI36" s="2449"/>
      <c r="AJ36" s="2449">
        <f>BCT!AS15</f>
        <v>0</v>
      </c>
      <c r="AK36" s="2449"/>
      <c r="AL36" s="2449"/>
      <c r="AM36" s="2449"/>
      <c r="AN36" s="2449"/>
      <c r="AO36" s="884"/>
      <c r="AP36" s="885" t="str">
        <f>BCT!C15</f>
        <v>Biaya unit pemanas air / water heater</v>
      </c>
      <c r="AQ36" s="884"/>
      <c r="AR36" s="884"/>
    </row>
    <row r="37" spans="3:44" s="304" customFormat="1" ht="13.5" customHeight="1">
      <c r="C37" s="460" t="s">
        <v>1770</v>
      </c>
      <c r="D37" s="882" t="str">
        <f>AP37</f>
        <v>Biaya unit penangkal petir</v>
      </c>
      <c r="E37" s="882"/>
      <c r="F37" s="882"/>
      <c r="G37" s="882"/>
      <c r="H37" s="882"/>
      <c r="I37" s="882"/>
      <c r="J37" s="882"/>
      <c r="K37" s="882"/>
      <c r="L37" s="882"/>
      <c r="M37" s="882"/>
      <c r="N37" s="882"/>
      <c r="O37" s="882"/>
      <c r="P37" s="882"/>
      <c r="Q37" s="882"/>
      <c r="R37" s="882"/>
      <c r="S37" s="882"/>
      <c r="T37" s="882"/>
      <c r="U37" s="882"/>
      <c r="V37" s="883"/>
      <c r="W37" s="2448">
        <f>BCT!$AB$16</f>
        <v>0</v>
      </c>
      <c r="X37" s="2448"/>
      <c r="Y37" s="2448"/>
      <c r="Z37" s="2449">
        <f>BCT!AI16</f>
        <v>0</v>
      </c>
      <c r="AA37" s="2449"/>
      <c r="AB37" s="2449"/>
      <c r="AC37" s="2449"/>
      <c r="AD37" s="2449"/>
      <c r="AE37" s="2449">
        <f>BCT!AO16</f>
        <v>0</v>
      </c>
      <c r="AF37" s="2449"/>
      <c r="AG37" s="2449"/>
      <c r="AH37" s="2449"/>
      <c r="AI37" s="2449"/>
      <c r="AJ37" s="2449">
        <f>BCT!AS16</f>
        <v>0</v>
      </c>
      <c r="AK37" s="2449"/>
      <c r="AL37" s="2449"/>
      <c r="AM37" s="2449"/>
      <c r="AN37" s="2449"/>
      <c r="AO37" s="884"/>
      <c r="AP37" s="885" t="str">
        <f>BCT!C16</f>
        <v>Biaya unit penangkal petir</v>
      </c>
      <c r="AQ37" s="884"/>
      <c r="AR37" s="884"/>
    </row>
    <row r="38" spans="3:44" s="304" customFormat="1" ht="13.5" customHeight="1">
      <c r="C38" s="460" t="s">
        <v>1770</v>
      </c>
      <c r="D38" s="882" t="str">
        <f>CONCATENATE(AP38," seluas ",W38," m²")</f>
        <v>Tembok pembatas keliling Top Roof, tinggi 90 cm seluas 0 m²</v>
      </c>
      <c r="E38" s="882"/>
      <c r="F38" s="882"/>
      <c r="G38" s="882"/>
      <c r="H38" s="882"/>
      <c r="I38" s="882"/>
      <c r="J38" s="882"/>
      <c r="K38" s="882"/>
      <c r="L38" s="882"/>
      <c r="M38" s="882"/>
      <c r="N38" s="882"/>
      <c r="O38" s="882"/>
      <c r="P38" s="882"/>
      <c r="Q38" s="882"/>
      <c r="R38" s="882"/>
      <c r="S38" s="882"/>
      <c r="T38" s="882"/>
      <c r="U38" s="882"/>
      <c r="V38" s="883"/>
      <c r="W38" s="2448">
        <f>BCT!$AB$17</f>
        <v>0</v>
      </c>
      <c r="X38" s="2448"/>
      <c r="Y38" s="2448"/>
      <c r="Z38" s="2449">
        <f>BCT!AI17</f>
        <v>0</v>
      </c>
      <c r="AA38" s="2449"/>
      <c r="AB38" s="2449"/>
      <c r="AC38" s="2449"/>
      <c r="AD38" s="2449"/>
      <c r="AE38" s="2449">
        <f>BCT!AO17</f>
        <v>0</v>
      </c>
      <c r="AF38" s="2449"/>
      <c r="AG38" s="2449"/>
      <c r="AH38" s="2449"/>
      <c r="AI38" s="2449"/>
      <c r="AJ38" s="2449">
        <f>BCT!AS17</f>
        <v>0</v>
      </c>
      <c r="AK38" s="2449"/>
      <c r="AL38" s="2449"/>
      <c r="AM38" s="2449"/>
      <c r="AN38" s="2449"/>
      <c r="AO38" s="884"/>
      <c r="AP38" s="885" t="str">
        <f>BCT!C17</f>
        <v>Tembok pembatas keliling Top Roof, tinggi 90 cm</v>
      </c>
      <c r="AQ38" s="884"/>
      <c r="AR38" s="884"/>
    </row>
    <row r="39" spans="3:44" s="304" customFormat="1" ht="13.5" customHeight="1">
      <c r="C39" s="460" t="s">
        <v>1770</v>
      </c>
      <c r="D39" s="882" t="str">
        <f>CONCATENATE(AP39," sebanyak ",W39," set",)</f>
        <v>Kitchenset  sebanyak 0 set</v>
      </c>
      <c r="E39" s="882"/>
      <c r="F39" s="882"/>
      <c r="G39" s="882"/>
      <c r="H39" s="882"/>
      <c r="I39" s="882"/>
      <c r="J39" s="882"/>
      <c r="K39" s="882"/>
      <c r="L39" s="882"/>
      <c r="M39" s="882"/>
      <c r="N39" s="882"/>
      <c r="O39" s="882"/>
      <c r="P39" s="882"/>
      <c r="Q39" s="882"/>
      <c r="R39" s="882"/>
      <c r="S39" s="882"/>
      <c r="T39" s="882"/>
      <c r="U39" s="882"/>
      <c r="V39" s="883"/>
      <c r="W39" s="2448">
        <f>BCT!$AB$18</f>
        <v>0</v>
      </c>
      <c r="X39" s="2448"/>
      <c r="Y39" s="2448"/>
      <c r="Z39" s="2449">
        <f>BCT!AI18</f>
        <v>0</v>
      </c>
      <c r="AA39" s="2449"/>
      <c r="AB39" s="2449"/>
      <c r="AC39" s="2449"/>
      <c r="AD39" s="2449"/>
      <c r="AE39" s="2449">
        <f>BCT!AO18</f>
        <v>0</v>
      </c>
      <c r="AF39" s="2449"/>
      <c r="AG39" s="2449"/>
      <c r="AH39" s="2449"/>
      <c r="AI39" s="2449"/>
      <c r="AJ39" s="2449">
        <f>BCT!AS18</f>
        <v>0</v>
      </c>
      <c r="AK39" s="2449"/>
      <c r="AL39" s="2449"/>
      <c r="AM39" s="2449"/>
      <c r="AN39" s="2449"/>
      <c r="AO39" s="884"/>
      <c r="AP39" s="885" t="str">
        <f>BCT!C18</f>
        <v xml:space="preserve">Kitchenset </v>
      </c>
      <c r="AQ39" s="884"/>
      <c r="AR39" s="884"/>
    </row>
    <row r="40" spans="3:44" s="304" customFormat="1" ht="13.5" customHeight="1">
      <c r="C40" s="460" t="s">
        <v>1770</v>
      </c>
      <c r="D40" s="882" t="str">
        <f>CONCATENATE(AP40,", dengan volume kolam ± ",W40," m³")</f>
        <v>Biaya kolam renang + unit mesin pompa, dengan volume kolam ± 0 m³</v>
      </c>
      <c r="E40" s="882"/>
      <c r="F40" s="882"/>
      <c r="G40" s="882"/>
      <c r="H40" s="882"/>
      <c r="I40" s="882"/>
      <c r="J40" s="882"/>
      <c r="K40" s="882"/>
      <c r="L40" s="882"/>
      <c r="M40" s="882"/>
      <c r="N40" s="882"/>
      <c r="O40" s="882"/>
      <c r="P40" s="882"/>
      <c r="Q40" s="882"/>
      <c r="R40" s="882"/>
      <c r="S40" s="882"/>
      <c r="T40" s="882"/>
      <c r="U40" s="882"/>
      <c r="V40" s="883"/>
      <c r="W40" s="2448">
        <f>BCT!$AB$19</f>
        <v>0</v>
      </c>
      <c r="X40" s="2448"/>
      <c r="Y40" s="2448"/>
      <c r="Z40" s="2449">
        <f>BCT!AI19</f>
        <v>0</v>
      </c>
      <c r="AA40" s="2449"/>
      <c r="AB40" s="2449"/>
      <c r="AC40" s="2449"/>
      <c r="AD40" s="2449"/>
      <c r="AE40" s="2449">
        <f>BCT!AO19</f>
        <v>0</v>
      </c>
      <c r="AF40" s="2449"/>
      <c r="AG40" s="2449"/>
      <c r="AH40" s="2449"/>
      <c r="AI40" s="2449"/>
      <c r="AJ40" s="2449">
        <f>BCT!AS19</f>
        <v>0</v>
      </c>
      <c r="AK40" s="2449"/>
      <c r="AL40" s="2449"/>
      <c r="AM40" s="2449"/>
      <c r="AN40" s="2449"/>
      <c r="AO40" s="884"/>
      <c r="AP40" s="885" t="str">
        <f>BCT!C19</f>
        <v>Biaya kolam renang + unit mesin pompa</v>
      </c>
      <c r="AQ40" s="884"/>
      <c r="AR40" s="884"/>
    </row>
    <row r="41" spans="3:44" s="304" customFormat="1" ht="20.100000000000001" customHeight="1">
      <c r="C41" s="2445" t="str">
        <f>C94</f>
        <v>TOTAL SARANA PELENGKAP</v>
      </c>
      <c r="D41" s="2446"/>
      <c r="E41" s="2446"/>
      <c r="F41" s="2446"/>
      <c r="G41" s="2446"/>
      <c r="H41" s="2446"/>
      <c r="I41" s="2446"/>
      <c r="J41" s="2446"/>
      <c r="K41" s="2446"/>
      <c r="L41" s="2446"/>
      <c r="M41" s="2446"/>
      <c r="N41" s="2446"/>
      <c r="O41" s="2446"/>
      <c r="P41" s="2446"/>
      <c r="Q41" s="2446"/>
      <c r="R41" s="2446"/>
      <c r="S41" s="2446"/>
      <c r="T41" s="2446"/>
      <c r="U41" s="2446"/>
      <c r="V41" s="2446"/>
      <c r="W41" s="2446"/>
      <c r="X41" s="2446"/>
      <c r="Y41" s="2446"/>
      <c r="Z41" s="2447">
        <f>BCT!AI20</f>
        <v>0</v>
      </c>
      <c r="AA41" s="2447"/>
      <c r="AB41" s="2447"/>
      <c r="AC41" s="2447"/>
      <c r="AD41" s="2447"/>
      <c r="AE41" s="2488">
        <f>BCT!AO20</f>
        <v>0</v>
      </c>
      <c r="AF41" s="2489"/>
      <c r="AG41" s="2489"/>
      <c r="AH41" s="2489"/>
      <c r="AI41" s="2490"/>
      <c r="AJ41" s="2447">
        <f>BCT!AS20</f>
        <v>0</v>
      </c>
      <c r="AK41" s="2447"/>
      <c r="AL41" s="2447"/>
      <c r="AM41" s="2447"/>
      <c r="AN41" s="2491"/>
      <c r="AO41" s="884"/>
      <c r="AP41" s="884"/>
      <c r="AQ41" s="884"/>
      <c r="AR41" s="884"/>
    </row>
    <row r="42" spans="3:44" s="349" customFormat="1" ht="9" customHeight="1">
      <c r="C42" s="886"/>
      <c r="D42" s="886"/>
      <c r="E42" s="886"/>
      <c r="F42" s="886"/>
      <c r="G42" s="886"/>
      <c r="H42" s="308"/>
      <c r="I42" s="308"/>
      <c r="J42" s="308"/>
      <c r="K42" s="308"/>
      <c r="L42" s="308"/>
      <c r="M42" s="308"/>
      <c r="N42" s="308"/>
      <c r="O42" s="308"/>
      <c r="P42" s="308"/>
      <c r="Q42" s="308"/>
      <c r="R42" s="308"/>
      <c r="S42" s="308"/>
      <c r="T42" s="308"/>
      <c r="U42" s="308"/>
      <c r="V42" s="308"/>
      <c r="W42" s="308"/>
      <c r="X42" s="308"/>
      <c r="Y42" s="308"/>
      <c r="Z42" s="308"/>
      <c r="AA42" s="308"/>
      <c r="AB42" s="308"/>
      <c r="AC42" s="308"/>
      <c r="AD42" s="308"/>
      <c r="AE42" s="308"/>
      <c r="AF42" s="308"/>
      <c r="AG42" s="308"/>
      <c r="AH42" s="308"/>
      <c r="AI42" s="308"/>
      <c r="AJ42" s="308"/>
      <c r="AK42" s="308"/>
      <c r="AL42" s="308"/>
      <c r="AM42" s="308"/>
      <c r="AN42" s="308"/>
    </row>
    <row r="43" spans="3:44" s="349" customFormat="1" ht="12.75" hidden="1">
      <c r="C43" s="308"/>
      <c r="D43" s="308"/>
      <c r="E43" s="308"/>
      <c r="F43" s="308"/>
      <c r="G43" s="308"/>
      <c r="H43" s="308"/>
      <c r="I43" s="308"/>
      <c r="J43" s="308"/>
      <c r="K43" s="308"/>
      <c r="L43" s="308"/>
      <c r="M43" s="308"/>
      <c r="N43" s="308"/>
      <c r="O43" s="308"/>
      <c r="P43" s="308"/>
      <c r="Q43" s="308"/>
      <c r="R43" s="308"/>
      <c r="S43" s="308"/>
      <c r="T43" s="308"/>
      <c r="U43" s="308"/>
      <c r="V43" s="308"/>
      <c r="W43" s="308"/>
      <c r="X43" s="308"/>
      <c r="Y43" s="308"/>
      <c r="Z43" s="308"/>
      <c r="AA43" s="308"/>
      <c r="AB43" s="308"/>
      <c r="AC43" s="308"/>
      <c r="AD43" s="308"/>
      <c r="AE43" s="308"/>
      <c r="AF43" s="308"/>
      <c r="AG43" s="308"/>
      <c r="AH43" s="308"/>
      <c r="AI43" s="308"/>
      <c r="AJ43" s="308"/>
      <c r="AK43" s="308"/>
      <c r="AL43" s="308"/>
      <c r="AM43" s="308"/>
      <c r="AN43" s="308"/>
    </row>
    <row r="44" spans="3:44" s="349" customFormat="1" ht="16.5" hidden="1" customHeight="1">
      <c r="C44" s="308"/>
      <c r="D44" s="308"/>
      <c r="E44" s="308"/>
      <c r="F44" s="308"/>
      <c r="G44" s="308"/>
      <c r="H44" s="308"/>
      <c r="I44" s="308"/>
      <c r="J44" s="308"/>
      <c r="K44" s="308"/>
      <c r="L44" s="308"/>
      <c r="M44" s="308"/>
      <c r="N44" s="308"/>
      <c r="O44" s="308"/>
      <c r="P44" s="308"/>
      <c r="Q44" s="308"/>
      <c r="R44" s="308"/>
      <c r="S44" s="308"/>
      <c r="T44" s="308"/>
      <c r="U44" s="308"/>
      <c r="V44" s="308"/>
      <c r="W44" s="308"/>
      <c r="X44" s="308"/>
      <c r="Y44" s="308"/>
      <c r="Z44" s="308"/>
      <c r="AA44" s="308"/>
      <c r="AB44" s="308"/>
      <c r="AC44" s="308"/>
      <c r="AD44" s="308"/>
      <c r="AE44" s="308"/>
      <c r="AF44" s="308"/>
      <c r="AG44" s="308"/>
      <c r="AH44" s="308"/>
      <c r="AI44" s="308"/>
      <c r="AJ44" s="308"/>
      <c r="AK44" s="308"/>
      <c r="AL44" s="308"/>
      <c r="AM44" s="308"/>
      <c r="AN44" s="308"/>
    </row>
    <row r="45" spans="3:44" s="349" customFormat="1" ht="16.5" hidden="1" customHeight="1">
      <c r="C45" s="308"/>
      <c r="D45" s="308"/>
      <c r="E45" s="308"/>
      <c r="F45" s="308"/>
      <c r="G45" s="308"/>
      <c r="H45" s="308"/>
      <c r="I45" s="308"/>
      <c r="J45" s="308"/>
      <c r="K45" s="308"/>
      <c r="L45" s="308"/>
      <c r="M45" s="308"/>
      <c r="N45" s="308"/>
      <c r="O45" s="308"/>
      <c r="P45" s="308"/>
      <c r="Q45" s="308"/>
      <c r="R45" s="308"/>
      <c r="S45" s="308"/>
      <c r="T45" s="308"/>
      <c r="U45" s="308"/>
      <c r="V45" s="308"/>
      <c r="W45" s="308"/>
      <c r="X45" s="308"/>
      <c r="Y45" s="308"/>
      <c r="Z45" s="308"/>
      <c r="AA45" s="308"/>
      <c r="AB45" s="308"/>
      <c r="AC45" s="308"/>
      <c r="AD45" s="308"/>
      <c r="AE45" s="308"/>
      <c r="AF45" s="308"/>
      <c r="AG45" s="308"/>
      <c r="AH45" s="308"/>
      <c r="AI45" s="308"/>
      <c r="AJ45" s="308"/>
      <c r="AK45" s="308"/>
      <c r="AL45" s="308"/>
      <c r="AM45" s="308"/>
      <c r="AN45" s="308"/>
    </row>
    <row r="46" spans="3:44" s="349" customFormat="1" ht="16.5" hidden="1" customHeight="1">
      <c r="C46" s="308"/>
      <c r="D46" s="308"/>
      <c r="E46" s="308"/>
      <c r="F46" s="308"/>
      <c r="G46" s="308"/>
      <c r="H46" s="308"/>
      <c r="I46" s="308"/>
      <c r="J46" s="308"/>
      <c r="K46" s="308"/>
      <c r="L46" s="308"/>
      <c r="M46" s="308"/>
      <c r="N46" s="308"/>
      <c r="O46" s="308"/>
      <c r="P46" s="308"/>
      <c r="Q46" s="308"/>
      <c r="R46" s="308"/>
      <c r="S46" s="308"/>
      <c r="T46" s="308"/>
      <c r="U46" s="308"/>
      <c r="V46" s="308"/>
      <c r="W46" s="308"/>
      <c r="X46" s="308"/>
      <c r="Y46" s="308"/>
      <c r="Z46" s="308"/>
      <c r="AA46" s="308"/>
      <c r="AB46" s="308"/>
      <c r="AC46" s="308"/>
      <c r="AD46" s="308"/>
      <c r="AE46" s="308"/>
      <c r="AF46" s="308"/>
      <c r="AG46" s="308"/>
      <c r="AH46" s="308"/>
      <c r="AI46" s="308"/>
      <c r="AJ46" s="308"/>
      <c r="AK46" s="308"/>
      <c r="AL46" s="308"/>
      <c r="AM46" s="308"/>
      <c r="AN46" s="308"/>
    </row>
    <row r="47" spans="3:44" s="349" customFormat="1" ht="16.5" hidden="1" customHeight="1">
      <c r="C47" s="308"/>
      <c r="D47" s="308"/>
      <c r="E47" s="308"/>
      <c r="F47" s="308"/>
      <c r="G47" s="308"/>
      <c r="H47" s="308"/>
      <c r="I47" s="308"/>
      <c r="J47" s="308"/>
      <c r="K47" s="308"/>
      <c r="L47" s="308"/>
      <c r="M47" s="308"/>
      <c r="N47" s="308"/>
      <c r="O47" s="308"/>
      <c r="P47" s="308"/>
      <c r="Q47" s="308"/>
      <c r="R47" s="308"/>
      <c r="S47" s="308"/>
      <c r="T47" s="308"/>
      <c r="U47" s="308"/>
      <c r="V47" s="308"/>
      <c r="W47" s="308"/>
      <c r="X47" s="308"/>
      <c r="Y47" s="308"/>
      <c r="Z47" s="308"/>
      <c r="AA47" s="308"/>
      <c r="AB47" s="308"/>
      <c r="AC47" s="308"/>
      <c r="AD47" s="308"/>
      <c r="AE47" s="308"/>
      <c r="AF47" s="308"/>
      <c r="AG47" s="308"/>
      <c r="AH47" s="308"/>
      <c r="AI47" s="308"/>
      <c r="AJ47" s="308"/>
      <c r="AK47" s="308"/>
      <c r="AL47" s="308"/>
      <c r="AM47" s="308"/>
      <c r="AN47" s="308"/>
    </row>
    <row r="48" spans="3:44" s="349" customFormat="1" ht="16.5" hidden="1" customHeight="1">
      <c r="C48" s="308"/>
      <c r="D48" s="308"/>
      <c r="E48" s="308"/>
      <c r="F48" s="308"/>
      <c r="G48" s="308"/>
      <c r="H48" s="308"/>
      <c r="I48" s="308"/>
      <c r="J48" s="308"/>
      <c r="K48" s="308"/>
      <c r="L48" s="308"/>
      <c r="M48" s="308"/>
      <c r="N48" s="308"/>
      <c r="O48" s="308"/>
      <c r="P48" s="308"/>
      <c r="Q48" s="308"/>
      <c r="R48" s="308"/>
      <c r="S48" s="308"/>
      <c r="T48" s="308"/>
      <c r="U48" s="308"/>
      <c r="V48" s="308"/>
      <c r="W48" s="308"/>
      <c r="X48" s="308"/>
      <c r="Y48" s="308"/>
      <c r="Z48" s="308"/>
      <c r="AA48" s="308"/>
      <c r="AB48" s="308"/>
      <c r="AC48" s="308"/>
      <c r="AD48" s="308"/>
      <c r="AE48" s="308"/>
      <c r="AF48" s="308"/>
      <c r="AG48" s="308"/>
      <c r="AH48" s="308"/>
      <c r="AI48" s="308"/>
      <c r="AJ48" s="308"/>
      <c r="AK48" s="308"/>
      <c r="AL48" s="308"/>
      <c r="AM48" s="308"/>
      <c r="AN48" s="308"/>
    </row>
    <row r="49" spans="2:48" s="349" customFormat="1" ht="12.75" hidden="1">
      <c r="C49" s="308"/>
      <c r="D49" s="308"/>
      <c r="E49" s="308"/>
      <c r="F49" s="308"/>
      <c r="G49" s="308"/>
      <c r="H49" s="308"/>
      <c r="I49" s="308"/>
      <c r="J49" s="308"/>
      <c r="K49" s="308"/>
      <c r="L49" s="308"/>
      <c r="M49" s="308"/>
      <c r="N49" s="308"/>
      <c r="O49" s="308"/>
      <c r="P49" s="308"/>
      <c r="Q49" s="308"/>
      <c r="R49" s="308"/>
      <c r="S49" s="308"/>
      <c r="T49" s="308"/>
      <c r="U49" s="308"/>
      <c r="V49" s="308"/>
      <c r="W49" s="308"/>
      <c r="X49" s="308"/>
      <c r="Y49" s="308"/>
      <c r="Z49" s="308"/>
      <c r="AA49" s="308"/>
      <c r="AB49" s="308"/>
      <c r="AC49" s="308"/>
      <c r="AD49" s="308"/>
      <c r="AE49" s="308"/>
      <c r="AF49" s="308"/>
      <c r="AG49" s="308"/>
      <c r="AH49" s="308"/>
      <c r="AI49" s="308"/>
      <c r="AJ49" s="308"/>
      <c r="AK49" s="308"/>
      <c r="AL49" s="308"/>
      <c r="AM49" s="308"/>
      <c r="AN49" s="308"/>
    </row>
    <row r="50" spans="2:48" s="349" customFormat="1" ht="12.75">
      <c r="C50" s="308"/>
      <c r="D50" s="308"/>
      <c r="E50" s="308"/>
      <c r="F50" s="308"/>
      <c r="G50" s="308"/>
      <c r="H50" s="308"/>
      <c r="I50" s="308"/>
      <c r="J50" s="308"/>
      <c r="K50" s="308"/>
      <c r="L50" s="308"/>
      <c r="M50" s="308"/>
      <c r="N50" s="308"/>
      <c r="O50" s="308"/>
      <c r="P50" s="308"/>
      <c r="Q50" s="308"/>
      <c r="R50" s="308"/>
      <c r="S50" s="308"/>
      <c r="T50" s="308"/>
      <c r="U50" s="308"/>
      <c r="V50" s="308"/>
      <c r="W50" s="308"/>
      <c r="X50" s="308"/>
      <c r="Y50" s="308"/>
      <c r="Z50" s="308"/>
      <c r="AA50" s="308"/>
      <c r="AB50" s="308"/>
      <c r="AC50" s="308"/>
      <c r="AD50" s="308"/>
      <c r="AE50" s="308"/>
      <c r="AF50" s="308"/>
      <c r="AG50" s="308"/>
      <c r="AH50" s="308"/>
      <c r="AI50" s="308"/>
      <c r="AJ50" s="308"/>
      <c r="AK50" s="308"/>
      <c r="AL50" s="308"/>
      <c r="AM50" s="308"/>
      <c r="AN50" s="308"/>
    </row>
    <row r="51" spans="2:48" s="497" customFormat="1" ht="13.5" thickBot="1">
      <c r="AF51" s="607"/>
      <c r="AK51" s="889"/>
      <c r="AL51" s="890"/>
      <c r="AM51" s="890"/>
      <c r="AN51" s="890"/>
      <c r="AP51" s="629"/>
      <c r="AQ51" s="629"/>
      <c r="AR51" s="629"/>
      <c r="AS51" s="629"/>
    </row>
    <row r="52" spans="2:48" s="497" customFormat="1" ht="14.1" customHeight="1" thickBot="1">
      <c r="B52" s="383"/>
      <c r="C52" s="383"/>
      <c r="D52" s="383"/>
      <c r="E52" s="383"/>
      <c r="F52" s="383"/>
      <c r="G52" s="383"/>
      <c r="H52" s="383"/>
      <c r="I52" s="383"/>
      <c r="J52" s="383"/>
      <c r="K52" s="383"/>
      <c r="L52" s="383"/>
      <c r="M52" s="383"/>
      <c r="N52" s="383"/>
      <c r="O52" s="383"/>
      <c r="P52" s="383"/>
      <c r="Q52" s="383"/>
      <c r="R52" s="383"/>
      <c r="S52" s="383"/>
      <c r="T52" s="383"/>
      <c r="U52" s="383"/>
      <c r="V52" s="383"/>
      <c r="W52" s="383"/>
      <c r="X52" s="383"/>
      <c r="Y52" s="383"/>
      <c r="Z52" s="383"/>
      <c r="AA52" s="383"/>
      <c r="AB52" s="383"/>
      <c r="AC52" s="383"/>
      <c r="AD52" s="383"/>
      <c r="AE52" s="383"/>
      <c r="AF52" s="383"/>
      <c r="AG52" s="383"/>
      <c r="AH52" s="383"/>
      <c r="AI52" s="383"/>
      <c r="AJ52" s="384"/>
      <c r="AK52" s="384"/>
      <c r="AL52" s="384"/>
      <c r="AM52" s="385"/>
      <c r="AN52" s="383" t="str">
        <f>CONCATENATE("Hal - ",AR52,"  dari  ",AU52)</f>
        <v>Hal - 8  dari  10</v>
      </c>
      <c r="AP52" s="629"/>
      <c r="AQ52" s="629"/>
      <c r="AR52" s="1881">
        <f>+'DB-PRINT'!AQ58+1</f>
        <v>8</v>
      </c>
      <c r="AS52" s="1882"/>
      <c r="AT52" s="387" t="s">
        <v>3</v>
      </c>
      <c r="AU52" s="1881">
        <f>'Surat-01'!$AW$55</f>
        <v>10</v>
      </c>
      <c r="AV52" s="1882"/>
    </row>
    <row r="53" spans="2:48" ht="69.95" customHeight="1"/>
    <row r="54" spans="2:48" s="304" customFormat="1" ht="24" customHeight="1">
      <c r="C54" s="2453" t="s">
        <v>2318</v>
      </c>
      <c r="D54" s="2454"/>
      <c r="E54" s="2454"/>
      <c r="F54" s="2454"/>
      <c r="G54" s="2454"/>
      <c r="H54" s="2454"/>
      <c r="I54" s="2454"/>
      <c r="J54" s="2454"/>
      <c r="K54" s="2454"/>
      <c r="L54" s="2454"/>
      <c r="M54" s="2454"/>
      <c r="N54" s="2454"/>
      <c r="O54" s="2454"/>
      <c r="P54" s="2454"/>
      <c r="Q54" s="2454"/>
      <c r="R54" s="2454"/>
      <c r="S54" s="2454"/>
      <c r="T54" s="2454"/>
      <c r="U54" s="2454"/>
      <c r="V54" s="2454"/>
      <c r="W54" s="2454"/>
      <c r="X54" s="2454"/>
      <c r="Y54" s="2454"/>
      <c r="Z54" s="2454"/>
      <c r="AA54" s="2454"/>
      <c r="AB54" s="2454"/>
      <c r="AC54" s="2454"/>
      <c r="AD54" s="2454"/>
      <c r="AE54" s="2454"/>
      <c r="AF54" s="300"/>
      <c r="AG54" s="300"/>
      <c r="AH54" s="300"/>
      <c r="AI54" s="300"/>
      <c r="AJ54" s="300"/>
      <c r="AK54" s="300"/>
      <c r="AL54" s="300"/>
      <c r="AM54" s="300"/>
      <c r="AN54" s="300"/>
    </row>
    <row r="55" spans="2:48" s="304" customFormat="1" ht="24" customHeight="1">
      <c r="C55" s="2498" t="s">
        <v>2448</v>
      </c>
      <c r="D55" s="2498"/>
      <c r="E55" s="2498"/>
      <c r="F55" s="2498"/>
      <c r="G55" s="2498"/>
      <c r="H55" s="2498"/>
      <c r="I55" s="2498"/>
      <c r="J55" s="2498"/>
      <c r="K55" s="2498"/>
      <c r="L55" s="2498"/>
      <c r="M55" s="2498"/>
      <c r="N55" s="2498"/>
      <c r="O55" s="2498"/>
      <c r="P55" s="2498"/>
      <c r="Q55" s="2498"/>
      <c r="R55" s="2498"/>
      <c r="S55" s="2498"/>
      <c r="T55" s="2498"/>
      <c r="U55" s="2498"/>
      <c r="V55" s="2498"/>
      <c r="W55" s="2498"/>
      <c r="X55" s="2498"/>
      <c r="Y55" s="2498"/>
      <c r="Z55" s="2498"/>
      <c r="AA55" s="2498"/>
      <c r="AB55" s="2498"/>
      <c r="AC55" s="2498"/>
      <c r="AD55" s="2498"/>
      <c r="AE55" s="300"/>
      <c r="AF55" s="300"/>
      <c r="AG55" s="300"/>
      <c r="AH55" s="300"/>
      <c r="AI55" s="300"/>
      <c r="AJ55" s="300"/>
      <c r="AK55" s="300"/>
      <c r="AL55" s="300"/>
      <c r="AM55" s="300"/>
      <c r="AN55" s="300"/>
    </row>
    <row r="56" spans="2:48" s="456" customFormat="1" ht="24.95" customHeight="1">
      <c r="C56" s="314"/>
      <c r="D56" s="317"/>
      <c r="E56" s="317"/>
      <c r="F56" s="317"/>
      <c r="G56" s="317"/>
      <c r="H56" s="317"/>
      <c r="I56" s="317"/>
      <c r="J56" s="320"/>
      <c r="K56" s="455"/>
      <c r="L56" s="455"/>
      <c r="M56" s="455"/>
      <c r="N56" s="455"/>
      <c r="O56" s="455"/>
      <c r="P56" s="455"/>
      <c r="Q56" s="455"/>
      <c r="R56" s="455"/>
      <c r="S56" s="455"/>
      <c r="T56" s="455"/>
      <c r="U56" s="455"/>
      <c r="V56" s="455"/>
      <c r="W56" s="455"/>
      <c r="X56" s="455"/>
      <c r="Y56" s="455"/>
      <c r="Z56" s="455"/>
      <c r="AA56" s="455"/>
      <c r="AB56" s="455"/>
      <c r="AC56" s="455"/>
      <c r="AD56" s="455"/>
      <c r="AE56" s="455"/>
      <c r="AF56" s="455"/>
      <c r="AG56" s="455"/>
      <c r="AH56" s="455"/>
      <c r="AI56" s="455"/>
      <c r="AJ56" s="455"/>
      <c r="AK56" s="455"/>
      <c r="AL56" s="455"/>
      <c r="AM56" s="455"/>
      <c r="AN56" s="317"/>
    </row>
    <row r="57" spans="2:48" s="456" customFormat="1" ht="8.1" customHeight="1">
      <c r="C57" s="865"/>
      <c r="D57" s="495"/>
      <c r="E57" s="495"/>
      <c r="F57" s="495"/>
      <c r="G57" s="495"/>
      <c r="H57" s="495"/>
      <c r="I57" s="495"/>
      <c r="J57" s="866"/>
      <c r="K57" s="867"/>
      <c r="L57" s="867"/>
      <c r="M57" s="867"/>
      <c r="N57" s="867"/>
      <c r="O57" s="867"/>
      <c r="P57" s="867"/>
      <c r="Q57" s="867"/>
      <c r="R57" s="867"/>
      <c r="S57" s="867"/>
      <c r="T57" s="867"/>
      <c r="U57" s="867"/>
      <c r="V57" s="867"/>
      <c r="W57" s="867"/>
      <c r="X57" s="867"/>
      <c r="Y57" s="867"/>
      <c r="Z57" s="867"/>
      <c r="AA57" s="867"/>
      <c r="AB57" s="867"/>
      <c r="AC57" s="867"/>
      <c r="AD57" s="867"/>
      <c r="AE57" s="867"/>
      <c r="AF57" s="867"/>
      <c r="AG57" s="867"/>
      <c r="AH57" s="867"/>
      <c r="AI57" s="867"/>
      <c r="AJ57" s="867"/>
      <c r="AK57" s="867"/>
      <c r="AL57" s="867"/>
      <c r="AM57" s="867"/>
      <c r="AN57" s="868"/>
    </row>
    <row r="58" spans="2:48" s="456" customFormat="1" ht="17.100000000000001" customHeight="1">
      <c r="C58" s="316" t="s">
        <v>1770</v>
      </c>
      <c r="D58" s="317" t="str">
        <f>'Surat-01'!$E$15</f>
        <v>Surveyor</v>
      </c>
      <c r="E58" s="317"/>
      <c r="F58" s="317"/>
      <c r="G58" s="317"/>
      <c r="H58" s="317"/>
      <c r="I58" s="320" t="s">
        <v>5</v>
      </c>
      <c r="J58" s="317" t="str">
        <f>Entry!$L$6</f>
        <v>Rizky Pujakesuma</v>
      </c>
      <c r="K58" s="349"/>
      <c r="L58" s="317"/>
      <c r="M58" s="317"/>
      <c r="N58" s="317"/>
      <c r="O58" s="317"/>
      <c r="P58" s="317"/>
      <c r="Q58" s="317"/>
      <c r="R58" s="317"/>
      <c r="S58" s="317"/>
      <c r="T58" s="317"/>
      <c r="U58" s="323" t="s">
        <v>1770</v>
      </c>
      <c r="V58" s="317" t="str">
        <f>Entry!$B$15</f>
        <v>Pemberi Tugas</v>
      </c>
      <c r="W58" s="317"/>
      <c r="X58" s="317"/>
      <c r="Y58" s="317"/>
      <c r="Z58" s="318"/>
      <c r="AA58" s="317"/>
      <c r="AC58" s="320" t="s">
        <v>5</v>
      </c>
      <c r="AD58" s="321" t="str">
        <f>Entry!$L$15</f>
        <v>PT. BANK ABCDE</v>
      </c>
      <c r="AE58" s="317"/>
      <c r="AF58" s="317"/>
      <c r="AG58" s="317"/>
      <c r="AH58" s="317"/>
      <c r="AI58" s="317"/>
      <c r="AJ58" s="317"/>
      <c r="AK58" s="318"/>
      <c r="AL58" s="318"/>
      <c r="AM58" s="317"/>
      <c r="AN58" s="328"/>
    </row>
    <row r="59" spans="2:48" s="456" customFormat="1" ht="17.100000000000001" customHeight="1">
      <c r="C59" s="316" t="s">
        <v>1770</v>
      </c>
      <c r="D59" s="317" t="str">
        <f>'Surat-01'!$E$14</f>
        <v>Penilai</v>
      </c>
      <c r="E59" s="317"/>
      <c r="F59" s="317"/>
      <c r="G59" s="317"/>
      <c r="H59" s="317"/>
      <c r="I59" s="320" t="s">
        <v>5</v>
      </c>
      <c r="J59" s="317" t="str">
        <f>Entry!$L$5</f>
        <v>Moh. Sugianto. SE.</v>
      </c>
      <c r="K59" s="349"/>
      <c r="L59" s="317"/>
      <c r="M59" s="317"/>
      <c r="N59" s="317"/>
      <c r="O59" s="317"/>
      <c r="P59" s="317"/>
      <c r="Q59" s="317"/>
      <c r="R59" s="317"/>
      <c r="S59" s="317"/>
      <c r="T59" s="317"/>
      <c r="U59" s="323" t="s">
        <v>1770</v>
      </c>
      <c r="V59" s="318" t="s">
        <v>1771</v>
      </c>
      <c r="W59" s="318"/>
      <c r="X59" s="318"/>
      <c r="Y59" s="327"/>
      <c r="Z59" s="317"/>
      <c r="AA59" s="317"/>
      <c r="AC59" s="325" t="s">
        <v>5</v>
      </c>
      <c r="AD59" s="959">
        <f>Entry!$L$8</f>
        <v>43216</v>
      </c>
      <c r="AE59" s="317"/>
      <c r="AF59" s="317"/>
      <c r="AG59" s="317"/>
      <c r="AH59" s="317"/>
      <c r="AI59" s="317"/>
      <c r="AJ59" s="317"/>
      <c r="AK59" s="318"/>
      <c r="AL59" s="318"/>
      <c r="AM59" s="317"/>
      <c r="AN59" s="328"/>
    </row>
    <row r="60" spans="2:48" s="456" customFormat="1" ht="17.100000000000001" customHeight="1">
      <c r="C60" s="316" t="s">
        <v>1770</v>
      </c>
      <c r="D60" s="317" t="str">
        <f>Entry!$B$34</f>
        <v>Alamat Properti</v>
      </c>
      <c r="E60" s="317"/>
      <c r="F60" s="317"/>
      <c r="G60" s="317"/>
      <c r="H60" s="317"/>
      <c r="I60" s="320" t="s">
        <v>5</v>
      </c>
      <c r="J60" s="2472" t="str">
        <f>Entry!$AD$34</f>
        <v>Jl. ABCDE, Kel. Sangiang Jaya, Kec. Periuk, Kota Adm. Tangerang, Prop. Banten</v>
      </c>
      <c r="K60" s="2472"/>
      <c r="L60" s="2472"/>
      <c r="M60" s="2472"/>
      <c r="N60" s="2472"/>
      <c r="O60" s="2472"/>
      <c r="P60" s="2472"/>
      <c r="Q60" s="2472"/>
      <c r="R60" s="2472"/>
      <c r="S60" s="2472"/>
      <c r="T60" s="2472"/>
      <c r="U60" s="2472"/>
      <c r="V60" s="2472"/>
      <c r="W60" s="2472"/>
      <c r="X60" s="2472"/>
      <c r="Y60" s="2472"/>
      <c r="Z60" s="2472"/>
      <c r="AA60" s="2472"/>
      <c r="AB60" s="2472"/>
      <c r="AC60" s="2472"/>
      <c r="AD60" s="2472"/>
      <c r="AE60" s="2472"/>
      <c r="AF60" s="2472"/>
      <c r="AG60" s="2472"/>
      <c r="AH60" s="2472"/>
      <c r="AI60" s="2472"/>
      <c r="AJ60" s="2472"/>
      <c r="AK60" s="2472"/>
      <c r="AL60" s="2472"/>
      <c r="AM60" s="2472"/>
      <c r="AN60" s="328"/>
    </row>
    <row r="61" spans="2:48" s="456" customFormat="1" ht="9" customHeight="1">
      <c r="C61" s="869"/>
      <c r="D61" s="854"/>
      <c r="E61" s="854"/>
      <c r="F61" s="854"/>
      <c r="G61" s="854"/>
      <c r="H61" s="854"/>
      <c r="I61" s="854"/>
      <c r="J61" s="2473"/>
      <c r="K61" s="2473"/>
      <c r="L61" s="2473"/>
      <c r="M61" s="2473"/>
      <c r="N61" s="2473"/>
      <c r="O61" s="2473"/>
      <c r="P61" s="2473"/>
      <c r="Q61" s="2473"/>
      <c r="R61" s="2473"/>
      <c r="S61" s="2473"/>
      <c r="T61" s="2473"/>
      <c r="U61" s="2473"/>
      <c r="V61" s="2473"/>
      <c r="W61" s="2473"/>
      <c r="X61" s="2473"/>
      <c r="Y61" s="2473"/>
      <c r="Z61" s="2473"/>
      <c r="AA61" s="2473"/>
      <c r="AB61" s="2473"/>
      <c r="AC61" s="2473"/>
      <c r="AD61" s="2473"/>
      <c r="AE61" s="2473"/>
      <c r="AF61" s="2473"/>
      <c r="AG61" s="2473"/>
      <c r="AH61" s="2473"/>
      <c r="AI61" s="2473"/>
      <c r="AJ61" s="2473"/>
      <c r="AK61" s="2473"/>
      <c r="AL61" s="2473"/>
      <c r="AM61" s="2473"/>
      <c r="AN61" s="857"/>
    </row>
    <row r="62" spans="2:48" s="456" customFormat="1" ht="23.1" customHeight="1">
      <c r="C62" s="317"/>
      <c r="D62" s="317"/>
      <c r="E62" s="317"/>
      <c r="F62" s="317"/>
      <c r="G62" s="317"/>
      <c r="H62" s="317"/>
      <c r="I62" s="317"/>
      <c r="J62" s="870"/>
      <c r="K62" s="870"/>
      <c r="L62" s="870"/>
      <c r="M62" s="870"/>
      <c r="N62" s="870"/>
      <c r="O62" s="870"/>
      <c r="P62" s="870"/>
      <c r="Q62" s="870"/>
      <c r="R62" s="870"/>
      <c r="S62" s="870"/>
      <c r="T62" s="870"/>
      <c r="U62" s="870"/>
      <c r="V62" s="870"/>
      <c r="W62" s="870"/>
      <c r="X62" s="870"/>
      <c r="Y62" s="870"/>
      <c r="Z62" s="870"/>
      <c r="AA62" s="870"/>
      <c r="AB62" s="870"/>
      <c r="AC62" s="870"/>
      <c r="AD62" s="870"/>
      <c r="AE62" s="870"/>
      <c r="AF62" s="870"/>
      <c r="AG62" s="870"/>
      <c r="AH62" s="870"/>
      <c r="AI62" s="870"/>
      <c r="AJ62" s="870"/>
      <c r="AK62" s="870"/>
      <c r="AL62" s="870"/>
      <c r="AM62" s="870"/>
      <c r="AN62" s="317"/>
    </row>
    <row r="63" spans="2:48" s="340" customFormat="1" ht="33" customHeight="1">
      <c r="C63" s="2474">
        <v>1</v>
      </c>
      <c r="D63" s="2474"/>
      <c r="E63" s="2474"/>
      <c r="F63" s="2475"/>
      <c r="G63" s="2476" t="str">
        <f>"BANGUNAN "&amp;'B1'!$N$9&amp;""</f>
        <v>BANGUNAN RUMAH TINGGAL</v>
      </c>
      <c r="H63" s="2477"/>
      <c r="I63" s="2477"/>
      <c r="J63" s="2477"/>
      <c r="K63" s="2477"/>
      <c r="L63" s="2477"/>
      <c r="M63" s="2477"/>
      <c r="N63" s="2477"/>
      <c r="O63" s="2477"/>
      <c r="P63" s="2477"/>
      <c r="Q63" s="2477"/>
      <c r="R63" s="2477"/>
      <c r="S63" s="2477"/>
      <c r="T63" s="2477"/>
      <c r="U63" s="2477"/>
      <c r="V63" s="2477"/>
      <c r="W63" s="2477"/>
      <c r="X63" s="2477"/>
      <c r="Y63" s="2477"/>
      <c r="Z63" s="2477"/>
      <c r="AA63" s="2477"/>
      <c r="AB63" s="2477"/>
      <c r="AC63" s="2477"/>
      <c r="AD63" s="2478"/>
    </row>
    <row r="64" spans="2:48" s="340" customFormat="1" ht="18.75" customHeight="1">
      <c r="C64" s="2474"/>
      <c r="D64" s="2474"/>
      <c r="E64" s="2474"/>
      <c r="F64" s="2475"/>
      <c r="G64" s="2469" t="s">
        <v>1789</v>
      </c>
      <c r="H64" s="2470"/>
      <c r="I64" s="2470"/>
      <c r="J64" s="2470"/>
      <c r="K64" s="2470"/>
      <c r="L64" s="2470"/>
      <c r="M64" s="2470"/>
      <c r="N64" s="2470"/>
      <c r="O64" s="2470"/>
      <c r="P64" s="2470"/>
      <c r="Q64" s="2470"/>
      <c r="R64" s="2470"/>
      <c r="S64" s="2471"/>
      <c r="T64" s="871"/>
      <c r="U64" s="871"/>
      <c r="V64" s="871"/>
      <c r="W64" s="871"/>
      <c r="X64" s="871"/>
      <c r="Y64" s="871"/>
      <c r="Z64" s="2479" t="str">
        <f>'B1'!$M$27</f>
        <v>Tidak Terinformasi</v>
      </c>
      <c r="AA64" s="2480"/>
      <c r="AB64" s="2480"/>
      <c r="AC64" s="2480"/>
      <c r="AD64" s="2481"/>
    </row>
    <row r="65" spans="3:51" s="340" customFormat="1" ht="18.75" customHeight="1">
      <c r="C65" s="2474"/>
      <c r="D65" s="2474"/>
      <c r="E65" s="2474"/>
      <c r="F65" s="2475"/>
      <c r="G65" s="2482" t="s">
        <v>1791</v>
      </c>
      <c r="H65" s="2483"/>
      <c r="I65" s="2483"/>
      <c r="J65" s="2483"/>
      <c r="K65" s="2483"/>
      <c r="L65" s="2483"/>
      <c r="M65" s="2483"/>
      <c r="N65" s="2483"/>
      <c r="O65" s="2483"/>
      <c r="P65" s="2483"/>
      <c r="Q65" s="2483"/>
      <c r="R65" s="2483"/>
      <c r="S65" s="2484"/>
      <c r="T65" s="871"/>
      <c r="U65" s="871"/>
      <c r="V65" s="871"/>
      <c r="W65" s="871"/>
      <c r="X65" s="871"/>
      <c r="Y65" s="871"/>
      <c r="Z65" s="2485" t="str">
        <f>'B1'!$M$28</f>
        <v>Tidak Terinformasi</v>
      </c>
      <c r="AA65" s="2486"/>
      <c r="AB65" s="2486"/>
      <c r="AC65" s="2486"/>
      <c r="AD65" s="2487"/>
      <c r="AE65" s="964" t="str">
        <f>'B1'!O28</f>
        <v>(Tidak terinformasi)</v>
      </c>
      <c r="AH65" s="872"/>
    </row>
    <row r="66" spans="3:51" s="340" customFormat="1" ht="18.75" customHeight="1">
      <c r="C66" s="2474"/>
      <c r="D66" s="2474"/>
      <c r="E66" s="2474"/>
      <c r="F66" s="2475"/>
      <c r="G66" s="2469" t="s">
        <v>2319</v>
      </c>
      <c r="H66" s="2470"/>
      <c r="I66" s="2470"/>
      <c r="J66" s="2470"/>
      <c r="K66" s="2470"/>
      <c r="L66" s="2470"/>
      <c r="M66" s="2470"/>
      <c r="N66" s="2470"/>
      <c r="O66" s="2470"/>
      <c r="P66" s="2470"/>
      <c r="Q66" s="2470"/>
      <c r="R66" s="2470"/>
      <c r="S66" s="2471"/>
      <c r="T66" s="871"/>
      <c r="U66" s="871"/>
      <c r="V66" s="871"/>
      <c r="W66" s="871"/>
      <c r="X66" s="871"/>
      <c r="Y66" s="871"/>
      <c r="Z66" s="1913">
        <f>'B1'!AJ19</f>
        <v>249</v>
      </c>
      <c r="AA66" s="1914"/>
      <c r="AB66" s="1914"/>
      <c r="AC66" s="1914"/>
      <c r="AD66" s="2468"/>
    </row>
    <row r="67" spans="3:51" s="340" customFormat="1" ht="18.75" customHeight="1">
      <c r="C67" s="2474"/>
      <c r="D67" s="2474"/>
      <c r="E67" s="2474"/>
      <c r="F67" s="2475"/>
      <c r="G67" s="2469" t="s">
        <v>2320</v>
      </c>
      <c r="H67" s="2470"/>
      <c r="I67" s="2470"/>
      <c r="J67" s="2470"/>
      <c r="K67" s="2470"/>
      <c r="L67" s="2470"/>
      <c r="M67" s="2470"/>
      <c r="N67" s="2470"/>
      <c r="O67" s="2470"/>
      <c r="P67" s="2470"/>
      <c r="Q67" s="2470"/>
      <c r="R67" s="2470"/>
      <c r="S67" s="2471"/>
      <c r="T67" s="871"/>
      <c r="U67" s="871"/>
      <c r="V67" s="871"/>
      <c r="W67" s="871"/>
      <c r="X67" s="871"/>
      <c r="Y67" s="871"/>
      <c r="Z67" s="1913">
        <f>'B1'!AP19</f>
        <v>0</v>
      </c>
      <c r="AA67" s="1914"/>
      <c r="AB67" s="1914"/>
      <c r="AC67" s="1914"/>
      <c r="AD67" s="2468"/>
    </row>
    <row r="68" spans="3:51" s="340" customFormat="1" ht="18.75" customHeight="1">
      <c r="C68" s="2474"/>
      <c r="D68" s="2474"/>
      <c r="E68" s="2474"/>
      <c r="F68" s="2475"/>
      <c r="G68" s="2469" t="s">
        <v>1796</v>
      </c>
      <c r="H68" s="2470"/>
      <c r="I68" s="2470"/>
      <c r="J68" s="2470"/>
      <c r="K68" s="2470"/>
      <c r="L68" s="2470"/>
      <c r="M68" s="2470"/>
      <c r="N68" s="2470"/>
      <c r="O68" s="2470"/>
      <c r="P68" s="2470"/>
      <c r="Q68" s="2470"/>
      <c r="R68" s="2470"/>
      <c r="S68" s="2471"/>
      <c r="T68" s="871"/>
      <c r="U68" s="871"/>
      <c r="V68" s="871"/>
      <c r="W68" s="871"/>
      <c r="X68" s="871"/>
      <c r="Y68" s="871"/>
      <c r="Z68" s="1913">
        <f>'B1'!$AI$30</f>
        <v>0</v>
      </c>
      <c r="AA68" s="1914"/>
      <c r="AB68" s="1914"/>
      <c r="AC68" s="1914"/>
      <c r="AD68" s="2468"/>
    </row>
    <row r="69" spans="3:51" s="340" customFormat="1" ht="18.75" customHeight="1">
      <c r="C69" s="2474"/>
      <c r="D69" s="2474"/>
      <c r="E69" s="2474"/>
      <c r="F69" s="2475"/>
      <c r="G69" s="2469" t="s">
        <v>1798</v>
      </c>
      <c r="H69" s="2470"/>
      <c r="I69" s="2470"/>
      <c r="J69" s="2470"/>
      <c r="K69" s="2470"/>
      <c r="L69" s="2470"/>
      <c r="M69" s="2470"/>
      <c r="N69" s="2470"/>
      <c r="O69" s="2470"/>
      <c r="P69" s="2470"/>
      <c r="Q69" s="2470"/>
      <c r="R69" s="2470"/>
      <c r="S69" s="2471"/>
      <c r="T69" s="871"/>
      <c r="U69" s="871"/>
      <c r="V69" s="871"/>
      <c r="W69" s="871"/>
      <c r="X69" s="871"/>
      <c r="Y69" s="871"/>
      <c r="Z69" s="1913">
        <f>'B1'!$AI$31</f>
        <v>0</v>
      </c>
      <c r="AA69" s="1914"/>
      <c r="AB69" s="1914"/>
      <c r="AC69" s="1914"/>
      <c r="AD69" s="2468"/>
    </row>
    <row r="70" spans="3:51" s="340" customFormat="1" ht="24.75" customHeight="1">
      <c r="C70" s="2474"/>
      <c r="D70" s="2474"/>
      <c r="E70" s="2474"/>
      <c r="F70" s="2475"/>
      <c r="G70" s="2492" t="s">
        <v>2399</v>
      </c>
      <c r="H70" s="2493"/>
      <c r="I70" s="2493"/>
      <c r="J70" s="2493"/>
      <c r="K70" s="2493"/>
      <c r="L70" s="2493"/>
      <c r="M70" s="2493"/>
      <c r="N70" s="2493"/>
      <c r="O70" s="2493"/>
      <c r="P70" s="2493"/>
      <c r="Q70" s="2493"/>
      <c r="R70" s="2493"/>
      <c r="S70" s="2493"/>
      <c r="T70" s="2493"/>
      <c r="U70" s="2493"/>
      <c r="V70" s="2493"/>
      <c r="W70" s="2493"/>
      <c r="X70" s="2493"/>
      <c r="Y70" s="2494"/>
      <c r="Z70" s="2495">
        <f>'B1'!AI32</f>
        <v>249</v>
      </c>
      <c r="AA70" s="2496"/>
      <c r="AB70" s="2496"/>
      <c r="AC70" s="2496"/>
      <c r="AD70" s="2497"/>
    </row>
    <row r="71" spans="3:51" s="340" customFormat="1" ht="20.100000000000001" customHeight="1">
      <c r="C71" s="874" t="s">
        <v>2333</v>
      </c>
    </row>
    <row r="72" spans="3:51" s="349" customFormat="1" ht="35.1" customHeight="1">
      <c r="C72" s="2466" t="s">
        <v>1987</v>
      </c>
      <c r="D72" s="2467"/>
      <c r="E72" s="2467"/>
      <c r="F72" s="2467"/>
      <c r="G72" s="2467"/>
      <c r="H72" s="2467"/>
      <c r="I72" s="2467" t="s">
        <v>1988</v>
      </c>
      <c r="J72" s="2467"/>
      <c r="K72" s="2467"/>
      <c r="L72" s="2467"/>
      <c r="M72" s="2467"/>
      <c r="N72" s="2462" t="s">
        <v>1989</v>
      </c>
      <c r="O72" s="2462"/>
      <c r="P72" s="2462"/>
      <c r="Q72" s="2462"/>
      <c r="R72" s="2462"/>
      <c r="S72" s="2462"/>
      <c r="T72" s="2462"/>
      <c r="U72" s="2467" t="s">
        <v>2334</v>
      </c>
      <c r="V72" s="2467"/>
      <c r="W72" s="2467"/>
      <c r="X72" s="2467"/>
      <c r="Y72" s="2467"/>
      <c r="Z72" s="2467"/>
      <c r="AA72" s="2467" t="s">
        <v>2325</v>
      </c>
      <c r="AB72" s="2467"/>
      <c r="AC72" s="2467"/>
      <c r="AD72" s="2467"/>
      <c r="AE72" s="2461" t="s">
        <v>2326</v>
      </c>
      <c r="AF72" s="2461"/>
      <c r="AG72" s="2461"/>
      <c r="AH72" s="2461"/>
      <c r="AI72" s="2462" t="s">
        <v>2327</v>
      </c>
      <c r="AJ72" s="2462"/>
      <c r="AK72" s="2462"/>
      <c r="AL72" s="2462"/>
      <c r="AM72" s="2462"/>
      <c r="AN72" s="2463"/>
    </row>
    <row r="73" spans="3:51" s="349" customFormat="1" ht="39.950000000000003" customHeight="1">
      <c r="C73" s="2464">
        <f ca="1">I73*Z70</f>
        <v>620010000</v>
      </c>
      <c r="D73" s="2464"/>
      <c r="E73" s="2464"/>
      <c r="F73" s="2464"/>
      <c r="G73" s="2464"/>
      <c r="H73" s="2464"/>
      <c r="I73" s="2464">
        <f ca="1">BTB!CA91</f>
        <v>2490000</v>
      </c>
      <c r="J73" s="2464"/>
      <c r="K73" s="2464"/>
      <c r="L73" s="2464"/>
      <c r="M73" s="2464"/>
      <c r="N73" s="2464">
        <f ca="1">U73*Z70</f>
        <v>248003999.99999994</v>
      </c>
      <c r="O73" s="2464"/>
      <c r="P73" s="2464"/>
      <c r="Q73" s="2464"/>
      <c r="R73" s="2464"/>
      <c r="S73" s="2464"/>
      <c r="T73" s="2464"/>
      <c r="U73" s="2464">
        <f ca="1">BTB!CA93</f>
        <v>995999.99999999977</v>
      </c>
      <c r="V73" s="2464"/>
      <c r="W73" s="2464"/>
      <c r="X73" s="2464"/>
      <c r="Y73" s="2464"/>
      <c r="Z73" s="2464"/>
      <c r="AA73" s="2465">
        <f>BTB!AE93</f>
        <v>0.60000000000000009</v>
      </c>
      <c r="AB73" s="2465"/>
      <c r="AC73" s="2465"/>
      <c r="AD73" s="2465"/>
      <c r="AE73" s="2465">
        <f>BTB!AN91</f>
        <v>0.39999999999999991</v>
      </c>
      <c r="AF73" s="2465"/>
      <c r="AG73" s="2465"/>
      <c r="AH73" s="2465"/>
      <c r="AI73" s="2464" t="str">
        <f>BTB!AU91</f>
        <v>Kurang</v>
      </c>
      <c r="AJ73" s="2464"/>
      <c r="AK73" s="2464"/>
      <c r="AL73" s="2464"/>
      <c r="AM73" s="2464"/>
      <c r="AN73" s="2464"/>
    </row>
    <row r="74" spans="3:51" s="349" customFormat="1" ht="20.100000000000001" customHeight="1">
      <c r="C74" s="308"/>
      <c r="D74" s="308"/>
      <c r="E74" s="308"/>
      <c r="F74" s="308"/>
      <c r="G74" s="308"/>
      <c r="H74" s="308"/>
      <c r="I74" s="308"/>
      <c r="J74" s="308"/>
      <c r="K74" s="308"/>
      <c r="L74" s="308"/>
      <c r="M74" s="308"/>
      <c r="N74" s="308"/>
      <c r="O74" s="308"/>
      <c r="P74" s="308"/>
      <c r="Q74" s="308"/>
      <c r="R74" s="308"/>
      <c r="S74" s="308"/>
      <c r="T74" s="308"/>
      <c r="U74" s="308"/>
      <c r="V74" s="308"/>
      <c r="W74" s="308"/>
      <c r="X74" s="308"/>
      <c r="Y74" s="308"/>
      <c r="Z74" s="308"/>
      <c r="AA74" s="308"/>
      <c r="AB74" s="308"/>
      <c r="AC74" s="308"/>
      <c r="AD74" s="308"/>
      <c r="AE74" s="308"/>
      <c r="AF74" s="308"/>
      <c r="AG74" s="308"/>
      <c r="AH74" s="308"/>
      <c r="AI74" s="308"/>
      <c r="AJ74" s="308"/>
      <c r="AK74" s="308"/>
      <c r="AL74" s="308"/>
      <c r="AM74" s="308"/>
      <c r="AN74" s="308"/>
    </row>
    <row r="75" spans="3:51" s="349" customFormat="1" ht="20.100000000000001" customHeight="1">
      <c r="C75" s="308"/>
      <c r="D75" s="308"/>
      <c r="E75" s="308"/>
      <c r="F75" s="308"/>
      <c r="G75" s="308"/>
      <c r="H75" s="308"/>
      <c r="I75" s="308"/>
      <c r="J75" s="308"/>
      <c r="K75" s="308"/>
      <c r="L75" s="308"/>
      <c r="M75" s="308"/>
      <c r="N75" s="308"/>
      <c r="O75" s="308"/>
      <c r="P75" s="308"/>
      <c r="Q75" s="308"/>
      <c r="R75" s="308"/>
      <c r="S75" s="308"/>
      <c r="T75" s="308"/>
      <c r="U75" s="308"/>
      <c r="V75" s="308"/>
      <c r="W75" s="308"/>
      <c r="X75" s="308"/>
      <c r="Y75" s="308"/>
      <c r="Z75" s="308"/>
      <c r="AA75" s="308"/>
      <c r="AB75" s="308"/>
      <c r="AC75" s="308"/>
      <c r="AD75" s="308"/>
      <c r="AE75" s="308"/>
      <c r="AF75" s="308"/>
      <c r="AG75" s="308"/>
      <c r="AH75" s="308"/>
      <c r="AI75" s="308"/>
      <c r="AJ75" s="308"/>
      <c r="AK75" s="308"/>
      <c r="AL75" s="308"/>
      <c r="AM75" s="308"/>
      <c r="AN75" s="308"/>
    </row>
    <row r="76" spans="3:51" s="877" customFormat="1" ht="20.100000000000001" customHeight="1">
      <c r="C76" s="2155" t="s">
        <v>2335</v>
      </c>
      <c r="D76" s="2156"/>
      <c r="E76" s="2156"/>
      <c r="F76" s="2156"/>
      <c r="G76" s="2156"/>
      <c r="H76" s="2156"/>
      <c r="I76" s="2156"/>
      <c r="J76" s="2156"/>
      <c r="K76" s="2156"/>
      <c r="L76" s="2156"/>
      <c r="M76" s="2156"/>
      <c r="N76" s="2156"/>
      <c r="O76" s="2156"/>
      <c r="P76" s="2156"/>
      <c r="Q76" s="2156"/>
      <c r="R76" s="2156"/>
      <c r="S76" s="2156"/>
      <c r="T76" s="2156"/>
      <c r="U76" s="2156"/>
      <c r="V76" s="2156"/>
      <c r="W76" s="2156"/>
      <c r="X76" s="2156"/>
      <c r="Y76" s="2156"/>
      <c r="Z76" s="2156"/>
      <c r="AA76" s="2156"/>
      <c r="AB76" s="2156"/>
      <c r="AC76" s="2156"/>
      <c r="AD76" s="2156"/>
      <c r="AE76" s="2156"/>
      <c r="AF76" s="2156"/>
      <c r="AG76" s="2156"/>
      <c r="AH76" s="2156"/>
      <c r="AI76" s="2156"/>
      <c r="AJ76" s="2156"/>
      <c r="AK76" s="2156"/>
      <c r="AL76" s="2156"/>
      <c r="AM76" s="2156"/>
      <c r="AN76" s="2157"/>
      <c r="AO76" s="876"/>
      <c r="AP76" s="876"/>
      <c r="AQ76" s="876"/>
      <c r="AR76" s="876"/>
      <c r="AS76" s="301"/>
      <c r="AT76" s="301"/>
      <c r="AU76" s="301"/>
      <c r="AV76" s="301"/>
      <c r="AW76" s="301"/>
      <c r="AX76" s="301"/>
      <c r="AY76" s="377"/>
    </row>
    <row r="77" spans="3:51" s="881" customFormat="1" ht="50.1" customHeight="1">
      <c r="C77" s="2455" t="s">
        <v>1991</v>
      </c>
      <c r="D77" s="2456"/>
      <c r="E77" s="2456"/>
      <c r="F77" s="2456"/>
      <c r="G77" s="2456"/>
      <c r="H77" s="2456"/>
      <c r="I77" s="2456"/>
      <c r="J77" s="2456"/>
      <c r="K77" s="2456"/>
      <c r="L77" s="2456"/>
      <c r="M77" s="2456"/>
      <c r="N77" s="2456"/>
      <c r="O77" s="2456"/>
      <c r="P77" s="2456"/>
      <c r="Q77" s="2456"/>
      <c r="R77" s="2456"/>
      <c r="S77" s="2456"/>
      <c r="T77" s="2456"/>
      <c r="U77" s="2456"/>
      <c r="V77" s="2456"/>
      <c r="W77" s="2456" t="s">
        <v>2329</v>
      </c>
      <c r="X77" s="2456"/>
      <c r="Y77" s="2456"/>
      <c r="Z77" s="2457" t="s">
        <v>2330</v>
      </c>
      <c r="AA77" s="2458"/>
      <c r="AB77" s="2458"/>
      <c r="AC77" s="2458"/>
      <c r="AD77" s="2459"/>
      <c r="AE77" s="2457" t="s">
        <v>2331</v>
      </c>
      <c r="AF77" s="2458"/>
      <c r="AG77" s="2458"/>
      <c r="AH77" s="2458"/>
      <c r="AI77" s="2459"/>
      <c r="AJ77" s="2457" t="s">
        <v>2332</v>
      </c>
      <c r="AK77" s="2458"/>
      <c r="AL77" s="2458"/>
      <c r="AM77" s="2458"/>
      <c r="AN77" s="2460"/>
      <c r="AO77" s="878"/>
      <c r="AP77" s="878"/>
      <c r="AQ77" s="878"/>
      <c r="AR77" s="878"/>
      <c r="AS77" s="879"/>
      <c r="AT77" s="879"/>
      <c r="AU77" s="879"/>
      <c r="AV77" s="879"/>
      <c r="AW77" s="879"/>
      <c r="AX77" s="879"/>
      <c r="AY77" s="880"/>
    </row>
    <row r="78" spans="3:51" s="304" customFormat="1" ht="24.95" customHeight="1">
      <c r="C78" s="460" t="s">
        <v>1770</v>
      </c>
      <c r="D78" s="882" t="e">
        <f>CONCATENATE(AP78," ",W78," VA")</f>
        <v>#REF!</v>
      </c>
      <c r="E78" s="882"/>
      <c r="F78" s="882"/>
      <c r="G78" s="882"/>
      <c r="H78" s="882"/>
      <c r="I78" s="882"/>
      <c r="J78" s="882"/>
      <c r="K78" s="882"/>
      <c r="L78" s="882"/>
      <c r="M78" s="882"/>
      <c r="N78" s="882"/>
      <c r="O78" s="882"/>
      <c r="P78" s="882"/>
      <c r="Q78" s="882"/>
      <c r="R78" s="882"/>
      <c r="S78" s="882"/>
      <c r="T78" s="882"/>
      <c r="U78" s="882"/>
      <c r="V78" s="883"/>
      <c r="W78" s="2448" t="e">
        <f>BCT!#REF!</f>
        <v>#REF!</v>
      </c>
      <c r="X78" s="2448"/>
      <c r="Y78" s="2448"/>
      <c r="Z78" s="2449" t="e">
        <f>BCT!#REF!</f>
        <v>#REF!</v>
      </c>
      <c r="AA78" s="2449"/>
      <c r="AB78" s="2449"/>
      <c r="AC78" s="2449"/>
      <c r="AD78" s="2449"/>
      <c r="AE78" s="2449" t="e">
        <f>BCT!#REF!</f>
        <v>#REF!</v>
      </c>
      <c r="AF78" s="2449"/>
      <c r="AG78" s="2449"/>
      <c r="AH78" s="2449"/>
      <c r="AI78" s="2449"/>
      <c r="AJ78" s="2449" t="e">
        <f>BCT!#REF!</f>
        <v>#REF!</v>
      </c>
      <c r="AK78" s="2449"/>
      <c r="AL78" s="2449"/>
      <c r="AM78" s="2449"/>
      <c r="AN78" s="2449"/>
      <c r="AO78" s="884"/>
      <c r="AP78" s="885" t="e">
        <f>BCT!#REF!</f>
        <v>#REF!</v>
      </c>
      <c r="AQ78" s="884"/>
      <c r="AR78" s="884"/>
    </row>
    <row r="79" spans="3:51" s="304" customFormat="1" ht="24.95" customHeight="1">
      <c r="C79" s="460" t="s">
        <v>1770</v>
      </c>
      <c r="D79" s="882" t="str">
        <f>CONCATENATE(AP79," ",W79," saluran")</f>
        <v>Penyambungan telepon sebanyak 0 saluran</v>
      </c>
      <c r="E79" s="882"/>
      <c r="F79" s="882"/>
      <c r="G79" s="882"/>
      <c r="H79" s="882"/>
      <c r="I79" s="882"/>
      <c r="J79" s="882"/>
      <c r="K79" s="882"/>
      <c r="L79" s="882"/>
      <c r="M79" s="882"/>
      <c r="N79" s="882"/>
      <c r="O79" s="882"/>
      <c r="P79" s="882"/>
      <c r="Q79" s="882"/>
      <c r="R79" s="882"/>
      <c r="S79" s="882"/>
      <c r="T79" s="882"/>
      <c r="U79" s="882"/>
      <c r="V79" s="883"/>
      <c r="W79" s="2448">
        <f>BCT!AB7</f>
        <v>0</v>
      </c>
      <c r="X79" s="2448"/>
      <c r="Y79" s="2448"/>
      <c r="Z79" s="2449">
        <f>BCT!AI7</f>
        <v>0</v>
      </c>
      <c r="AA79" s="2449"/>
      <c r="AB79" s="2449"/>
      <c r="AC79" s="2449"/>
      <c r="AD79" s="2449"/>
      <c r="AE79" s="2449">
        <f>BCT!AO7</f>
        <v>0</v>
      </c>
      <c r="AF79" s="2449"/>
      <c r="AG79" s="2449"/>
      <c r="AH79" s="2449"/>
      <c r="AI79" s="2449"/>
      <c r="AJ79" s="2449">
        <f>BCT!AS7</f>
        <v>0</v>
      </c>
      <c r="AK79" s="2449"/>
      <c r="AL79" s="2449"/>
      <c r="AM79" s="2449"/>
      <c r="AN79" s="2449"/>
      <c r="AO79" s="884"/>
      <c r="AP79" s="885" t="str">
        <f>BCT!C7</f>
        <v>Penyambungan telepon sebanyak</v>
      </c>
      <c r="AQ79" s="884"/>
      <c r="AR79" s="884"/>
    </row>
    <row r="80" spans="3:51" s="304" customFormat="1" ht="24.95" customHeight="1">
      <c r="C80" s="460" t="s">
        <v>1770</v>
      </c>
      <c r="D80" s="882" t="str">
        <f>CONCATENATE(AP80," berjumlah ",W80," unit ",BCT!Q8)</f>
        <v>Biaya unit indoor &amp; outdoor AC berjumlah 0 unit - - - - - - - - - -</v>
      </c>
      <c r="E80" s="882"/>
      <c r="F80" s="882"/>
      <c r="G80" s="882"/>
      <c r="H80" s="882"/>
      <c r="I80" s="882"/>
      <c r="J80" s="882"/>
      <c r="K80" s="882"/>
      <c r="L80" s="882"/>
      <c r="M80" s="882"/>
      <c r="N80" s="882"/>
      <c r="O80" s="882"/>
      <c r="P80" s="882"/>
      <c r="Q80" s="882"/>
      <c r="R80" s="882"/>
      <c r="S80" s="882"/>
      <c r="T80" s="882"/>
      <c r="U80" s="882"/>
      <c r="V80" s="883"/>
      <c r="W80" s="2448">
        <f>BCT!AB8</f>
        <v>0</v>
      </c>
      <c r="X80" s="2448"/>
      <c r="Y80" s="2448"/>
      <c r="Z80" s="2449">
        <f>BCT!AI8</f>
        <v>0</v>
      </c>
      <c r="AA80" s="2449"/>
      <c r="AB80" s="2449"/>
      <c r="AC80" s="2449"/>
      <c r="AD80" s="2449"/>
      <c r="AE80" s="2449">
        <f>BCT!AO8</f>
        <v>0</v>
      </c>
      <c r="AF80" s="2449"/>
      <c r="AG80" s="2449"/>
      <c r="AH80" s="2449"/>
      <c r="AI80" s="2449"/>
      <c r="AJ80" s="2449">
        <f>BCT!AS8</f>
        <v>0</v>
      </c>
      <c r="AK80" s="2449"/>
      <c r="AL80" s="2449"/>
      <c r="AM80" s="2449"/>
      <c r="AN80" s="2449"/>
      <c r="AO80" s="884"/>
      <c r="AP80" s="885" t="str">
        <f>BCT!C8</f>
        <v>Biaya unit indoor &amp; outdoor AC</v>
      </c>
      <c r="AQ80" s="884"/>
      <c r="AR80" s="884"/>
    </row>
    <row r="81" spans="3:44" s="304" customFormat="1" ht="24.95" customHeight="1">
      <c r="C81" s="460" t="s">
        <v>1770</v>
      </c>
      <c r="D81" s="882" t="e">
        <f>CONCATENATE(AP81," berjumlah ",W81," unit")</f>
        <v>#REF!</v>
      </c>
      <c r="E81" s="882"/>
      <c r="F81" s="882"/>
      <c r="G81" s="882"/>
      <c r="H81" s="882"/>
      <c r="I81" s="882"/>
      <c r="J81" s="882"/>
      <c r="K81" s="882"/>
      <c r="L81" s="882"/>
      <c r="M81" s="882"/>
      <c r="N81" s="882"/>
      <c r="O81" s="882"/>
      <c r="P81" s="882"/>
      <c r="Q81" s="882"/>
      <c r="R81" s="882"/>
      <c r="S81" s="882"/>
      <c r="T81" s="882"/>
      <c r="U81" s="882"/>
      <c r="V81" s="883"/>
      <c r="W81" s="2448" t="e">
        <f>BCT!#REF!</f>
        <v>#REF!</v>
      </c>
      <c r="X81" s="2448"/>
      <c r="Y81" s="2448"/>
      <c r="Z81" s="2449" t="e">
        <f>BCT!#REF!</f>
        <v>#REF!</v>
      </c>
      <c r="AA81" s="2449"/>
      <c r="AB81" s="2449"/>
      <c r="AC81" s="2449"/>
      <c r="AD81" s="2449"/>
      <c r="AE81" s="2449" t="e">
        <f>BCT!#REF!</f>
        <v>#REF!</v>
      </c>
      <c r="AF81" s="2449"/>
      <c r="AG81" s="2449"/>
      <c r="AH81" s="2449"/>
      <c r="AI81" s="2449"/>
      <c r="AJ81" s="2449" t="e">
        <f>BCT!#REF!</f>
        <v>#REF!</v>
      </c>
      <c r="AK81" s="2449"/>
      <c r="AL81" s="2449"/>
      <c r="AM81" s="2449"/>
      <c r="AN81" s="2449"/>
      <c r="AO81" s="884"/>
      <c r="AP81" s="885" t="e">
        <f>BCT!#REF!</f>
        <v>#REF!</v>
      </c>
      <c r="AQ81" s="884"/>
      <c r="AR81" s="884"/>
    </row>
    <row r="82" spans="3:44" s="304" customFormat="1" ht="24.95" customHeight="1">
      <c r="C82" s="460" t="s">
        <v>1770</v>
      </c>
      <c r="D82" s="882" t="e">
        <f>CONCATENATE(AP82," berjumlah ",W82," unit")</f>
        <v>#REF!</v>
      </c>
      <c r="E82" s="882"/>
      <c r="F82" s="882"/>
      <c r="G82" s="882"/>
      <c r="H82" s="882"/>
      <c r="I82" s="882"/>
      <c r="J82" s="882"/>
      <c r="K82" s="882"/>
      <c r="L82" s="882"/>
      <c r="M82" s="882"/>
      <c r="N82" s="882"/>
      <c r="O82" s="882"/>
      <c r="P82" s="882"/>
      <c r="Q82" s="882"/>
      <c r="R82" s="882"/>
      <c r="S82" s="882"/>
      <c r="T82" s="882"/>
      <c r="U82" s="882"/>
      <c r="V82" s="883"/>
      <c r="W82" s="2448" t="e">
        <f>BCT!#REF!</f>
        <v>#REF!</v>
      </c>
      <c r="X82" s="2448"/>
      <c r="Y82" s="2448"/>
      <c r="Z82" s="2449" t="e">
        <f>BCT!#REF!</f>
        <v>#REF!</v>
      </c>
      <c r="AA82" s="2449"/>
      <c r="AB82" s="2449"/>
      <c r="AC82" s="2449"/>
      <c r="AD82" s="2449"/>
      <c r="AE82" s="2449" t="e">
        <f>BCT!#REF!</f>
        <v>#REF!</v>
      </c>
      <c r="AF82" s="2449"/>
      <c r="AG82" s="2449"/>
      <c r="AH82" s="2449"/>
      <c r="AI82" s="2449"/>
      <c r="AJ82" s="2449" t="e">
        <f>BCT!#REF!</f>
        <v>#REF!</v>
      </c>
      <c r="AK82" s="2449"/>
      <c r="AL82" s="2449"/>
      <c r="AM82" s="2449"/>
      <c r="AN82" s="2449"/>
      <c r="AO82" s="884"/>
      <c r="AP82" s="885" t="e">
        <f>BCT!#REF!</f>
        <v>#REF!</v>
      </c>
      <c r="AQ82" s="884"/>
      <c r="AR82" s="884"/>
    </row>
    <row r="83" spans="3:44" s="304" customFormat="1" ht="24.95" customHeight="1">
      <c r="C83" s="460" t="s">
        <v>1770</v>
      </c>
      <c r="D83" s="882" t="str">
        <f>CONCATENATE(AP83," berjumlah ",W83," unit")</f>
        <v>Pembuatan sumur dalam / artesis berjumlah 0 unit</v>
      </c>
      <c r="E83" s="882"/>
      <c r="F83" s="882"/>
      <c r="G83" s="882"/>
      <c r="H83" s="882"/>
      <c r="I83" s="882"/>
      <c r="J83" s="882"/>
      <c r="K83" s="882"/>
      <c r="L83" s="882"/>
      <c r="M83" s="882"/>
      <c r="N83" s="882"/>
      <c r="O83" s="882"/>
      <c r="P83" s="882"/>
      <c r="Q83" s="882"/>
      <c r="R83" s="882"/>
      <c r="S83" s="882"/>
      <c r="T83" s="882"/>
      <c r="U83" s="882"/>
      <c r="V83" s="883"/>
      <c r="W83" s="2448">
        <f>BCT!AB9</f>
        <v>0</v>
      </c>
      <c r="X83" s="2448"/>
      <c r="Y83" s="2448"/>
      <c r="Z83" s="2449">
        <f>BCT!AI9</f>
        <v>0</v>
      </c>
      <c r="AA83" s="2449"/>
      <c r="AB83" s="2449"/>
      <c r="AC83" s="2449"/>
      <c r="AD83" s="2449"/>
      <c r="AE83" s="2449">
        <f>BCT!AO9</f>
        <v>0</v>
      </c>
      <c r="AF83" s="2449"/>
      <c r="AG83" s="2449"/>
      <c r="AH83" s="2449"/>
      <c r="AI83" s="2449"/>
      <c r="AJ83" s="2449">
        <f>BCT!AS9</f>
        <v>0</v>
      </c>
      <c r="AK83" s="2449"/>
      <c r="AL83" s="2449"/>
      <c r="AM83" s="2449"/>
      <c r="AN83" s="2449"/>
      <c r="AO83" s="884"/>
      <c r="AP83" s="885" t="str">
        <f>BCT!C9</f>
        <v>Pembuatan sumur dalam / artesis</v>
      </c>
      <c r="AQ83" s="884"/>
      <c r="AR83" s="884"/>
    </row>
    <row r="84" spans="3:44" s="304" customFormat="1" ht="24.95" customHeight="1">
      <c r="C84" s="460" t="s">
        <v>1770</v>
      </c>
      <c r="D84" s="882" t="str">
        <f>CONCATENATE(AP84," ± ",W84," m²")</f>
        <v>Perkerasan &amp; Canopy Carport ± 0 m²</v>
      </c>
      <c r="E84" s="882"/>
      <c r="F84" s="882"/>
      <c r="G84" s="882"/>
      <c r="H84" s="882"/>
      <c r="I84" s="882"/>
      <c r="J84" s="882"/>
      <c r="K84" s="882"/>
      <c r="L84" s="882"/>
      <c r="M84" s="882"/>
      <c r="N84" s="882"/>
      <c r="O84" s="882"/>
      <c r="P84" s="882"/>
      <c r="Q84" s="882"/>
      <c r="R84" s="882"/>
      <c r="S84" s="882"/>
      <c r="T84" s="882"/>
      <c r="U84" s="882"/>
      <c r="V84" s="883"/>
      <c r="W84" s="2448">
        <f>BCT!AB10</f>
        <v>0</v>
      </c>
      <c r="X84" s="2448"/>
      <c r="Y84" s="2448"/>
      <c r="Z84" s="2449">
        <f>BCT!AI10</f>
        <v>0</v>
      </c>
      <c r="AA84" s="2449"/>
      <c r="AB84" s="2449"/>
      <c r="AC84" s="2449"/>
      <c r="AD84" s="2449"/>
      <c r="AE84" s="2449">
        <f>BCT!AO10</f>
        <v>0</v>
      </c>
      <c r="AF84" s="2449"/>
      <c r="AG84" s="2449"/>
      <c r="AH84" s="2449"/>
      <c r="AI84" s="2449"/>
      <c r="AJ84" s="2449">
        <f>BCT!AS10</f>
        <v>0</v>
      </c>
      <c r="AK84" s="2449"/>
      <c r="AL84" s="2449"/>
      <c r="AM84" s="2449"/>
      <c r="AN84" s="2449"/>
      <c r="AO84" s="884"/>
      <c r="AP84" s="885" t="str">
        <f>BCT!C10</f>
        <v>Perkerasan &amp; Canopy Carport</v>
      </c>
      <c r="AQ84" s="884"/>
      <c r="AR84" s="884"/>
    </row>
    <row r="85" spans="3:44" s="304" customFormat="1" ht="24.95" customHeight="1">
      <c r="C85" s="887" t="s">
        <v>1770</v>
      </c>
      <c r="D85" s="888" t="str">
        <f>CONCATENATE(AP85," ± ",W85," m²")</f>
        <v>Pembuatan Gazebo ± 0 m²</v>
      </c>
      <c r="E85" s="888"/>
      <c r="F85" s="888"/>
      <c r="G85" s="888"/>
      <c r="H85" s="888"/>
      <c r="I85" s="888"/>
      <c r="J85" s="888"/>
      <c r="K85" s="888"/>
      <c r="L85" s="2450" t="s">
        <v>2336</v>
      </c>
      <c r="M85" s="2451"/>
      <c r="N85" s="2451"/>
      <c r="O85" s="2451"/>
      <c r="P85" s="2451"/>
      <c r="Q85" s="2451"/>
      <c r="R85" s="2451"/>
      <c r="S85" s="2451"/>
      <c r="T85" s="2451"/>
      <c r="U85" s="2451"/>
      <c r="V85" s="2452"/>
      <c r="W85" s="2448">
        <f>BCT!AB11</f>
        <v>0</v>
      </c>
      <c r="X85" s="2448"/>
      <c r="Y85" s="2448"/>
      <c r="Z85" s="2449">
        <f>BCT!AI11</f>
        <v>0</v>
      </c>
      <c r="AA85" s="2449"/>
      <c r="AB85" s="2449"/>
      <c r="AC85" s="2449"/>
      <c r="AD85" s="2449"/>
      <c r="AE85" s="2449">
        <f>BCT!AO11</f>
        <v>0</v>
      </c>
      <c r="AF85" s="2449"/>
      <c r="AG85" s="2449"/>
      <c r="AH85" s="2449"/>
      <c r="AI85" s="2449"/>
      <c r="AJ85" s="2449">
        <f>BCT!AS11</f>
        <v>0</v>
      </c>
      <c r="AK85" s="2449"/>
      <c r="AL85" s="2449"/>
      <c r="AM85" s="2449"/>
      <c r="AN85" s="2449"/>
      <c r="AO85" s="884"/>
      <c r="AP85" s="885" t="str">
        <f>BCT!C11</f>
        <v>Pembuatan Gazebo</v>
      </c>
      <c r="AQ85" s="884"/>
      <c r="AR85" s="884"/>
    </row>
    <row r="86" spans="3:44" s="304" customFormat="1" ht="24.95" customHeight="1">
      <c r="C86" s="460" t="s">
        <v>1770</v>
      </c>
      <c r="D86" s="882" t="str">
        <f>CONCATENATE(AP86," dgn ","panjang ± ",W86," m'"," &amp; tinggi ± ",BCT!X12," m")</f>
        <v>Pagar depan dgn panjang ± 0 m' &amp; tinggi ± 0 m</v>
      </c>
      <c r="E86" s="882"/>
      <c r="F86" s="882"/>
      <c r="G86" s="882"/>
      <c r="H86" s="882"/>
      <c r="I86" s="882"/>
      <c r="J86" s="882"/>
      <c r="K86" s="882"/>
      <c r="L86" s="882"/>
      <c r="M86" s="882"/>
      <c r="N86" s="882"/>
      <c r="O86" s="882"/>
      <c r="P86" s="882"/>
      <c r="Q86" s="882"/>
      <c r="R86" s="882"/>
      <c r="S86" s="882"/>
      <c r="T86" s="882"/>
      <c r="U86" s="882"/>
      <c r="V86" s="883"/>
      <c r="W86" s="2448">
        <f>BCT!AB12</f>
        <v>0</v>
      </c>
      <c r="X86" s="2448"/>
      <c r="Y86" s="2448"/>
      <c r="Z86" s="2449">
        <f>BCT!AI12</f>
        <v>0</v>
      </c>
      <c r="AA86" s="2449"/>
      <c r="AB86" s="2449"/>
      <c r="AC86" s="2449"/>
      <c r="AD86" s="2449"/>
      <c r="AE86" s="2449">
        <f>BCT!AO12</f>
        <v>0</v>
      </c>
      <c r="AF86" s="2449"/>
      <c r="AG86" s="2449"/>
      <c r="AH86" s="2449"/>
      <c r="AI86" s="2449"/>
      <c r="AJ86" s="2449">
        <f>BCT!AS12</f>
        <v>0</v>
      </c>
      <c r="AK86" s="2449"/>
      <c r="AL86" s="2449"/>
      <c r="AM86" s="2449"/>
      <c r="AN86" s="2449"/>
      <c r="AO86" s="884"/>
      <c r="AP86" s="885" t="str">
        <f>BCT!C12</f>
        <v>Pagar depan</v>
      </c>
      <c r="AQ86" s="884"/>
      <c r="AR86" s="884"/>
    </row>
    <row r="87" spans="3:44" s="304" customFormat="1" ht="24.95" customHeight="1">
      <c r="C87" s="460" t="s">
        <v>1770</v>
      </c>
      <c r="D87" s="882" t="str">
        <f>CONCATENATE(AP87," seluas"," ± ",W87," m²")</f>
        <v>Pembuatan taman &amp; halaman seluas ± 0 m²</v>
      </c>
      <c r="E87" s="882"/>
      <c r="F87" s="882"/>
      <c r="G87" s="882"/>
      <c r="H87" s="882"/>
      <c r="I87" s="882"/>
      <c r="J87" s="882"/>
      <c r="K87" s="882"/>
      <c r="L87" s="882"/>
      <c r="M87" s="882"/>
      <c r="N87" s="882"/>
      <c r="O87" s="882"/>
      <c r="P87" s="882"/>
      <c r="Q87" s="882"/>
      <c r="R87" s="882"/>
      <c r="S87" s="882"/>
      <c r="T87" s="882"/>
      <c r="U87" s="882"/>
      <c r="V87" s="883"/>
      <c r="W87" s="2448">
        <f>BCT!AB13</f>
        <v>0</v>
      </c>
      <c r="X87" s="2448"/>
      <c r="Y87" s="2448"/>
      <c r="Z87" s="2449">
        <f>BCT!AI13</f>
        <v>0</v>
      </c>
      <c r="AA87" s="2449"/>
      <c r="AB87" s="2449"/>
      <c r="AC87" s="2449"/>
      <c r="AD87" s="2449"/>
      <c r="AE87" s="2449">
        <f>BCT!AO13</f>
        <v>0</v>
      </c>
      <c r="AF87" s="2449"/>
      <c r="AG87" s="2449"/>
      <c r="AH87" s="2449"/>
      <c r="AI87" s="2449"/>
      <c r="AJ87" s="2449">
        <f>BCT!AS13</f>
        <v>0</v>
      </c>
      <c r="AK87" s="2449"/>
      <c r="AL87" s="2449"/>
      <c r="AM87" s="2449"/>
      <c r="AN87" s="2449"/>
      <c r="AO87" s="884"/>
      <c r="AP87" s="885" t="str">
        <f>BCT!C13</f>
        <v>Pembuatan taman &amp; halaman</v>
      </c>
      <c r="AQ87" s="884"/>
      <c r="AR87" s="884"/>
    </row>
    <row r="88" spans="3:44" s="304" customFormat="1" ht="18" customHeight="1">
      <c r="C88" s="460" t="s">
        <v>1770</v>
      </c>
      <c r="D88" s="882" t="str">
        <f>CONCATENATE(AP88," seluas"," ± ",W88," m²")</f>
        <v>pembuatam taman relief seluas ± 0 m²</v>
      </c>
      <c r="E88" s="882"/>
      <c r="F88" s="882"/>
      <c r="G88" s="882"/>
      <c r="H88" s="882"/>
      <c r="I88" s="882"/>
      <c r="J88" s="882"/>
      <c r="K88" s="882"/>
      <c r="L88" s="882"/>
      <c r="M88" s="882"/>
      <c r="N88" s="882"/>
      <c r="O88" s="882"/>
      <c r="P88" s="882"/>
      <c r="Q88" s="882"/>
      <c r="R88" s="882"/>
      <c r="S88" s="882"/>
      <c r="T88" s="882"/>
      <c r="U88" s="882"/>
      <c r="V88" s="883"/>
      <c r="W88" s="2448">
        <f>BCT!AB14</f>
        <v>0</v>
      </c>
      <c r="X88" s="2448"/>
      <c r="Y88" s="2448"/>
      <c r="Z88" s="2449">
        <f>BCT!AI14</f>
        <v>0</v>
      </c>
      <c r="AA88" s="2449"/>
      <c r="AB88" s="2449"/>
      <c r="AC88" s="2449"/>
      <c r="AD88" s="2449"/>
      <c r="AE88" s="2449">
        <f>BCT!AO14</f>
        <v>0</v>
      </c>
      <c r="AF88" s="2449"/>
      <c r="AG88" s="2449"/>
      <c r="AH88" s="2449"/>
      <c r="AI88" s="2449"/>
      <c r="AJ88" s="2449">
        <f>BCT!AS14</f>
        <v>0</v>
      </c>
      <c r="AK88" s="2449"/>
      <c r="AL88" s="2449"/>
      <c r="AM88" s="2449"/>
      <c r="AN88" s="2449"/>
      <c r="AO88" s="884"/>
      <c r="AP88" s="885" t="str">
        <f>BCT!C14</f>
        <v>pembuatam taman relief</v>
      </c>
      <c r="AQ88" s="884"/>
      <c r="AR88" s="884"/>
    </row>
    <row r="89" spans="3:44" s="304" customFormat="1" ht="18" customHeight="1">
      <c r="C89" s="460" t="s">
        <v>1770</v>
      </c>
      <c r="D89" s="882" t="str">
        <f>AP89</f>
        <v>Biaya unit pemanas air / water heater</v>
      </c>
      <c r="E89" s="882"/>
      <c r="F89" s="882"/>
      <c r="G89" s="882"/>
      <c r="H89" s="882"/>
      <c r="I89" s="882"/>
      <c r="J89" s="882"/>
      <c r="K89" s="882"/>
      <c r="L89" s="882"/>
      <c r="M89" s="882"/>
      <c r="N89" s="882"/>
      <c r="O89" s="882"/>
      <c r="P89" s="882"/>
      <c r="Q89" s="882"/>
      <c r="R89" s="882"/>
      <c r="S89" s="882"/>
      <c r="T89" s="882"/>
      <c r="U89" s="882"/>
      <c r="V89" s="883"/>
      <c r="W89" s="2448">
        <f>BCT!AB15</f>
        <v>0</v>
      </c>
      <c r="X89" s="2448"/>
      <c r="Y89" s="2448"/>
      <c r="Z89" s="2449">
        <f>BCT!AI15</f>
        <v>0</v>
      </c>
      <c r="AA89" s="2449"/>
      <c r="AB89" s="2449"/>
      <c r="AC89" s="2449"/>
      <c r="AD89" s="2449"/>
      <c r="AE89" s="2449">
        <f>BCT!AO15</f>
        <v>0</v>
      </c>
      <c r="AF89" s="2449"/>
      <c r="AG89" s="2449"/>
      <c r="AH89" s="2449"/>
      <c r="AI89" s="2449"/>
      <c r="AJ89" s="2449">
        <f>BCT!AS15</f>
        <v>0</v>
      </c>
      <c r="AK89" s="2449"/>
      <c r="AL89" s="2449"/>
      <c r="AM89" s="2449"/>
      <c r="AN89" s="2449"/>
      <c r="AO89" s="884"/>
      <c r="AP89" s="885" t="str">
        <f>BCT!C15</f>
        <v>Biaya unit pemanas air / water heater</v>
      </c>
      <c r="AQ89" s="884"/>
      <c r="AR89" s="884"/>
    </row>
    <row r="90" spans="3:44" s="304" customFormat="1" ht="18" customHeight="1">
      <c r="C90" s="460" t="s">
        <v>1770</v>
      </c>
      <c r="D90" s="882" t="str">
        <f>AP90</f>
        <v>Biaya unit penangkal petir</v>
      </c>
      <c r="E90" s="882"/>
      <c r="F90" s="882"/>
      <c r="G90" s="882"/>
      <c r="H90" s="882"/>
      <c r="I90" s="882"/>
      <c r="J90" s="882"/>
      <c r="K90" s="882"/>
      <c r="L90" s="882"/>
      <c r="M90" s="882"/>
      <c r="N90" s="882"/>
      <c r="O90" s="882"/>
      <c r="P90" s="882"/>
      <c r="Q90" s="882"/>
      <c r="R90" s="882"/>
      <c r="S90" s="882"/>
      <c r="T90" s="882"/>
      <c r="U90" s="882"/>
      <c r="V90" s="883"/>
      <c r="W90" s="2448">
        <f>BCT!AB16</f>
        <v>0</v>
      </c>
      <c r="X90" s="2448"/>
      <c r="Y90" s="2448"/>
      <c r="Z90" s="2449">
        <f>BCT!AI16</f>
        <v>0</v>
      </c>
      <c r="AA90" s="2449"/>
      <c r="AB90" s="2449"/>
      <c r="AC90" s="2449"/>
      <c r="AD90" s="2449"/>
      <c r="AE90" s="2449">
        <f>BCT!AO16</f>
        <v>0</v>
      </c>
      <c r="AF90" s="2449"/>
      <c r="AG90" s="2449"/>
      <c r="AH90" s="2449"/>
      <c r="AI90" s="2449"/>
      <c r="AJ90" s="2449">
        <f>BCT!AS16</f>
        <v>0</v>
      </c>
      <c r="AK90" s="2449"/>
      <c r="AL90" s="2449"/>
      <c r="AM90" s="2449"/>
      <c r="AN90" s="2449"/>
      <c r="AO90" s="884"/>
      <c r="AP90" s="885" t="str">
        <f>BCT!C16</f>
        <v>Biaya unit penangkal petir</v>
      </c>
      <c r="AQ90" s="884"/>
      <c r="AR90" s="884"/>
    </row>
    <row r="91" spans="3:44" s="304" customFormat="1" ht="18" customHeight="1">
      <c r="C91" s="460" t="s">
        <v>1770</v>
      </c>
      <c r="D91" s="882" t="str">
        <f>CONCATENATE(AP91," seluas ",W91," m²")</f>
        <v>Tembok pembatas keliling Top Roof, tinggi 90 cm seluas 0 m²</v>
      </c>
      <c r="E91" s="882"/>
      <c r="F91" s="882"/>
      <c r="G91" s="882"/>
      <c r="H91" s="882"/>
      <c r="I91" s="882"/>
      <c r="J91" s="882"/>
      <c r="K91" s="882"/>
      <c r="L91" s="882"/>
      <c r="M91" s="882"/>
      <c r="N91" s="882"/>
      <c r="O91" s="882"/>
      <c r="P91" s="882"/>
      <c r="Q91" s="882"/>
      <c r="R91" s="882"/>
      <c r="S91" s="882"/>
      <c r="T91" s="882"/>
      <c r="U91" s="882"/>
      <c r="V91" s="883"/>
      <c r="W91" s="2448">
        <f>BCT!AB17</f>
        <v>0</v>
      </c>
      <c r="X91" s="2448"/>
      <c r="Y91" s="2448"/>
      <c r="Z91" s="2449">
        <f>BCT!AI17</f>
        <v>0</v>
      </c>
      <c r="AA91" s="2449"/>
      <c r="AB91" s="2449"/>
      <c r="AC91" s="2449"/>
      <c r="AD91" s="2449"/>
      <c r="AE91" s="2449">
        <f>BCT!AO17</f>
        <v>0</v>
      </c>
      <c r="AF91" s="2449"/>
      <c r="AG91" s="2449"/>
      <c r="AH91" s="2449"/>
      <c r="AI91" s="2449"/>
      <c r="AJ91" s="2449">
        <f>BCT!AS17</f>
        <v>0</v>
      </c>
      <c r="AK91" s="2449"/>
      <c r="AL91" s="2449"/>
      <c r="AM91" s="2449"/>
      <c r="AN91" s="2449"/>
      <c r="AO91" s="884"/>
      <c r="AP91" s="885" t="str">
        <f>BCT!C17</f>
        <v>Tembok pembatas keliling Top Roof, tinggi 90 cm</v>
      </c>
      <c r="AQ91" s="884"/>
      <c r="AR91" s="884"/>
    </row>
    <row r="92" spans="3:44" s="304" customFormat="1" ht="18" customHeight="1">
      <c r="C92" s="460" t="s">
        <v>1770</v>
      </c>
      <c r="D92" s="882" t="str">
        <f>CONCATENATE(AP92," sebesar ",W92,)</f>
        <v>Kitchenset  sebesar 0</v>
      </c>
      <c r="E92" s="882"/>
      <c r="F92" s="882"/>
      <c r="G92" s="882"/>
      <c r="H92" s="882"/>
      <c r="I92" s="882"/>
      <c r="J92" s="882"/>
      <c r="K92" s="882"/>
      <c r="L92" s="882"/>
      <c r="M92" s="882"/>
      <c r="N92" s="882"/>
      <c r="O92" s="882"/>
      <c r="P92" s="882"/>
      <c r="Q92" s="882"/>
      <c r="R92" s="882"/>
      <c r="S92" s="882"/>
      <c r="T92" s="882"/>
      <c r="U92" s="882"/>
      <c r="V92" s="883"/>
      <c r="W92" s="2448">
        <f>BCT!AB18</f>
        <v>0</v>
      </c>
      <c r="X92" s="2448"/>
      <c r="Y92" s="2448"/>
      <c r="Z92" s="2449">
        <f>BCT!AI18</f>
        <v>0</v>
      </c>
      <c r="AA92" s="2449"/>
      <c r="AB92" s="2449"/>
      <c r="AC92" s="2449"/>
      <c r="AD92" s="2449"/>
      <c r="AE92" s="2449">
        <f>BCT!AO18</f>
        <v>0</v>
      </c>
      <c r="AF92" s="2449"/>
      <c r="AG92" s="2449"/>
      <c r="AH92" s="2449"/>
      <c r="AI92" s="2449"/>
      <c r="AJ92" s="2449">
        <f>BCT!AS18</f>
        <v>0</v>
      </c>
      <c r="AK92" s="2449"/>
      <c r="AL92" s="2449"/>
      <c r="AM92" s="2449"/>
      <c r="AN92" s="2449"/>
      <c r="AO92" s="884"/>
      <c r="AP92" s="885" t="str">
        <f>BCT!C18</f>
        <v xml:space="preserve">Kitchenset </v>
      </c>
      <c r="AQ92" s="884"/>
      <c r="AR92" s="884"/>
    </row>
    <row r="93" spans="3:44" s="304" customFormat="1" ht="18" customHeight="1">
      <c r="C93" s="460" t="s">
        <v>1770</v>
      </c>
      <c r="D93" s="882" t="str">
        <f>CONCATENATE(AP93,", dengan volume kolam ± ",W93," m³")</f>
        <v>Biaya kolam renang + unit mesin pompa, dengan volume kolam ± 0 m³</v>
      </c>
      <c r="E93" s="882"/>
      <c r="F93" s="882"/>
      <c r="G93" s="882"/>
      <c r="H93" s="882"/>
      <c r="I93" s="882"/>
      <c r="J93" s="882"/>
      <c r="K93" s="882"/>
      <c r="L93" s="882"/>
      <c r="M93" s="882"/>
      <c r="N93" s="882"/>
      <c r="O93" s="882"/>
      <c r="P93" s="882"/>
      <c r="Q93" s="882"/>
      <c r="R93" s="882"/>
      <c r="S93" s="882"/>
      <c r="T93" s="882"/>
      <c r="U93" s="882"/>
      <c r="V93" s="883"/>
      <c r="W93" s="2448">
        <f>BCT!AB19</f>
        <v>0</v>
      </c>
      <c r="X93" s="2448"/>
      <c r="Y93" s="2448"/>
      <c r="Z93" s="2449">
        <f>BCT!AI19</f>
        <v>0</v>
      </c>
      <c r="AA93" s="2449"/>
      <c r="AB93" s="2449"/>
      <c r="AC93" s="2449"/>
      <c r="AD93" s="2449"/>
      <c r="AE93" s="2449">
        <f>BCT!AO19</f>
        <v>0</v>
      </c>
      <c r="AF93" s="2449"/>
      <c r="AG93" s="2449"/>
      <c r="AH93" s="2449"/>
      <c r="AI93" s="2449"/>
      <c r="AJ93" s="2449">
        <f>BCT!AS19</f>
        <v>0</v>
      </c>
      <c r="AK93" s="2449"/>
      <c r="AL93" s="2449"/>
      <c r="AM93" s="2449"/>
      <c r="AN93" s="2449"/>
      <c r="AO93" s="884"/>
      <c r="AP93" s="885" t="str">
        <f>BCT!C19</f>
        <v>Biaya kolam renang + unit mesin pompa</v>
      </c>
      <c r="AQ93" s="884"/>
      <c r="AR93" s="884"/>
    </row>
    <row r="94" spans="3:44" s="304" customFormat="1" ht="20.100000000000001" customHeight="1">
      <c r="C94" s="2445" t="s">
        <v>2495</v>
      </c>
      <c r="D94" s="2446"/>
      <c r="E94" s="2446"/>
      <c r="F94" s="2446"/>
      <c r="G94" s="2446"/>
      <c r="H94" s="2446"/>
      <c r="I94" s="2446"/>
      <c r="J94" s="2446"/>
      <c r="K94" s="2446"/>
      <c r="L94" s="2446"/>
      <c r="M94" s="2446"/>
      <c r="N94" s="2446"/>
      <c r="O94" s="2446"/>
      <c r="P94" s="2446"/>
      <c r="Q94" s="2446"/>
      <c r="R94" s="2446"/>
      <c r="S94" s="2446"/>
      <c r="T94" s="2446"/>
      <c r="U94" s="2446"/>
      <c r="V94" s="2446"/>
      <c r="W94" s="2446"/>
      <c r="X94" s="2446"/>
      <c r="Y94" s="2446"/>
      <c r="Z94" s="2447" t="e">
        <f>SUM(Z78:AD93)</f>
        <v>#REF!</v>
      </c>
      <c r="AA94" s="2447"/>
      <c r="AB94" s="2447"/>
      <c r="AC94" s="2447"/>
      <c r="AD94" s="2447"/>
      <c r="AE94" s="2447" t="e">
        <f>SUM(AE78:AI93)</f>
        <v>#REF!</v>
      </c>
      <c r="AF94" s="2447"/>
      <c r="AG94" s="2447"/>
      <c r="AH94" s="2447"/>
      <c r="AI94" s="2447"/>
      <c r="AJ94" s="2447" t="e">
        <f>SUM(AJ78:AN93)</f>
        <v>#REF!</v>
      </c>
      <c r="AK94" s="2447"/>
      <c r="AL94" s="2447"/>
      <c r="AM94" s="2447"/>
      <c r="AN94" s="2447"/>
      <c r="AO94" s="884"/>
      <c r="AP94" s="884"/>
      <c r="AQ94" s="884"/>
      <c r="AR94" s="884"/>
    </row>
    <row r="95" spans="3:44" s="349" customFormat="1" ht="12.75">
      <c r="C95" s="886"/>
      <c r="D95" s="886"/>
      <c r="E95" s="886"/>
      <c r="F95" s="886"/>
      <c r="G95" s="886"/>
      <c r="H95" s="308"/>
      <c r="I95" s="308"/>
      <c r="J95" s="308"/>
      <c r="K95" s="308"/>
      <c r="L95" s="308"/>
      <c r="M95" s="308"/>
      <c r="N95" s="308"/>
      <c r="O95" s="308"/>
      <c r="P95" s="308"/>
      <c r="Q95" s="308"/>
      <c r="R95" s="308"/>
      <c r="S95" s="308"/>
      <c r="T95" s="308"/>
      <c r="U95" s="308"/>
      <c r="V95" s="308"/>
      <c r="W95" s="308"/>
      <c r="X95" s="308"/>
      <c r="Y95" s="308"/>
      <c r="Z95" s="308"/>
      <c r="AA95" s="308"/>
      <c r="AB95" s="308"/>
      <c r="AC95" s="308"/>
      <c r="AD95" s="308"/>
      <c r="AE95" s="308"/>
      <c r="AF95" s="308"/>
      <c r="AG95" s="308"/>
      <c r="AH95" s="308"/>
      <c r="AI95" s="308"/>
      <c r="AJ95" s="308"/>
      <c r="AK95" s="308"/>
      <c r="AL95" s="308"/>
      <c r="AM95" s="308"/>
      <c r="AN95" s="308"/>
    </row>
    <row r="96" spans="3:44" s="349" customFormat="1" ht="14.1" customHeight="1">
      <c r="C96" s="308"/>
      <c r="D96" s="308"/>
      <c r="E96" s="308"/>
      <c r="F96" s="308"/>
      <c r="G96" s="308"/>
      <c r="H96" s="308"/>
      <c r="I96" s="308"/>
      <c r="J96" s="308"/>
      <c r="K96" s="308"/>
      <c r="L96" s="308"/>
      <c r="M96" s="308"/>
      <c r="N96" s="308"/>
      <c r="O96" s="308"/>
      <c r="P96" s="308"/>
      <c r="Q96" s="308"/>
      <c r="R96" s="308"/>
      <c r="S96" s="308"/>
      <c r="T96" s="308"/>
      <c r="U96" s="308"/>
      <c r="V96" s="308"/>
      <c r="W96" s="308"/>
      <c r="X96" s="308"/>
      <c r="Y96" s="308"/>
      <c r="Z96" s="308"/>
      <c r="AA96" s="308"/>
      <c r="AB96" s="308"/>
      <c r="AC96" s="308"/>
      <c r="AD96" s="308"/>
      <c r="AE96" s="308"/>
      <c r="AF96" s="308"/>
      <c r="AG96" s="308"/>
      <c r="AH96" s="308"/>
      <c r="AI96" s="308"/>
      <c r="AJ96" s="308"/>
      <c r="AK96" s="308"/>
      <c r="AL96" s="308"/>
      <c r="AM96" s="308"/>
      <c r="AN96" s="308"/>
    </row>
    <row r="97" spans="2:48" s="349" customFormat="1" ht="14.1" customHeight="1">
      <c r="C97" s="308"/>
      <c r="D97" s="308"/>
      <c r="E97" s="308"/>
      <c r="F97" s="308"/>
      <c r="G97" s="308"/>
      <c r="H97" s="308"/>
      <c r="I97" s="308"/>
      <c r="J97" s="308"/>
      <c r="K97" s="308"/>
      <c r="L97" s="308"/>
      <c r="M97" s="308"/>
      <c r="N97" s="308"/>
      <c r="O97" s="308"/>
      <c r="P97" s="308"/>
      <c r="Q97" s="308"/>
      <c r="R97" s="308"/>
      <c r="S97" s="308"/>
      <c r="T97" s="308"/>
      <c r="U97" s="308"/>
      <c r="V97" s="308"/>
      <c r="W97" s="308"/>
      <c r="X97" s="308"/>
      <c r="Y97" s="308"/>
      <c r="Z97" s="308"/>
      <c r="AA97" s="308"/>
      <c r="AB97" s="308"/>
      <c r="AC97" s="308"/>
      <c r="AD97" s="308"/>
      <c r="AE97" s="308"/>
      <c r="AF97" s="308"/>
      <c r="AG97" s="308"/>
      <c r="AH97" s="308"/>
      <c r="AI97" s="308"/>
      <c r="AJ97" s="308"/>
      <c r="AK97" s="308"/>
      <c r="AL97" s="308"/>
      <c r="AM97" s="308"/>
      <c r="AN97" s="308"/>
    </row>
    <row r="98" spans="2:48" s="349" customFormat="1" ht="14.1" customHeight="1">
      <c r="C98" s="308"/>
      <c r="D98" s="308"/>
      <c r="E98" s="308"/>
      <c r="F98" s="308"/>
      <c r="G98" s="308"/>
      <c r="H98" s="308"/>
      <c r="I98" s="308"/>
      <c r="J98" s="308"/>
      <c r="K98" s="308"/>
      <c r="L98" s="308"/>
      <c r="M98" s="308"/>
      <c r="N98" s="308"/>
      <c r="O98" s="308"/>
      <c r="P98" s="308"/>
      <c r="Q98" s="308"/>
      <c r="R98" s="308"/>
      <c r="S98" s="308"/>
      <c r="T98" s="308"/>
      <c r="U98" s="308"/>
      <c r="V98" s="308"/>
      <c r="W98" s="308"/>
      <c r="X98" s="308"/>
      <c r="Y98" s="308"/>
      <c r="Z98" s="308"/>
      <c r="AA98" s="308"/>
      <c r="AB98" s="308"/>
      <c r="AC98" s="308"/>
      <c r="AD98" s="308"/>
      <c r="AE98" s="308"/>
      <c r="AF98" s="308"/>
      <c r="AG98" s="308"/>
      <c r="AH98" s="308"/>
      <c r="AI98" s="308"/>
      <c r="AJ98" s="308"/>
      <c r="AK98" s="308"/>
      <c r="AL98" s="308"/>
      <c r="AM98" s="308"/>
      <c r="AN98" s="308"/>
    </row>
    <row r="99" spans="2:48" s="349" customFormat="1" ht="14.1" customHeight="1">
      <c r="C99" s="308"/>
      <c r="D99" s="308"/>
      <c r="E99" s="308"/>
      <c r="F99" s="308"/>
      <c r="G99" s="308"/>
      <c r="H99" s="308"/>
      <c r="I99" s="308"/>
      <c r="J99" s="308"/>
      <c r="K99" s="308"/>
      <c r="L99" s="308"/>
      <c r="M99" s="308"/>
      <c r="N99" s="308"/>
      <c r="O99" s="308"/>
      <c r="P99" s="308"/>
      <c r="Q99" s="308"/>
      <c r="R99" s="308"/>
      <c r="S99" s="308"/>
      <c r="T99" s="308"/>
      <c r="U99" s="308"/>
      <c r="V99" s="308"/>
      <c r="W99" s="308"/>
      <c r="X99" s="308"/>
      <c r="Y99" s="308"/>
      <c r="Z99" s="308"/>
      <c r="AA99" s="308"/>
      <c r="AB99" s="308"/>
      <c r="AC99" s="308"/>
      <c r="AD99" s="308"/>
      <c r="AE99" s="308"/>
      <c r="AF99" s="308"/>
      <c r="AG99" s="308"/>
      <c r="AH99" s="308"/>
      <c r="AI99" s="308"/>
      <c r="AJ99" s="308"/>
      <c r="AK99" s="308"/>
      <c r="AL99" s="308"/>
      <c r="AM99" s="308"/>
      <c r="AN99" s="308"/>
    </row>
    <row r="100" spans="2:48" s="349" customFormat="1" ht="14.1" customHeight="1">
      <c r="C100" s="308"/>
      <c r="D100" s="308"/>
      <c r="E100" s="308"/>
      <c r="F100" s="308"/>
      <c r="G100" s="308"/>
      <c r="H100" s="308"/>
      <c r="I100" s="308"/>
      <c r="J100" s="308"/>
      <c r="K100" s="308"/>
      <c r="L100" s="308"/>
      <c r="M100" s="308"/>
      <c r="N100" s="308"/>
      <c r="O100" s="308"/>
      <c r="P100" s="308"/>
      <c r="Q100" s="308"/>
      <c r="R100" s="308"/>
      <c r="S100" s="308"/>
      <c r="T100" s="308"/>
      <c r="U100" s="308"/>
      <c r="V100" s="308"/>
      <c r="W100" s="308"/>
      <c r="X100" s="308"/>
      <c r="Y100" s="308"/>
      <c r="Z100" s="308"/>
      <c r="AA100" s="308"/>
      <c r="AB100" s="308"/>
      <c r="AC100" s="308"/>
      <c r="AD100" s="308"/>
      <c r="AE100" s="308"/>
      <c r="AF100" s="308"/>
      <c r="AG100" s="308"/>
      <c r="AH100" s="308"/>
      <c r="AI100" s="308"/>
      <c r="AJ100" s="308"/>
      <c r="AK100" s="308"/>
      <c r="AL100" s="308"/>
      <c r="AM100" s="308"/>
      <c r="AN100" s="308"/>
    </row>
    <row r="101" spans="2:48" s="349" customFormat="1" ht="14.1" customHeight="1">
      <c r="C101" s="308"/>
      <c r="D101" s="308"/>
      <c r="E101" s="308"/>
      <c r="F101" s="308"/>
      <c r="G101" s="308"/>
      <c r="H101" s="308"/>
      <c r="I101" s="308"/>
      <c r="J101" s="308"/>
      <c r="K101" s="308"/>
      <c r="L101" s="308"/>
      <c r="M101" s="308"/>
      <c r="N101" s="308"/>
      <c r="O101" s="308"/>
      <c r="P101" s="308"/>
      <c r="Q101" s="308"/>
      <c r="R101" s="308"/>
      <c r="S101" s="308"/>
      <c r="T101" s="308"/>
      <c r="U101" s="308"/>
      <c r="V101" s="308"/>
      <c r="W101" s="308"/>
      <c r="X101" s="308"/>
      <c r="Y101" s="308"/>
      <c r="Z101" s="308"/>
      <c r="AA101" s="308"/>
      <c r="AB101" s="308"/>
      <c r="AC101" s="308"/>
      <c r="AD101" s="308"/>
      <c r="AE101" s="308"/>
      <c r="AF101" s="308"/>
      <c r="AG101" s="308"/>
      <c r="AH101" s="308"/>
      <c r="AI101" s="308"/>
      <c r="AJ101" s="308"/>
      <c r="AK101" s="308"/>
      <c r="AL101" s="308"/>
      <c r="AM101" s="308"/>
      <c r="AN101" s="308"/>
    </row>
    <row r="102" spans="2:48" s="497" customFormat="1" ht="15" customHeight="1" thickBot="1">
      <c r="AF102" s="607"/>
      <c r="AK102" s="889"/>
      <c r="AL102" s="890"/>
      <c r="AM102" s="890"/>
      <c r="AN102" s="890"/>
      <c r="AP102" s="629"/>
      <c r="AQ102" s="629"/>
      <c r="AR102" s="629"/>
      <c r="AS102" s="629"/>
    </row>
    <row r="103" spans="2:48" s="497" customFormat="1" ht="14.1" customHeight="1" thickBot="1">
      <c r="B103" s="383"/>
      <c r="C103" s="383"/>
      <c r="D103" s="383"/>
      <c r="E103" s="383"/>
      <c r="F103" s="383"/>
      <c r="G103" s="383"/>
      <c r="H103" s="383"/>
      <c r="I103" s="383"/>
      <c r="J103" s="383"/>
      <c r="K103" s="383"/>
      <c r="L103" s="383"/>
      <c r="M103" s="383"/>
      <c r="N103" s="383"/>
      <c r="O103" s="383"/>
      <c r="P103" s="383"/>
      <c r="Q103" s="383"/>
      <c r="R103" s="383"/>
      <c r="S103" s="383"/>
      <c r="T103" s="383"/>
      <c r="U103" s="383"/>
      <c r="V103" s="383"/>
      <c r="W103" s="383"/>
      <c r="X103" s="383"/>
      <c r="Y103" s="383"/>
      <c r="Z103" s="383"/>
      <c r="AA103" s="383"/>
      <c r="AB103" s="383"/>
      <c r="AC103" s="383"/>
      <c r="AD103" s="383"/>
      <c r="AE103" s="383"/>
      <c r="AF103" s="383"/>
      <c r="AG103" s="383"/>
      <c r="AH103" s="383"/>
      <c r="AI103" s="383"/>
      <c r="AJ103" s="384"/>
      <c r="AK103" s="384"/>
      <c r="AL103" s="384"/>
      <c r="AM103" s="385"/>
      <c r="AN103" s="383" t="str">
        <f>CONCATENATE("Hal -  ",AR103,"  dari  ",AU103)</f>
        <v>Hal -  9  dari  10</v>
      </c>
      <c r="AP103" s="629"/>
      <c r="AQ103" s="629"/>
      <c r="AR103" s="1881">
        <f>AR52+1</f>
        <v>9</v>
      </c>
      <c r="AS103" s="1882"/>
      <c r="AT103" s="387" t="s">
        <v>3</v>
      </c>
      <c r="AU103" s="1881">
        <f>'Surat-01'!$AW$55</f>
        <v>10</v>
      </c>
      <c r="AV103" s="1882"/>
    </row>
  </sheetData>
  <sheetProtection formatCells="0" formatColumns="0" formatRows="0" insertColumns="0" insertRows="0" insertHyperlinks="0" deleteColumns="0" sort="0" autoFilter="0" pivotTables="0"/>
  <protectedRanges>
    <protectedRange sqref="AN12:AN15 AC12:AD12 AC15:AD19 AN63:AN66 AC63:AD63 AC66:AD70" name="Range2_1_4_10_1_4_1"/>
    <protectedRange sqref="Z13 G13 G64 Z64" name="Range1_1" securityDescriptor="O:WDG:WDD:(A;;CC;;;WD)"/>
    <protectedRange sqref="D94 D41 AP78:AP93 AP28:AP40" name="Range1" securityDescriptor="O:WDG:WDD:(A;;CC;;;WD)"/>
    <protectedRange sqref="W78:X94 W28:X41" name="Range1_1_1" securityDescriptor="O:WDG:WDD:(A;;CC;;;WD)"/>
  </protectedRanges>
  <mergeCells count="205">
    <mergeCell ref="Z19:AD19"/>
    <mergeCell ref="G18:S18"/>
    <mergeCell ref="Z18:AD18"/>
    <mergeCell ref="C12:F19"/>
    <mergeCell ref="G12:AD12"/>
    <mergeCell ref="G13:S13"/>
    <mergeCell ref="Z13:AD13"/>
    <mergeCell ref="G14:S14"/>
    <mergeCell ref="Z14:AD14"/>
    <mergeCell ref="G15:S15"/>
    <mergeCell ref="G19:Y19"/>
    <mergeCell ref="I22:M22"/>
    <mergeCell ref="N22:T22"/>
    <mergeCell ref="U22:Z22"/>
    <mergeCell ref="AA22:AD22"/>
    <mergeCell ref="C4:AF4"/>
    <mergeCell ref="Z15:AD15"/>
    <mergeCell ref="G16:S16"/>
    <mergeCell ref="Z16:AD16"/>
    <mergeCell ref="G17:S17"/>
    <mergeCell ref="Z17:AD17"/>
    <mergeCell ref="AE22:AH22"/>
    <mergeCell ref="AI22:AN22"/>
    <mergeCell ref="C23:H23"/>
    <mergeCell ref="I23:M23"/>
    <mergeCell ref="N23:T23"/>
    <mergeCell ref="U23:Z23"/>
    <mergeCell ref="AA23:AD23"/>
    <mergeCell ref="AE23:AH23"/>
    <mergeCell ref="AI23:AN23"/>
    <mergeCell ref="C22:H22"/>
    <mergeCell ref="W28:Y28"/>
    <mergeCell ref="Z28:AD28"/>
    <mergeCell ref="AE28:AI28"/>
    <mergeCell ref="AJ28:AN28"/>
    <mergeCell ref="C26:AN26"/>
    <mergeCell ref="C27:V27"/>
    <mergeCell ref="W27:Y27"/>
    <mergeCell ref="Z27:AD27"/>
    <mergeCell ref="AE27:AI27"/>
    <mergeCell ref="AJ27:AN27"/>
    <mergeCell ref="W29:Y29"/>
    <mergeCell ref="Z29:AD29"/>
    <mergeCell ref="AE29:AI29"/>
    <mergeCell ref="AJ29:AN29"/>
    <mergeCell ref="W33:Y33"/>
    <mergeCell ref="Z33:AD33"/>
    <mergeCell ref="AE33:AI33"/>
    <mergeCell ref="AJ33:AN33"/>
    <mergeCell ref="AE32:AI32"/>
    <mergeCell ref="W30:Y30"/>
    <mergeCell ref="Z30:AD30"/>
    <mergeCell ref="AE30:AI30"/>
    <mergeCell ref="AJ30:AN30"/>
    <mergeCell ref="W34:Y34"/>
    <mergeCell ref="Z34:AD34"/>
    <mergeCell ref="AE34:AI34"/>
    <mergeCell ref="AJ34:AN34"/>
    <mergeCell ref="W31:Y31"/>
    <mergeCell ref="Z31:AD31"/>
    <mergeCell ref="AE31:AI31"/>
    <mergeCell ref="AJ31:AN31"/>
    <mergeCell ref="W32:Y32"/>
    <mergeCell ref="Z32:AD32"/>
    <mergeCell ref="W35:Y35"/>
    <mergeCell ref="Z35:AD35"/>
    <mergeCell ref="AE35:AI35"/>
    <mergeCell ref="AJ35:AN35"/>
    <mergeCell ref="AJ32:AN32"/>
    <mergeCell ref="W36:Y36"/>
    <mergeCell ref="Z36:AD36"/>
    <mergeCell ref="AE36:AI36"/>
    <mergeCell ref="AJ36:AN36"/>
    <mergeCell ref="W37:Y37"/>
    <mergeCell ref="Z37:AD37"/>
    <mergeCell ref="AE37:AI37"/>
    <mergeCell ref="AJ37:AN37"/>
    <mergeCell ref="W38:Y38"/>
    <mergeCell ref="Z38:AD38"/>
    <mergeCell ref="AE38:AI38"/>
    <mergeCell ref="AJ38:AN38"/>
    <mergeCell ref="W39:Y39"/>
    <mergeCell ref="Z39:AD39"/>
    <mergeCell ref="AE39:AI39"/>
    <mergeCell ref="AJ39:AN39"/>
    <mergeCell ref="W40:Y40"/>
    <mergeCell ref="Z40:AD40"/>
    <mergeCell ref="AE40:AI40"/>
    <mergeCell ref="AJ40:AN40"/>
    <mergeCell ref="G66:S66"/>
    <mergeCell ref="G70:Y70"/>
    <mergeCell ref="Z70:AD70"/>
    <mergeCell ref="G69:S69"/>
    <mergeCell ref="Z69:AD69"/>
    <mergeCell ref="C55:AD55"/>
    <mergeCell ref="AR52:AS52"/>
    <mergeCell ref="AU52:AV52"/>
    <mergeCell ref="C41:Y41"/>
    <mergeCell ref="Z41:AD41"/>
    <mergeCell ref="AE41:AI41"/>
    <mergeCell ref="AJ41:AN41"/>
    <mergeCell ref="J60:AM61"/>
    <mergeCell ref="C63:F70"/>
    <mergeCell ref="G63:AD63"/>
    <mergeCell ref="G64:S64"/>
    <mergeCell ref="Z64:AD64"/>
    <mergeCell ref="G65:S65"/>
    <mergeCell ref="Z65:AD65"/>
    <mergeCell ref="C72:H72"/>
    <mergeCell ref="I72:M72"/>
    <mergeCell ref="N72:T72"/>
    <mergeCell ref="U72:Z72"/>
    <mergeCell ref="AA72:AD72"/>
    <mergeCell ref="Z66:AD66"/>
    <mergeCell ref="G67:S67"/>
    <mergeCell ref="Z67:AD67"/>
    <mergeCell ref="G68:S68"/>
    <mergeCell ref="Z68:AD68"/>
    <mergeCell ref="I73:M73"/>
    <mergeCell ref="N73:T73"/>
    <mergeCell ref="U73:Z73"/>
    <mergeCell ref="AA73:AD73"/>
    <mergeCell ref="AE73:AH73"/>
    <mergeCell ref="AI73:AN73"/>
    <mergeCell ref="C54:AE54"/>
    <mergeCell ref="C76:AN76"/>
    <mergeCell ref="C77:V77"/>
    <mergeCell ref="W77:Y77"/>
    <mergeCell ref="Z77:AD77"/>
    <mergeCell ref="AE77:AI77"/>
    <mergeCell ref="AJ77:AN77"/>
    <mergeCell ref="AE72:AH72"/>
    <mergeCell ref="AI72:AN72"/>
    <mergeCell ref="C73:H73"/>
    <mergeCell ref="W78:Y78"/>
    <mergeCell ref="Z78:AD78"/>
    <mergeCell ref="AE78:AI78"/>
    <mergeCell ref="AJ78:AN78"/>
    <mergeCell ref="W79:Y79"/>
    <mergeCell ref="Z79:AD79"/>
    <mergeCell ref="AE79:AI79"/>
    <mergeCell ref="AJ79:AN79"/>
    <mergeCell ref="W80:Y80"/>
    <mergeCell ref="Z80:AD80"/>
    <mergeCell ref="AE80:AI80"/>
    <mergeCell ref="AJ80:AN80"/>
    <mergeCell ref="W81:Y81"/>
    <mergeCell ref="Z81:AD81"/>
    <mergeCell ref="AE81:AI81"/>
    <mergeCell ref="AJ81:AN81"/>
    <mergeCell ref="W82:Y82"/>
    <mergeCell ref="Z82:AD82"/>
    <mergeCell ref="AE82:AI82"/>
    <mergeCell ref="AJ82:AN82"/>
    <mergeCell ref="W83:Y83"/>
    <mergeCell ref="Z83:AD83"/>
    <mergeCell ref="AE83:AI83"/>
    <mergeCell ref="AJ83:AN83"/>
    <mergeCell ref="W84:Y84"/>
    <mergeCell ref="Z84:AD84"/>
    <mergeCell ref="AE84:AI84"/>
    <mergeCell ref="AJ84:AN84"/>
    <mergeCell ref="L85:V85"/>
    <mergeCell ref="W85:Y85"/>
    <mergeCell ref="Z85:AD85"/>
    <mergeCell ref="AE85:AI85"/>
    <mergeCell ref="AJ85:AN85"/>
    <mergeCell ref="W86:Y86"/>
    <mergeCell ref="Z86:AD86"/>
    <mergeCell ref="AE86:AI86"/>
    <mergeCell ref="AJ86:AN86"/>
    <mergeCell ref="W87:Y87"/>
    <mergeCell ref="Z87:AD87"/>
    <mergeCell ref="AE87:AI87"/>
    <mergeCell ref="AJ87:AN87"/>
    <mergeCell ref="W88:Y88"/>
    <mergeCell ref="Z88:AD88"/>
    <mergeCell ref="AE88:AI88"/>
    <mergeCell ref="AJ88:AN88"/>
    <mergeCell ref="W89:Y89"/>
    <mergeCell ref="Z89:AD89"/>
    <mergeCell ref="AE89:AI89"/>
    <mergeCell ref="AJ89:AN89"/>
    <mergeCell ref="W90:Y90"/>
    <mergeCell ref="Z90:AD90"/>
    <mergeCell ref="AE90:AI90"/>
    <mergeCell ref="AJ90:AN90"/>
    <mergeCell ref="W91:Y91"/>
    <mergeCell ref="Z91:AD91"/>
    <mergeCell ref="AE91:AI91"/>
    <mergeCell ref="AJ91:AN91"/>
    <mergeCell ref="W92:Y92"/>
    <mergeCell ref="Z92:AD92"/>
    <mergeCell ref="AE92:AI92"/>
    <mergeCell ref="AJ92:AN92"/>
    <mergeCell ref="W93:Y93"/>
    <mergeCell ref="Z93:AD93"/>
    <mergeCell ref="AE93:AI93"/>
    <mergeCell ref="AJ93:AN93"/>
    <mergeCell ref="C94:Y94"/>
    <mergeCell ref="Z94:AD94"/>
    <mergeCell ref="AE94:AI94"/>
    <mergeCell ref="AJ94:AN94"/>
    <mergeCell ref="AR103:AS103"/>
    <mergeCell ref="AU103:AV103"/>
  </mergeCells>
  <dataValidations count="3">
    <dataValidation type="whole" operator="lessThan" allowBlank="1" showInputMessage="1" showErrorMessage="1" sqref="D52:AE52 AS74:BH75 A54:B55 BJ63:IV75 D103:AE103 C74:AN75 AN54:IV62 D62:I62 AO63:AQ70 AR65:BI70 AS71:BH71 AO71:AR75 BI71:BI75 BC76:IV101 AO76:BB76 A63:B101 C97:BB101 A56:C62 D56:AD57 AF54:AM57 AE55:AE57 AG4:IV4 A4:B4 AV6:IU7 A9:B50 C43:AO50 H42:AO42 AS18:BH21 AO26:AO41 C24:AN24 AR14:BI17 D25:IV25 DO26:IV50 BI18:BI24 AR18:AR24 AO12:AQ24 AS24:BH24 BJ10:IV24 AO10:BI11 C9:IV9">
      <formula1>-5</formula1>
    </dataValidation>
    <dataValidation operator="lessThan" allowBlank="1" showInputMessage="1" showErrorMessage="1" sqref="AN52 AN103 AR52 AK51:AN51 AJ52:AL52 AJ103:AL103 AK102:AN102 AR103 AU52 AU103"/>
    <dataValidation type="whole" operator="lessThanOrEqual" allowBlank="1" showInputMessage="1" showErrorMessage="1" sqref="A8:XFD8 A5:XFD5">
      <formula1>-5</formula1>
    </dataValidation>
  </dataValidations>
  <pageMargins left="0.75" right="0" top="0.5" bottom="0.39370078740157499" header="0.31496062992126" footer="0"/>
  <pageSetup paperSize="9" scale="90" orientation="portrait" r:id="rId1"/>
  <headerFooter alignWithMargins="0"/>
  <rowBreaks count="2" manualBreakCount="2">
    <brk id="2" min="1" max="38" man="1"/>
    <brk id="52" min="1" max="38"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sheetPr>
  <dimension ref="B2:CD206"/>
  <sheetViews>
    <sheetView showGridLines="0" view="pageBreakPreview" zoomScale="85" zoomScaleNormal="100" zoomScaleSheetLayoutView="85" workbookViewId="0">
      <selection activeCell="V9" sqref="V9:AM23"/>
    </sheetView>
  </sheetViews>
  <sheetFormatPr defaultColWidth="2.7109375" defaultRowHeight="12.95" customHeight="1"/>
  <cols>
    <col min="1" max="1" width="2.7109375" style="300" customWidth="1"/>
    <col min="2" max="2" width="1.28515625" style="300" customWidth="1"/>
    <col min="3" max="20" width="2.7109375" style="300" customWidth="1"/>
    <col min="21" max="21" width="1.7109375" style="300" customWidth="1"/>
    <col min="22" max="39" width="2.7109375" style="300" customWidth="1"/>
    <col min="40" max="40" width="1.28515625" style="300" customWidth="1"/>
    <col min="41" max="16384" width="2.7109375" style="300"/>
  </cols>
  <sheetData>
    <row r="2" spans="2:41" ht="8.1" customHeight="1">
      <c r="B2" s="2515" t="s">
        <v>2337</v>
      </c>
      <c r="C2" s="2516"/>
      <c r="D2" s="2516"/>
      <c r="E2" s="2516"/>
      <c r="F2" s="2516"/>
      <c r="G2" s="2516"/>
      <c r="H2" s="2516"/>
      <c r="I2" s="2516"/>
      <c r="J2" s="2517"/>
      <c r="K2" s="891"/>
      <c r="L2" s="891"/>
      <c r="M2" s="891"/>
      <c r="N2" s="891"/>
      <c r="O2" s="891"/>
      <c r="P2" s="891"/>
      <c r="Q2" s="891"/>
      <c r="R2" s="891"/>
      <c r="S2" s="891"/>
      <c r="T2" s="891"/>
      <c r="U2" s="891"/>
      <c r="V2" s="891"/>
      <c r="W2" s="891"/>
      <c r="X2" s="891"/>
      <c r="Y2" s="891"/>
      <c r="Z2" s="891"/>
      <c r="AA2" s="891"/>
      <c r="AB2" s="891"/>
      <c r="AC2" s="891"/>
      <c r="AD2" s="891"/>
      <c r="AE2" s="891"/>
      <c r="AF2" s="891"/>
      <c r="AG2" s="891"/>
      <c r="AH2" s="891"/>
      <c r="AI2" s="891"/>
      <c r="AJ2" s="891"/>
      <c r="AK2" s="891"/>
      <c r="AL2" s="891"/>
      <c r="AM2" s="891"/>
      <c r="AN2" s="834"/>
    </row>
    <row r="3" spans="2:41" ht="14.1" customHeight="1">
      <c r="B3" s="2518"/>
      <c r="C3" s="2519"/>
      <c r="D3" s="2519"/>
      <c r="E3" s="2519"/>
      <c r="F3" s="2519"/>
      <c r="G3" s="2519"/>
      <c r="H3" s="2519"/>
      <c r="I3" s="2519"/>
      <c r="J3" s="2520"/>
      <c r="K3" s="357" t="s">
        <v>1770</v>
      </c>
      <c r="L3" s="317" t="s">
        <v>2497</v>
      </c>
      <c r="M3" s="330"/>
      <c r="N3" s="330"/>
      <c r="O3" s="330"/>
      <c r="P3" s="330"/>
      <c r="Q3" s="320" t="s">
        <v>5</v>
      </c>
      <c r="R3" s="330" t="str">
        <f>Entry!L16</f>
        <v>PT. XYZ</v>
      </c>
      <c r="V3" s="318"/>
      <c r="W3" s="318"/>
      <c r="X3" s="318"/>
      <c r="Y3" s="318"/>
      <c r="Z3" s="318"/>
      <c r="AA3" s="318"/>
      <c r="AB3" s="318"/>
      <c r="AC3" s="318"/>
      <c r="AD3" s="318"/>
      <c r="AE3" s="318"/>
      <c r="AF3" s="318"/>
      <c r="AG3" s="318"/>
      <c r="AH3" s="318"/>
      <c r="AI3" s="318"/>
      <c r="AJ3" s="318"/>
      <c r="AK3" s="318"/>
      <c r="AL3" s="318"/>
      <c r="AM3" s="318"/>
      <c r="AN3" s="315"/>
    </row>
    <row r="4" spans="2:41" s="307" customFormat="1" ht="14.1" customHeight="1">
      <c r="B4" s="2521" t="s">
        <v>2338</v>
      </c>
      <c r="C4" s="2522"/>
      <c r="D4" s="2522"/>
      <c r="E4" s="2522"/>
      <c r="F4" s="2522"/>
      <c r="G4" s="2522"/>
      <c r="H4" s="2522"/>
      <c r="I4" s="2522"/>
      <c r="J4" s="2523"/>
      <c r="T4" s="318"/>
      <c r="U4" s="318"/>
      <c r="V4" s="318"/>
      <c r="W4" s="318"/>
      <c r="X4" s="318"/>
      <c r="Y4" s="318"/>
      <c r="Z4" s="318"/>
      <c r="AA4" s="318"/>
      <c r="AB4" s="357"/>
      <c r="AC4" s="318"/>
      <c r="AD4" s="300"/>
      <c r="AE4" s="300"/>
      <c r="AF4" s="318"/>
      <c r="AG4" s="339"/>
      <c r="AH4" s="893"/>
      <c r="AJ4" s="300"/>
      <c r="AK4" s="318"/>
      <c r="AL4" s="318"/>
      <c r="AM4" s="318"/>
      <c r="AN4" s="315"/>
    </row>
    <row r="5" spans="2:41" ht="14.1" customHeight="1">
      <c r="B5" s="2521"/>
      <c r="C5" s="2522"/>
      <c r="D5" s="2522"/>
      <c r="E5" s="2522"/>
      <c r="F5" s="2522"/>
      <c r="G5" s="2522"/>
      <c r="H5" s="2522"/>
      <c r="I5" s="2522"/>
      <c r="J5" s="2523"/>
      <c r="K5" s="357" t="s">
        <v>1770</v>
      </c>
      <c r="L5" s="317" t="s">
        <v>2034</v>
      </c>
      <c r="M5" s="318"/>
      <c r="N5" s="318"/>
      <c r="O5" s="318"/>
      <c r="P5" s="307"/>
      <c r="Q5" s="320" t="s">
        <v>5</v>
      </c>
      <c r="R5" s="318" t="str">
        <f>+Entry!L9</f>
        <v>0123-LK/KJPP-ASUS/V/18</v>
      </c>
      <c r="S5" s="1105"/>
      <c r="T5" s="1105"/>
      <c r="U5" s="1105"/>
      <c r="V5" s="1105"/>
      <c r="W5" s="1105"/>
      <c r="X5" s="1105"/>
      <c r="Y5" s="1105"/>
      <c r="Z5" s="1105"/>
      <c r="AA5" s="1105"/>
      <c r="AB5" s="1105"/>
      <c r="AC5" s="1105"/>
      <c r="AD5" s="1105"/>
      <c r="AE5" s="1105"/>
      <c r="AF5" s="1105"/>
      <c r="AG5" s="1105"/>
      <c r="AH5" s="1105"/>
      <c r="AI5" s="1105"/>
      <c r="AJ5" s="1105"/>
      <c r="AK5" s="1105"/>
      <c r="AL5" s="1105"/>
      <c r="AM5" s="1105"/>
      <c r="AN5" s="894"/>
      <c r="AO5" s="365"/>
    </row>
    <row r="6" spans="2:41" s="317" customFormat="1" ht="7.5" customHeight="1">
      <c r="B6" s="2521"/>
      <c r="C6" s="2522"/>
      <c r="D6" s="2522"/>
      <c r="E6" s="2522"/>
      <c r="F6" s="2522"/>
      <c r="G6" s="2522"/>
      <c r="H6" s="2522"/>
      <c r="I6" s="2522"/>
      <c r="J6" s="2523"/>
      <c r="K6" s="318"/>
      <c r="L6" s="1105"/>
      <c r="M6" s="1105"/>
      <c r="N6" s="1105"/>
      <c r="O6" s="1105"/>
      <c r="P6" s="1105"/>
      <c r="Q6" s="1105"/>
      <c r="R6" s="1105"/>
      <c r="S6" s="1105"/>
      <c r="T6" s="1105"/>
      <c r="U6" s="1105"/>
      <c r="V6" s="1105"/>
      <c r="W6" s="1105"/>
      <c r="X6" s="1105"/>
      <c r="Y6" s="1105"/>
      <c r="Z6" s="1105"/>
      <c r="AA6" s="1105"/>
      <c r="AB6" s="1105"/>
      <c r="AC6" s="1105"/>
      <c r="AD6" s="1105"/>
      <c r="AE6" s="1105"/>
      <c r="AF6" s="1105"/>
      <c r="AG6" s="1105"/>
      <c r="AH6" s="1105"/>
      <c r="AI6" s="1105"/>
      <c r="AJ6" s="1105"/>
      <c r="AK6" s="1105"/>
      <c r="AL6" s="1105"/>
      <c r="AM6" s="1105"/>
      <c r="AN6" s="328"/>
    </row>
    <row r="7" spans="2:41" s="317" customFormat="1" ht="3.75" customHeight="1">
      <c r="B7" s="895"/>
      <c r="C7" s="896"/>
      <c r="D7" s="896"/>
      <c r="E7" s="896"/>
      <c r="F7" s="896"/>
      <c r="G7" s="896"/>
      <c r="H7" s="896"/>
      <c r="I7" s="896"/>
      <c r="J7" s="897"/>
      <c r="K7" s="896"/>
      <c r="L7" s="896"/>
      <c r="M7" s="896"/>
      <c r="N7" s="896"/>
      <c r="O7" s="896"/>
      <c r="P7" s="896"/>
      <c r="Q7" s="896"/>
      <c r="R7" s="896"/>
      <c r="S7" s="896"/>
      <c r="T7" s="896"/>
      <c r="U7" s="896"/>
      <c r="V7" s="896"/>
      <c r="W7" s="896"/>
      <c r="X7" s="896"/>
      <c r="Y7" s="896"/>
      <c r="Z7" s="896"/>
      <c r="AA7" s="896"/>
      <c r="AB7" s="896"/>
      <c r="AC7" s="896"/>
      <c r="AD7" s="896"/>
      <c r="AE7" s="896"/>
      <c r="AF7" s="896"/>
      <c r="AG7" s="896"/>
      <c r="AH7" s="896"/>
      <c r="AI7" s="896"/>
      <c r="AJ7" s="896"/>
      <c r="AK7" s="896"/>
      <c r="AL7" s="896"/>
      <c r="AM7" s="896"/>
      <c r="AN7" s="857"/>
    </row>
    <row r="8" spans="2:41" s="317" customFormat="1" ht="8.25" customHeight="1">
      <c r="B8" s="898"/>
      <c r="C8" s="899"/>
      <c r="D8" s="899"/>
      <c r="E8" s="899"/>
      <c r="F8" s="899"/>
      <c r="G8" s="899"/>
      <c r="H8" s="899"/>
      <c r="I8" s="899"/>
      <c r="J8" s="899"/>
      <c r="K8" s="899"/>
      <c r="L8" s="899"/>
      <c r="M8" s="899"/>
      <c r="N8" s="899"/>
      <c r="O8" s="899"/>
      <c r="P8" s="899"/>
      <c r="Q8" s="899"/>
      <c r="R8" s="899"/>
      <c r="S8" s="899"/>
      <c r="T8" s="899"/>
      <c r="U8" s="899"/>
      <c r="V8" s="899"/>
      <c r="W8" s="899"/>
      <c r="X8" s="899"/>
      <c r="Y8" s="899"/>
      <c r="Z8" s="899"/>
      <c r="AA8" s="899"/>
      <c r="AB8" s="899"/>
      <c r="AC8" s="899"/>
      <c r="AD8" s="899"/>
      <c r="AE8" s="899"/>
      <c r="AF8" s="899"/>
      <c r="AG8" s="899"/>
      <c r="AH8" s="899"/>
      <c r="AI8" s="899"/>
      <c r="AJ8" s="899"/>
      <c r="AK8" s="899"/>
      <c r="AL8" s="899"/>
      <c r="AM8" s="899"/>
      <c r="AN8" s="627"/>
    </row>
    <row r="9" spans="2:41" ht="12.95" customHeight="1">
      <c r="B9" s="898"/>
      <c r="C9" s="2512"/>
      <c r="D9" s="2513"/>
      <c r="E9" s="2513"/>
      <c r="F9" s="2513"/>
      <c r="G9" s="2513"/>
      <c r="H9" s="2513"/>
      <c r="I9" s="2513"/>
      <c r="J9" s="2513"/>
      <c r="K9" s="2513"/>
      <c r="L9" s="2513"/>
      <c r="M9" s="2513"/>
      <c r="N9" s="2513"/>
      <c r="O9" s="2513"/>
      <c r="P9" s="2513"/>
      <c r="Q9" s="2513"/>
      <c r="R9" s="2513"/>
      <c r="S9" s="2513"/>
      <c r="T9" s="2514"/>
      <c r="U9" s="899"/>
      <c r="V9" s="2512"/>
      <c r="W9" s="2513"/>
      <c r="X9" s="2513"/>
      <c r="Y9" s="2513"/>
      <c r="Z9" s="2513"/>
      <c r="AA9" s="2513"/>
      <c r="AB9" s="2513"/>
      <c r="AC9" s="2513"/>
      <c r="AD9" s="2513"/>
      <c r="AE9" s="2513"/>
      <c r="AF9" s="2513"/>
      <c r="AG9" s="2513"/>
      <c r="AH9" s="2513"/>
      <c r="AI9" s="2513"/>
      <c r="AJ9" s="2513"/>
      <c r="AK9" s="2513"/>
      <c r="AL9" s="2513"/>
      <c r="AM9" s="2514"/>
      <c r="AN9" s="901"/>
    </row>
    <row r="10" spans="2:41" s="304" customFormat="1" ht="12.95" customHeight="1">
      <c r="B10" s="898"/>
      <c r="C10" s="2512"/>
      <c r="D10" s="2513"/>
      <c r="E10" s="2513"/>
      <c r="F10" s="2513"/>
      <c r="G10" s="2513"/>
      <c r="H10" s="2513"/>
      <c r="I10" s="2513"/>
      <c r="J10" s="2513"/>
      <c r="K10" s="2513"/>
      <c r="L10" s="2513"/>
      <c r="M10" s="2513"/>
      <c r="N10" s="2513"/>
      <c r="O10" s="2513"/>
      <c r="P10" s="2513"/>
      <c r="Q10" s="2513"/>
      <c r="R10" s="2513"/>
      <c r="S10" s="2513"/>
      <c r="T10" s="2514"/>
      <c r="U10" s="899"/>
      <c r="V10" s="2512"/>
      <c r="W10" s="2513"/>
      <c r="X10" s="2513"/>
      <c r="Y10" s="2513"/>
      <c r="Z10" s="2513"/>
      <c r="AA10" s="2513"/>
      <c r="AB10" s="2513"/>
      <c r="AC10" s="2513"/>
      <c r="AD10" s="2513"/>
      <c r="AE10" s="2513"/>
      <c r="AF10" s="2513"/>
      <c r="AG10" s="2513"/>
      <c r="AH10" s="2513"/>
      <c r="AI10" s="2513"/>
      <c r="AJ10" s="2513"/>
      <c r="AK10" s="2513"/>
      <c r="AL10" s="2513"/>
      <c r="AM10" s="2514"/>
      <c r="AN10" s="902"/>
    </row>
    <row r="11" spans="2:41" s="307" customFormat="1" ht="12.95" customHeight="1">
      <c r="B11" s="898"/>
      <c r="C11" s="2512"/>
      <c r="D11" s="2513"/>
      <c r="E11" s="2513"/>
      <c r="F11" s="2513"/>
      <c r="G11" s="2513"/>
      <c r="H11" s="2513"/>
      <c r="I11" s="2513"/>
      <c r="J11" s="2513"/>
      <c r="K11" s="2513"/>
      <c r="L11" s="2513"/>
      <c r="M11" s="2513"/>
      <c r="N11" s="2513"/>
      <c r="O11" s="2513"/>
      <c r="P11" s="2513"/>
      <c r="Q11" s="2513"/>
      <c r="R11" s="2513"/>
      <c r="S11" s="2513"/>
      <c r="T11" s="2514"/>
      <c r="U11" s="899"/>
      <c r="V11" s="2512"/>
      <c r="W11" s="2513"/>
      <c r="X11" s="2513"/>
      <c r="Y11" s="2513"/>
      <c r="Z11" s="2513"/>
      <c r="AA11" s="2513"/>
      <c r="AB11" s="2513"/>
      <c r="AC11" s="2513"/>
      <c r="AD11" s="2513"/>
      <c r="AE11" s="2513"/>
      <c r="AF11" s="2513"/>
      <c r="AG11" s="2513"/>
      <c r="AH11" s="2513"/>
      <c r="AI11" s="2513"/>
      <c r="AJ11" s="2513"/>
      <c r="AK11" s="2513"/>
      <c r="AL11" s="2513"/>
      <c r="AM11" s="2514"/>
      <c r="AN11" s="903"/>
    </row>
    <row r="12" spans="2:41" s="905" customFormat="1" ht="12.95" customHeight="1">
      <c r="B12" s="898"/>
      <c r="C12" s="2512"/>
      <c r="D12" s="2513"/>
      <c r="E12" s="2513"/>
      <c r="F12" s="2513"/>
      <c r="G12" s="2513"/>
      <c r="H12" s="2513"/>
      <c r="I12" s="2513"/>
      <c r="J12" s="2513"/>
      <c r="K12" s="2513"/>
      <c r="L12" s="2513"/>
      <c r="M12" s="2513"/>
      <c r="N12" s="2513"/>
      <c r="O12" s="2513"/>
      <c r="P12" s="2513"/>
      <c r="Q12" s="2513"/>
      <c r="R12" s="2513"/>
      <c r="S12" s="2513"/>
      <c r="T12" s="2514"/>
      <c r="U12" s="899"/>
      <c r="V12" s="2512"/>
      <c r="W12" s="2513"/>
      <c r="X12" s="2513"/>
      <c r="Y12" s="2513"/>
      <c r="Z12" s="2513"/>
      <c r="AA12" s="2513"/>
      <c r="AB12" s="2513"/>
      <c r="AC12" s="2513"/>
      <c r="AD12" s="2513"/>
      <c r="AE12" s="2513"/>
      <c r="AF12" s="2513"/>
      <c r="AG12" s="2513"/>
      <c r="AH12" s="2513"/>
      <c r="AI12" s="2513"/>
      <c r="AJ12" s="2513"/>
      <c r="AK12" s="2513"/>
      <c r="AL12" s="2513"/>
      <c r="AM12" s="2514"/>
      <c r="AN12" s="904"/>
    </row>
    <row r="13" spans="2:41" s="311" customFormat="1" ht="12.95" customHeight="1">
      <c r="B13" s="898"/>
      <c r="C13" s="2512"/>
      <c r="D13" s="2513"/>
      <c r="E13" s="2513"/>
      <c r="F13" s="2513"/>
      <c r="G13" s="2513"/>
      <c r="H13" s="2513"/>
      <c r="I13" s="2513"/>
      <c r="J13" s="2513"/>
      <c r="K13" s="2513"/>
      <c r="L13" s="2513"/>
      <c r="M13" s="2513"/>
      <c r="N13" s="2513"/>
      <c r="O13" s="2513"/>
      <c r="P13" s="2513"/>
      <c r="Q13" s="2513"/>
      <c r="R13" s="2513"/>
      <c r="S13" s="2513"/>
      <c r="T13" s="2514"/>
      <c r="U13" s="899"/>
      <c r="V13" s="2512"/>
      <c r="W13" s="2513"/>
      <c r="X13" s="2513"/>
      <c r="Y13" s="2513"/>
      <c r="Z13" s="2513"/>
      <c r="AA13" s="2513"/>
      <c r="AB13" s="2513"/>
      <c r="AC13" s="2513"/>
      <c r="AD13" s="2513"/>
      <c r="AE13" s="2513"/>
      <c r="AF13" s="2513"/>
      <c r="AG13" s="2513"/>
      <c r="AH13" s="2513"/>
      <c r="AI13" s="2513"/>
      <c r="AJ13" s="2513"/>
      <c r="AK13" s="2513"/>
      <c r="AL13" s="2513"/>
      <c r="AM13" s="2514"/>
      <c r="AN13" s="622"/>
    </row>
    <row r="14" spans="2:41" s="311" customFormat="1" ht="12.95" customHeight="1">
      <c r="B14" s="898"/>
      <c r="C14" s="2512"/>
      <c r="D14" s="2513"/>
      <c r="E14" s="2513"/>
      <c r="F14" s="2513"/>
      <c r="G14" s="2513"/>
      <c r="H14" s="2513"/>
      <c r="I14" s="2513"/>
      <c r="J14" s="2513"/>
      <c r="K14" s="2513"/>
      <c r="L14" s="2513"/>
      <c r="M14" s="2513"/>
      <c r="N14" s="2513"/>
      <c r="O14" s="2513"/>
      <c r="P14" s="2513"/>
      <c r="Q14" s="2513"/>
      <c r="R14" s="2513"/>
      <c r="S14" s="2513"/>
      <c r="T14" s="2514"/>
      <c r="U14" s="899"/>
      <c r="V14" s="2512"/>
      <c r="W14" s="2513"/>
      <c r="X14" s="2513"/>
      <c r="Y14" s="2513"/>
      <c r="Z14" s="2513"/>
      <c r="AA14" s="2513"/>
      <c r="AB14" s="2513"/>
      <c r="AC14" s="2513"/>
      <c r="AD14" s="2513"/>
      <c r="AE14" s="2513"/>
      <c r="AF14" s="2513"/>
      <c r="AG14" s="2513"/>
      <c r="AH14" s="2513"/>
      <c r="AI14" s="2513"/>
      <c r="AJ14" s="2513"/>
      <c r="AK14" s="2513"/>
      <c r="AL14" s="2513"/>
      <c r="AM14" s="2514"/>
      <c r="AN14" s="622"/>
    </row>
    <row r="15" spans="2:41" s="311" customFormat="1" ht="12.95" customHeight="1">
      <c r="B15" s="898"/>
      <c r="C15" s="2512"/>
      <c r="D15" s="2513"/>
      <c r="E15" s="2513"/>
      <c r="F15" s="2513"/>
      <c r="G15" s="2513"/>
      <c r="H15" s="2513"/>
      <c r="I15" s="2513"/>
      <c r="J15" s="2513"/>
      <c r="K15" s="2513"/>
      <c r="L15" s="2513"/>
      <c r="M15" s="2513"/>
      <c r="N15" s="2513"/>
      <c r="O15" s="2513"/>
      <c r="P15" s="2513"/>
      <c r="Q15" s="2513"/>
      <c r="R15" s="2513"/>
      <c r="S15" s="2513"/>
      <c r="T15" s="2514"/>
      <c r="U15" s="899"/>
      <c r="V15" s="2512"/>
      <c r="W15" s="2513"/>
      <c r="X15" s="2513"/>
      <c r="Y15" s="2513"/>
      <c r="Z15" s="2513"/>
      <c r="AA15" s="2513"/>
      <c r="AB15" s="2513"/>
      <c r="AC15" s="2513"/>
      <c r="AD15" s="2513"/>
      <c r="AE15" s="2513"/>
      <c r="AF15" s="2513"/>
      <c r="AG15" s="2513"/>
      <c r="AH15" s="2513"/>
      <c r="AI15" s="2513"/>
      <c r="AJ15" s="2513"/>
      <c r="AK15" s="2513"/>
      <c r="AL15" s="2513"/>
      <c r="AM15" s="2514"/>
      <c r="AN15" s="622"/>
    </row>
    <row r="16" spans="2:41" s="311" customFormat="1" ht="12.95" customHeight="1">
      <c r="B16" s="898"/>
      <c r="C16" s="2512"/>
      <c r="D16" s="2513"/>
      <c r="E16" s="2513"/>
      <c r="F16" s="2513"/>
      <c r="G16" s="2513"/>
      <c r="H16" s="2513"/>
      <c r="I16" s="2513"/>
      <c r="J16" s="2513"/>
      <c r="K16" s="2513"/>
      <c r="L16" s="2513"/>
      <c r="M16" s="2513"/>
      <c r="N16" s="2513"/>
      <c r="O16" s="2513"/>
      <c r="P16" s="2513"/>
      <c r="Q16" s="2513"/>
      <c r="R16" s="2513"/>
      <c r="S16" s="2513"/>
      <c r="T16" s="2514"/>
      <c r="U16" s="899"/>
      <c r="V16" s="2512"/>
      <c r="W16" s="2513"/>
      <c r="X16" s="2513"/>
      <c r="Y16" s="2513"/>
      <c r="Z16" s="2513"/>
      <c r="AA16" s="2513"/>
      <c r="AB16" s="2513"/>
      <c r="AC16" s="2513"/>
      <c r="AD16" s="2513"/>
      <c r="AE16" s="2513"/>
      <c r="AF16" s="2513"/>
      <c r="AG16" s="2513"/>
      <c r="AH16" s="2513"/>
      <c r="AI16" s="2513"/>
      <c r="AJ16" s="2513"/>
      <c r="AK16" s="2513"/>
      <c r="AL16" s="2513"/>
      <c r="AM16" s="2514"/>
      <c r="AN16" s="622"/>
    </row>
    <row r="17" spans="2:40" s="311" customFormat="1" ht="12.95" customHeight="1">
      <c r="B17" s="898"/>
      <c r="C17" s="2512"/>
      <c r="D17" s="2513"/>
      <c r="E17" s="2513"/>
      <c r="F17" s="2513"/>
      <c r="G17" s="2513"/>
      <c r="H17" s="2513"/>
      <c r="I17" s="2513"/>
      <c r="J17" s="2513"/>
      <c r="K17" s="2513"/>
      <c r="L17" s="2513"/>
      <c r="M17" s="2513"/>
      <c r="N17" s="2513"/>
      <c r="O17" s="2513"/>
      <c r="P17" s="2513"/>
      <c r="Q17" s="2513"/>
      <c r="R17" s="2513"/>
      <c r="S17" s="2513"/>
      <c r="T17" s="2514"/>
      <c r="U17" s="899"/>
      <c r="V17" s="2512"/>
      <c r="W17" s="2513"/>
      <c r="X17" s="2513"/>
      <c r="Y17" s="2513"/>
      <c r="Z17" s="2513"/>
      <c r="AA17" s="2513"/>
      <c r="AB17" s="2513"/>
      <c r="AC17" s="2513"/>
      <c r="AD17" s="2513"/>
      <c r="AE17" s="2513"/>
      <c r="AF17" s="2513"/>
      <c r="AG17" s="2513"/>
      <c r="AH17" s="2513"/>
      <c r="AI17" s="2513"/>
      <c r="AJ17" s="2513"/>
      <c r="AK17" s="2513"/>
      <c r="AL17" s="2513"/>
      <c r="AM17" s="2514"/>
      <c r="AN17" s="622"/>
    </row>
    <row r="18" spans="2:40" s="831" customFormat="1" ht="12.95" customHeight="1">
      <c r="B18" s="898"/>
      <c r="C18" s="2512"/>
      <c r="D18" s="2513"/>
      <c r="E18" s="2513"/>
      <c r="F18" s="2513"/>
      <c r="G18" s="2513"/>
      <c r="H18" s="2513"/>
      <c r="I18" s="2513"/>
      <c r="J18" s="2513"/>
      <c r="K18" s="2513"/>
      <c r="L18" s="2513"/>
      <c r="M18" s="2513"/>
      <c r="N18" s="2513"/>
      <c r="O18" s="2513"/>
      <c r="P18" s="2513"/>
      <c r="Q18" s="2513"/>
      <c r="R18" s="2513"/>
      <c r="S18" s="2513"/>
      <c r="T18" s="2514"/>
      <c r="U18" s="899"/>
      <c r="V18" s="2512"/>
      <c r="W18" s="2513"/>
      <c r="X18" s="2513"/>
      <c r="Y18" s="2513"/>
      <c r="Z18" s="2513"/>
      <c r="AA18" s="2513"/>
      <c r="AB18" s="2513"/>
      <c r="AC18" s="2513"/>
      <c r="AD18" s="2513"/>
      <c r="AE18" s="2513"/>
      <c r="AF18" s="2513"/>
      <c r="AG18" s="2513"/>
      <c r="AH18" s="2513"/>
      <c r="AI18" s="2513"/>
      <c r="AJ18" s="2513"/>
      <c r="AK18" s="2513"/>
      <c r="AL18" s="2513"/>
      <c r="AM18" s="2514"/>
      <c r="AN18" s="906"/>
    </row>
    <row r="19" spans="2:40" s="311" customFormat="1" ht="12.95" customHeight="1">
      <c r="B19" s="898"/>
      <c r="C19" s="2512"/>
      <c r="D19" s="2513"/>
      <c r="E19" s="2513"/>
      <c r="F19" s="2513"/>
      <c r="G19" s="2513"/>
      <c r="H19" s="2513"/>
      <c r="I19" s="2513"/>
      <c r="J19" s="2513"/>
      <c r="K19" s="2513"/>
      <c r="L19" s="2513"/>
      <c r="M19" s="2513"/>
      <c r="N19" s="2513"/>
      <c r="O19" s="2513"/>
      <c r="P19" s="2513"/>
      <c r="Q19" s="2513"/>
      <c r="R19" s="2513"/>
      <c r="S19" s="2513"/>
      <c r="T19" s="2514"/>
      <c r="U19" s="899"/>
      <c r="V19" s="2512"/>
      <c r="W19" s="2513"/>
      <c r="X19" s="2513"/>
      <c r="Y19" s="2513"/>
      <c r="Z19" s="2513"/>
      <c r="AA19" s="2513"/>
      <c r="AB19" s="2513"/>
      <c r="AC19" s="2513"/>
      <c r="AD19" s="2513"/>
      <c r="AE19" s="2513"/>
      <c r="AF19" s="2513"/>
      <c r="AG19" s="2513"/>
      <c r="AH19" s="2513"/>
      <c r="AI19" s="2513"/>
      <c r="AJ19" s="2513"/>
      <c r="AK19" s="2513"/>
      <c r="AL19" s="2513"/>
      <c r="AM19" s="2514"/>
      <c r="AN19" s="622"/>
    </row>
    <row r="20" spans="2:40" s="307" customFormat="1" ht="12.95" customHeight="1">
      <c r="B20" s="898"/>
      <c r="C20" s="2512"/>
      <c r="D20" s="2513"/>
      <c r="E20" s="2513"/>
      <c r="F20" s="2513"/>
      <c r="G20" s="2513"/>
      <c r="H20" s="2513"/>
      <c r="I20" s="2513"/>
      <c r="J20" s="2513"/>
      <c r="K20" s="2513"/>
      <c r="L20" s="2513"/>
      <c r="M20" s="2513"/>
      <c r="N20" s="2513"/>
      <c r="O20" s="2513"/>
      <c r="P20" s="2513"/>
      <c r="Q20" s="2513"/>
      <c r="R20" s="2513"/>
      <c r="S20" s="2513"/>
      <c r="T20" s="2514"/>
      <c r="U20" s="899"/>
      <c r="V20" s="2512"/>
      <c r="W20" s="2513"/>
      <c r="X20" s="2513"/>
      <c r="Y20" s="2513"/>
      <c r="Z20" s="2513"/>
      <c r="AA20" s="2513"/>
      <c r="AB20" s="2513"/>
      <c r="AC20" s="2513"/>
      <c r="AD20" s="2513"/>
      <c r="AE20" s="2513"/>
      <c r="AF20" s="2513"/>
      <c r="AG20" s="2513"/>
      <c r="AH20" s="2513"/>
      <c r="AI20" s="2513"/>
      <c r="AJ20" s="2513"/>
      <c r="AK20" s="2513"/>
      <c r="AL20" s="2513"/>
      <c r="AM20" s="2514"/>
      <c r="AN20" s="903"/>
    </row>
    <row r="21" spans="2:40" s="311" customFormat="1" ht="12.95" customHeight="1">
      <c r="B21" s="898"/>
      <c r="C21" s="2512"/>
      <c r="D21" s="2513"/>
      <c r="E21" s="2513"/>
      <c r="F21" s="2513"/>
      <c r="G21" s="2513"/>
      <c r="H21" s="2513"/>
      <c r="I21" s="2513"/>
      <c r="J21" s="2513"/>
      <c r="K21" s="2513"/>
      <c r="L21" s="2513"/>
      <c r="M21" s="2513"/>
      <c r="N21" s="2513"/>
      <c r="O21" s="2513"/>
      <c r="P21" s="2513"/>
      <c r="Q21" s="2513"/>
      <c r="R21" s="2513"/>
      <c r="S21" s="2513"/>
      <c r="T21" s="2514"/>
      <c r="U21" s="899"/>
      <c r="V21" s="2512"/>
      <c r="W21" s="2513"/>
      <c r="X21" s="2513"/>
      <c r="Y21" s="2513"/>
      <c r="Z21" s="2513"/>
      <c r="AA21" s="2513"/>
      <c r="AB21" s="2513"/>
      <c r="AC21" s="2513"/>
      <c r="AD21" s="2513"/>
      <c r="AE21" s="2513"/>
      <c r="AF21" s="2513"/>
      <c r="AG21" s="2513"/>
      <c r="AH21" s="2513"/>
      <c r="AI21" s="2513"/>
      <c r="AJ21" s="2513"/>
      <c r="AK21" s="2513"/>
      <c r="AL21" s="2513"/>
      <c r="AM21" s="2514"/>
      <c r="AN21" s="622"/>
    </row>
    <row r="22" spans="2:40" s="311" customFormat="1" ht="12.95" customHeight="1">
      <c r="B22" s="898"/>
      <c r="C22" s="2512"/>
      <c r="D22" s="2513"/>
      <c r="E22" s="2513"/>
      <c r="F22" s="2513"/>
      <c r="G22" s="2513"/>
      <c r="H22" s="2513"/>
      <c r="I22" s="2513"/>
      <c r="J22" s="2513"/>
      <c r="K22" s="2513"/>
      <c r="L22" s="2513"/>
      <c r="M22" s="2513"/>
      <c r="N22" s="2513"/>
      <c r="O22" s="2513"/>
      <c r="P22" s="2513"/>
      <c r="Q22" s="2513"/>
      <c r="R22" s="2513"/>
      <c r="S22" s="2513"/>
      <c r="T22" s="2514"/>
      <c r="U22" s="899"/>
      <c r="V22" s="2512"/>
      <c r="W22" s="2513"/>
      <c r="X22" s="2513"/>
      <c r="Y22" s="2513"/>
      <c r="Z22" s="2513"/>
      <c r="AA22" s="2513"/>
      <c r="AB22" s="2513"/>
      <c r="AC22" s="2513"/>
      <c r="AD22" s="2513"/>
      <c r="AE22" s="2513"/>
      <c r="AF22" s="2513"/>
      <c r="AG22" s="2513"/>
      <c r="AH22" s="2513"/>
      <c r="AI22" s="2513"/>
      <c r="AJ22" s="2513"/>
      <c r="AK22" s="2513"/>
      <c r="AL22" s="2513"/>
      <c r="AM22" s="2514"/>
      <c r="AN22" s="622"/>
    </row>
    <row r="23" spans="2:40" s="311" customFormat="1" ht="15" customHeight="1">
      <c r="B23" s="898"/>
      <c r="C23" s="2512"/>
      <c r="D23" s="2513"/>
      <c r="E23" s="2513"/>
      <c r="F23" s="2513"/>
      <c r="G23" s="2513"/>
      <c r="H23" s="2513"/>
      <c r="I23" s="2513"/>
      <c r="J23" s="2513"/>
      <c r="K23" s="2513"/>
      <c r="L23" s="2513"/>
      <c r="M23" s="2513"/>
      <c r="N23" s="2513"/>
      <c r="O23" s="2513"/>
      <c r="P23" s="2513"/>
      <c r="Q23" s="2513"/>
      <c r="R23" s="2513"/>
      <c r="S23" s="2513"/>
      <c r="T23" s="2514"/>
      <c r="U23" s="899"/>
      <c r="V23" s="2512"/>
      <c r="W23" s="2513"/>
      <c r="X23" s="2513"/>
      <c r="Y23" s="2513"/>
      <c r="Z23" s="2513"/>
      <c r="AA23" s="2513"/>
      <c r="AB23" s="2513"/>
      <c r="AC23" s="2513"/>
      <c r="AD23" s="2513"/>
      <c r="AE23" s="2513"/>
      <c r="AF23" s="2513"/>
      <c r="AG23" s="2513"/>
      <c r="AH23" s="2513"/>
      <c r="AI23" s="2513"/>
      <c r="AJ23" s="2513"/>
      <c r="AK23" s="2513"/>
      <c r="AL23" s="2513"/>
      <c r="AM23" s="2514"/>
      <c r="AN23" s="622"/>
    </row>
    <row r="24" spans="2:40" s="311" customFormat="1" ht="9.9499999999999993" customHeight="1">
      <c r="B24" s="898"/>
      <c r="C24" s="2503" t="s">
        <v>2552</v>
      </c>
      <c r="D24" s="2504"/>
      <c r="E24" s="2504"/>
      <c r="F24" s="2504"/>
      <c r="G24" s="2504"/>
      <c r="H24" s="2504"/>
      <c r="I24" s="2504"/>
      <c r="J24" s="2504"/>
      <c r="K24" s="2504"/>
      <c r="L24" s="2504"/>
      <c r="M24" s="2504"/>
      <c r="N24" s="2504"/>
      <c r="O24" s="2504"/>
      <c r="P24" s="2504"/>
      <c r="Q24" s="2504"/>
      <c r="R24" s="2504"/>
      <c r="S24" s="2504"/>
      <c r="T24" s="2505"/>
      <c r="U24" s="899"/>
      <c r="V24" s="2524" t="s">
        <v>2553</v>
      </c>
      <c r="W24" s="2525"/>
      <c r="X24" s="2525"/>
      <c r="Y24" s="2525"/>
      <c r="Z24" s="2525"/>
      <c r="AA24" s="2525"/>
      <c r="AB24" s="2525"/>
      <c r="AC24" s="2525"/>
      <c r="AD24" s="2525"/>
      <c r="AE24" s="2525"/>
      <c r="AF24" s="2525"/>
      <c r="AG24" s="2525"/>
      <c r="AH24" s="2525"/>
      <c r="AI24" s="2525"/>
      <c r="AJ24" s="2525"/>
      <c r="AK24" s="2525"/>
      <c r="AL24" s="2525"/>
      <c r="AM24" s="2526"/>
      <c r="AN24" s="622"/>
    </row>
    <row r="25" spans="2:40" s="311" customFormat="1" ht="9.9499999999999993" customHeight="1">
      <c r="B25" s="898"/>
      <c r="C25" s="2503"/>
      <c r="D25" s="2504"/>
      <c r="E25" s="2504"/>
      <c r="F25" s="2504"/>
      <c r="G25" s="2504"/>
      <c r="H25" s="2504"/>
      <c r="I25" s="2504"/>
      <c r="J25" s="2504"/>
      <c r="K25" s="2504"/>
      <c r="L25" s="2504"/>
      <c r="M25" s="2504"/>
      <c r="N25" s="2504"/>
      <c r="O25" s="2504"/>
      <c r="P25" s="2504"/>
      <c r="Q25" s="2504"/>
      <c r="R25" s="2504"/>
      <c r="S25" s="2504"/>
      <c r="T25" s="2505"/>
      <c r="U25" s="899"/>
      <c r="V25" s="2527"/>
      <c r="W25" s="2528"/>
      <c r="X25" s="2528"/>
      <c r="Y25" s="2528"/>
      <c r="Z25" s="2528"/>
      <c r="AA25" s="2528"/>
      <c r="AB25" s="2528"/>
      <c r="AC25" s="2528"/>
      <c r="AD25" s="2528"/>
      <c r="AE25" s="2528"/>
      <c r="AF25" s="2528"/>
      <c r="AG25" s="2528"/>
      <c r="AH25" s="2528"/>
      <c r="AI25" s="2528"/>
      <c r="AJ25" s="2528"/>
      <c r="AK25" s="2528"/>
      <c r="AL25" s="2528"/>
      <c r="AM25" s="2529"/>
      <c r="AN25" s="622"/>
    </row>
    <row r="26" spans="2:40" s="311" customFormat="1" ht="9.9499999999999993" customHeight="1">
      <c r="B26" s="898"/>
      <c r="C26" s="2503"/>
      <c r="D26" s="2504"/>
      <c r="E26" s="2504"/>
      <c r="F26" s="2504"/>
      <c r="G26" s="2504"/>
      <c r="H26" s="2504"/>
      <c r="I26" s="2504"/>
      <c r="J26" s="2504"/>
      <c r="K26" s="2504"/>
      <c r="L26" s="2504"/>
      <c r="M26" s="2504"/>
      <c r="N26" s="2504"/>
      <c r="O26" s="2504"/>
      <c r="P26" s="2504"/>
      <c r="Q26" s="2504"/>
      <c r="R26" s="2504"/>
      <c r="S26" s="2504"/>
      <c r="T26" s="2505"/>
      <c r="U26" s="899"/>
      <c r="V26" s="2530"/>
      <c r="W26" s="2531"/>
      <c r="X26" s="2531"/>
      <c r="Y26" s="2531"/>
      <c r="Z26" s="2531"/>
      <c r="AA26" s="2531"/>
      <c r="AB26" s="2531"/>
      <c r="AC26" s="2531"/>
      <c r="AD26" s="2531"/>
      <c r="AE26" s="2531"/>
      <c r="AF26" s="2531"/>
      <c r="AG26" s="2531"/>
      <c r="AH26" s="2531"/>
      <c r="AI26" s="2531"/>
      <c r="AJ26" s="2531"/>
      <c r="AK26" s="2531"/>
      <c r="AL26" s="2531"/>
      <c r="AM26" s="2532"/>
      <c r="AN26" s="622"/>
    </row>
    <row r="27" spans="2:40" s="307" customFormat="1" ht="6" customHeight="1">
      <c r="B27" s="898"/>
      <c r="C27" s="899"/>
      <c r="D27" s="899"/>
      <c r="E27" s="899"/>
      <c r="F27" s="899"/>
      <c r="G27" s="899"/>
      <c r="H27" s="899"/>
      <c r="I27" s="899"/>
      <c r="J27" s="899"/>
      <c r="K27" s="899"/>
      <c r="L27" s="899"/>
      <c r="M27" s="899"/>
      <c r="N27" s="899"/>
      <c r="O27" s="899"/>
      <c r="P27" s="899"/>
      <c r="Q27" s="899"/>
      <c r="R27" s="899"/>
      <c r="S27" s="899"/>
      <c r="T27" s="899"/>
      <c r="U27" s="899"/>
      <c r="V27" s="899"/>
      <c r="W27" s="899"/>
      <c r="X27" s="899"/>
      <c r="Y27" s="899"/>
      <c r="Z27" s="899"/>
      <c r="AA27" s="899"/>
      <c r="AB27" s="899"/>
      <c r="AC27" s="899"/>
      <c r="AD27" s="899"/>
      <c r="AE27" s="899"/>
      <c r="AF27" s="899"/>
      <c r="AG27" s="899"/>
      <c r="AH27" s="899"/>
      <c r="AI27" s="899"/>
      <c r="AJ27" s="899"/>
      <c r="AK27" s="899"/>
      <c r="AL27" s="899"/>
      <c r="AM27" s="899"/>
      <c r="AN27" s="903"/>
    </row>
    <row r="28" spans="2:40" s="311" customFormat="1" ht="12.95" customHeight="1">
      <c r="B28" s="898"/>
      <c r="M28" s="2533"/>
      <c r="N28" s="2534"/>
      <c r="O28" s="2534"/>
      <c r="P28" s="2534"/>
      <c r="Q28" s="2534"/>
      <c r="R28" s="2534"/>
      <c r="S28" s="2534"/>
      <c r="T28" s="2534"/>
      <c r="U28" s="2534"/>
      <c r="V28" s="2534"/>
      <c r="W28" s="2534"/>
      <c r="X28" s="2534"/>
      <c r="Y28" s="2534"/>
      <c r="Z28" s="2534"/>
      <c r="AA28" s="2534"/>
      <c r="AB28" s="2534"/>
      <c r="AC28" s="2534"/>
      <c r="AD28" s="2535"/>
      <c r="AE28" s="1228"/>
      <c r="AF28" s="1228"/>
      <c r="AG28" s="1228"/>
      <c r="AH28" s="1228"/>
      <c r="AI28" s="1228"/>
      <c r="AJ28" s="1228"/>
      <c r="AK28" s="1228"/>
      <c r="AL28" s="1228"/>
      <c r="AM28" s="1228"/>
      <c r="AN28" s="622"/>
    </row>
    <row r="29" spans="2:40" s="311" customFormat="1" ht="12.95" customHeight="1">
      <c r="B29" s="898"/>
      <c r="M29" s="2536"/>
      <c r="N29" s="2537"/>
      <c r="O29" s="2537"/>
      <c r="P29" s="2537"/>
      <c r="Q29" s="2537"/>
      <c r="R29" s="2537"/>
      <c r="S29" s="2537"/>
      <c r="T29" s="2537"/>
      <c r="U29" s="2537"/>
      <c r="V29" s="2537"/>
      <c r="W29" s="2537"/>
      <c r="X29" s="2537"/>
      <c r="Y29" s="2537"/>
      <c r="Z29" s="2537"/>
      <c r="AA29" s="2537"/>
      <c r="AB29" s="2537"/>
      <c r="AC29" s="2537"/>
      <c r="AD29" s="2538"/>
      <c r="AE29" s="1228"/>
      <c r="AF29" s="1228"/>
      <c r="AG29" s="1228"/>
      <c r="AH29" s="1228"/>
      <c r="AI29" s="1228"/>
      <c r="AJ29" s="1228"/>
      <c r="AK29" s="1228"/>
      <c r="AL29" s="1228"/>
      <c r="AM29" s="1228"/>
      <c r="AN29" s="622"/>
    </row>
    <row r="30" spans="2:40" s="311" customFormat="1" ht="12.95" customHeight="1">
      <c r="B30" s="898"/>
      <c r="M30" s="2536"/>
      <c r="N30" s="2537"/>
      <c r="O30" s="2537"/>
      <c r="P30" s="2537"/>
      <c r="Q30" s="2537"/>
      <c r="R30" s="2537"/>
      <c r="S30" s="2537"/>
      <c r="T30" s="2537"/>
      <c r="U30" s="2537"/>
      <c r="V30" s="2537"/>
      <c r="W30" s="2537"/>
      <c r="X30" s="2537"/>
      <c r="Y30" s="2537"/>
      <c r="Z30" s="2537"/>
      <c r="AA30" s="2537"/>
      <c r="AB30" s="2537"/>
      <c r="AC30" s="2537"/>
      <c r="AD30" s="2538"/>
      <c r="AE30" s="1228"/>
      <c r="AF30" s="1228"/>
      <c r="AG30" s="1228"/>
      <c r="AH30" s="1228"/>
      <c r="AI30" s="1228"/>
      <c r="AJ30" s="1228"/>
      <c r="AK30" s="1228"/>
      <c r="AL30" s="1228"/>
      <c r="AM30" s="1228"/>
      <c r="AN30" s="622"/>
    </row>
    <row r="31" spans="2:40" s="311" customFormat="1" ht="12.95" customHeight="1">
      <c r="B31" s="898"/>
      <c r="M31" s="2536"/>
      <c r="N31" s="2537"/>
      <c r="O31" s="2537"/>
      <c r="P31" s="2537"/>
      <c r="Q31" s="2537"/>
      <c r="R31" s="2537"/>
      <c r="S31" s="2537"/>
      <c r="T31" s="2537"/>
      <c r="U31" s="2537"/>
      <c r="V31" s="2537"/>
      <c r="W31" s="2537"/>
      <c r="X31" s="2537"/>
      <c r="Y31" s="2537"/>
      <c r="Z31" s="2537"/>
      <c r="AA31" s="2537"/>
      <c r="AB31" s="2537"/>
      <c r="AC31" s="2537"/>
      <c r="AD31" s="2538"/>
      <c r="AE31" s="1228"/>
      <c r="AF31" s="1228"/>
      <c r="AG31" s="1228"/>
      <c r="AH31" s="1228"/>
      <c r="AI31" s="1228"/>
      <c r="AJ31" s="1228"/>
      <c r="AK31" s="1228"/>
      <c r="AL31" s="1228"/>
      <c r="AM31" s="1228"/>
      <c r="AN31" s="622"/>
    </row>
    <row r="32" spans="2:40" s="311" customFormat="1" ht="12.95" customHeight="1">
      <c r="B32" s="898"/>
      <c r="M32" s="2536"/>
      <c r="N32" s="2537"/>
      <c r="O32" s="2537"/>
      <c r="P32" s="2537"/>
      <c r="Q32" s="2537"/>
      <c r="R32" s="2537"/>
      <c r="S32" s="2537"/>
      <c r="T32" s="2537"/>
      <c r="U32" s="2537"/>
      <c r="V32" s="2537"/>
      <c r="W32" s="2537"/>
      <c r="X32" s="2537"/>
      <c r="Y32" s="2537"/>
      <c r="Z32" s="2537"/>
      <c r="AA32" s="2537"/>
      <c r="AB32" s="2537"/>
      <c r="AC32" s="2537"/>
      <c r="AD32" s="2538"/>
      <c r="AE32" s="1228"/>
      <c r="AF32" s="1228"/>
      <c r="AG32" s="1228"/>
      <c r="AH32" s="1228"/>
      <c r="AI32" s="1228"/>
      <c r="AJ32" s="1228"/>
      <c r="AK32" s="1228"/>
      <c r="AL32" s="1228"/>
      <c r="AM32" s="1228"/>
      <c r="AN32" s="622"/>
    </row>
    <row r="33" spans="2:60" s="311" customFormat="1" ht="12.95" customHeight="1">
      <c r="B33" s="898"/>
      <c r="M33" s="2536"/>
      <c r="N33" s="2537"/>
      <c r="O33" s="2537"/>
      <c r="P33" s="2537"/>
      <c r="Q33" s="2537"/>
      <c r="R33" s="2537"/>
      <c r="S33" s="2537"/>
      <c r="T33" s="2537"/>
      <c r="U33" s="2537"/>
      <c r="V33" s="2537"/>
      <c r="W33" s="2537"/>
      <c r="X33" s="2537"/>
      <c r="Y33" s="2537"/>
      <c r="Z33" s="2537"/>
      <c r="AA33" s="2537"/>
      <c r="AB33" s="2537"/>
      <c r="AC33" s="2537"/>
      <c r="AD33" s="2538"/>
      <c r="AE33" s="1228"/>
      <c r="AF33" s="1228"/>
      <c r="AG33" s="1228"/>
      <c r="AH33" s="1228"/>
      <c r="AI33" s="1228"/>
      <c r="AJ33" s="1228"/>
      <c r="AK33" s="1228"/>
      <c r="AL33" s="1228"/>
      <c r="AM33" s="1228"/>
      <c r="AN33" s="622"/>
    </row>
    <row r="34" spans="2:60" s="307" customFormat="1" ht="12.95" customHeight="1">
      <c r="B34" s="898"/>
      <c r="M34" s="2536"/>
      <c r="N34" s="2537"/>
      <c r="O34" s="2537"/>
      <c r="P34" s="2537"/>
      <c r="Q34" s="2537"/>
      <c r="R34" s="2537"/>
      <c r="S34" s="2537"/>
      <c r="T34" s="2537"/>
      <c r="U34" s="2537"/>
      <c r="V34" s="2537"/>
      <c r="W34" s="2537"/>
      <c r="X34" s="2537"/>
      <c r="Y34" s="2537"/>
      <c r="Z34" s="2537"/>
      <c r="AA34" s="2537"/>
      <c r="AB34" s="2537"/>
      <c r="AC34" s="2537"/>
      <c r="AD34" s="2538"/>
      <c r="AE34" s="1228"/>
      <c r="AF34" s="1228"/>
      <c r="AG34" s="1228"/>
      <c r="AH34" s="1228"/>
      <c r="AI34" s="1228"/>
      <c r="AJ34" s="1228"/>
      <c r="AK34" s="1228"/>
      <c r="AL34" s="1228"/>
      <c r="AM34" s="1228"/>
      <c r="AN34" s="903"/>
    </row>
    <row r="35" spans="2:60" s="311" customFormat="1" ht="12.95" customHeight="1">
      <c r="B35" s="898"/>
      <c r="M35" s="2536"/>
      <c r="N35" s="2537"/>
      <c r="O35" s="2537"/>
      <c r="P35" s="2537"/>
      <c r="Q35" s="2537"/>
      <c r="R35" s="2537"/>
      <c r="S35" s="2537"/>
      <c r="T35" s="2537"/>
      <c r="U35" s="2537"/>
      <c r="V35" s="2537"/>
      <c r="W35" s="2537"/>
      <c r="X35" s="2537"/>
      <c r="Y35" s="2537"/>
      <c r="Z35" s="2537"/>
      <c r="AA35" s="2537"/>
      <c r="AB35" s="2537"/>
      <c r="AC35" s="2537"/>
      <c r="AD35" s="2538"/>
      <c r="AE35" s="1228"/>
      <c r="AF35" s="1228"/>
      <c r="AG35" s="1228"/>
      <c r="AH35" s="1228"/>
      <c r="AI35" s="1228"/>
      <c r="AJ35" s="1228"/>
      <c r="AK35" s="1228"/>
      <c r="AL35" s="1228"/>
      <c r="AM35" s="1228"/>
      <c r="AN35" s="622"/>
    </row>
    <row r="36" spans="2:60" s="311" customFormat="1" ht="12.95" customHeight="1">
      <c r="B36" s="898"/>
      <c r="M36" s="2536"/>
      <c r="N36" s="2537"/>
      <c r="O36" s="2537"/>
      <c r="P36" s="2537"/>
      <c r="Q36" s="2537"/>
      <c r="R36" s="2537"/>
      <c r="S36" s="2537"/>
      <c r="T36" s="2537"/>
      <c r="U36" s="2537"/>
      <c r="V36" s="2537"/>
      <c r="W36" s="2537"/>
      <c r="X36" s="2537"/>
      <c r="Y36" s="2537"/>
      <c r="Z36" s="2537"/>
      <c r="AA36" s="2537"/>
      <c r="AB36" s="2537"/>
      <c r="AC36" s="2537"/>
      <c r="AD36" s="2538"/>
      <c r="AE36" s="1228"/>
      <c r="AF36" s="1228"/>
      <c r="AG36" s="1228"/>
      <c r="AH36" s="1228"/>
      <c r="AI36" s="1228"/>
      <c r="AJ36" s="1228"/>
      <c r="AK36" s="1228"/>
      <c r="AL36" s="1228"/>
      <c r="AM36" s="1228"/>
      <c r="AN36" s="622"/>
    </row>
    <row r="37" spans="2:60" s="311" customFormat="1" ht="12.95" customHeight="1">
      <c r="B37" s="898"/>
      <c r="M37" s="2536"/>
      <c r="N37" s="2537"/>
      <c r="O37" s="2537"/>
      <c r="P37" s="2537"/>
      <c r="Q37" s="2537"/>
      <c r="R37" s="2537"/>
      <c r="S37" s="2537"/>
      <c r="T37" s="2537"/>
      <c r="U37" s="2537"/>
      <c r="V37" s="2537"/>
      <c r="W37" s="2537"/>
      <c r="X37" s="2537"/>
      <c r="Y37" s="2537"/>
      <c r="Z37" s="2537"/>
      <c r="AA37" s="2537"/>
      <c r="AB37" s="2537"/>
      <c r="AC37" s="2537"/>
      <c r="AD37" s="2538"/>
      <c r="AE37" s="1228"/>
      <c r="AF37" s="1228"/>
      <c r="AG37" s="1228"/>
      <c r="AH37" s="1228"/>
      <c r="AI37" s="1228"/>
      <c r="AJ37" s="1228"/>
      <c r="AK37" s="1228"/>
      <c r="AL37" s="1228"/>
      <c r="AM37" s="1228"/>
      <c r="AN37" s="622"/>
    </row>
    <row r="38" spans="2:60" s="311" customFormat="1" ht="12.95" customHeight="1">
      <c r="B38" s="898"/>
      <c r="M38" s="2536"/>
      <c r="N38" s="2537"/>
      <c r="O38" s="2537"/>
      <c r="P38" s="2537"/>
      <c r="Q38" s="2537"/>
      <c r="R38" s="2537"/>
      <c r="S38" s="2537"/>
      <c r="T38" s="2537"/>
      <c r="U38" s="2537"/>
      <c r="V38" s="2537"/>
      <c r="W38" s="2537"/>
      <c r="X38" s="2537"/>
      <c r="Y38" s="2537"/>
      <c r="Z38" s="2537"/>
      <c r="AA38" s="2537"/>
      <c r="AB38" s="2537"/>
      <c r="AC38" s="2537"/>
      <c r="AD38" s="2538"/>
      <c r="AE38" s="1228"/>
      <c r="AF38" s="1228"/>
      <c r="AG38" s="1228"/>
      <c r="AH38" s="1228"/>
      <c r="AI38" s="1228"/>
      <c r="AJ38" s="1228"/>
      <c r="AK38" s="1228"/>
      <c r="AL38" s="1228"/>
      <c r="AM38" s="1228"/>
      <c r="AN38" s="622"/>
      <c r="AQ38" s="2503" t="s">
        <v>2339</v>
      </c>
      <c r="AR38" s="2504"/>
      <c r="AS38" s="2504"/>
      <c r="AT38" s="2504"/>
      <c r="AU38" s="2504"/>
      <c r="AV38" s="2504"/>
      <c r="AW38" s="2504"/>
      <c r="AX38" s="2504"/>
      <c r="AY38" s="2504"/>
      <c r="AZ38" s="2504"/>
      <c r="BA38" s="2504"/>
      <c r="BB38" s="2504"/>
      <c r="BC38" s="2504"/>
      <c r="BD38" s="2504"/>
      <c r="BE38" s="2504"/>
      <c r="BF38" s="2504"/>
      <c r="BG38" s="2504"/>
      <c r="BH38" s="2505"/>
    </row>
    <row r="39" spans="2:60" s="311" customFormat="1" ht="12.95" customHeight="1">
      <c r="B39" s="898"/>
      <c r="M39" s="2536"/>
      <c r="N39" s="2537"/>
      <c r="O39" s="2537"/>
      <c r="P39" s="2537"/>
      <c r="Q39" s="2537"/>
      <c r="R39" s="2537"/>
      <c r="S39" s="2537"/>
      <c r="T39" s="2537"/>
      <c r="U39" s="2537"/>
      <c r="V39" s="2537"/>
      <c r="W39" s="2537"/>
      <c r="X39" s="2537"/>
      <c r="Y39" s="2537"/>
      <c r="Z39" s="2537"/>
      <c r="AA39" s="2537"/>
      <c r="AB39" s="2537"/>
      <c r="AC39" s="2537"/>
      <c r="AD39" s="2538"/>
      <c r="AE39" s="1228"/>
      <c r="AF39" s="1228"/>
      <c r="AG39" s="1228"/>
      <c r="AH39" s="1228"/>
      <c r="AI39" s="1228"/>
      <c r="AJ39" s="1228"/>
      <c r="AK39" s="1228"/>
      <c r="AL39" s="1228"/>
      <c r="AM39" s="1228"/>
      <c r="AN39" s="622"/>
      <c r="AQ39" s="2503"/>
      <c r="AR39" s="2504"/>
      <c r="AS39" s="2504"/>
      <c r="AT39" s="2504"/>
      <c r="AU39" s="2504"/>
      <c r="AV39" s="2504"/>
      <c r="AW39" s="2504"/>
      <c r="AX39" s="2504"/>
      <c r="AY39" s="2504"/>
      <c r="AZ39" s="2504"/>
      <c r="BA39" s="2504"/>
      <c r="BB39" s="2504"/>
      <c r="BC39" s="2504"/>
      <c r="BD39" s="2504"/>
      <c r="BE39" s="2504"/>
      <c r="BF39" s="2504"/>
      <c r="BG39" s="2504"/>
      <c r="BH39" s="2505"/>
    </row>
    <row r="40" spans="2:60" s="311" customFormat="1" ht="12.95" customHeight="1">
      <c r="B40" s="898"/>
      <c r="M40" s="2536"/>
      <c r="N40" s="2537"/>
      <c r="O40" s="2537"/>
      <c r="P40" s="2537"/>
      <c r="Q40" s="2537"/>
      <c r="R40" s="2537"/>
      <c r="S40" s="2537"/>
      <c r="T40" s="2537"/>
      <c r="U40" s="2537"/>
      <c r="V40" s="2537"/>
      <c r="W40" s="2537"/>
      <c r="X40" s="2537"/>
      <c r="Y40" s="2537"/>
      <c r="Z40" s="2537"/>
      <c r="AA40" s="2537"/>
      <c r="AB40" s="2537"/>
      <c r="AC40" s="2537"/>
      <c r="AD40" s="2538"/>
      <c r="AE40" s="1228"/>
      <c r="AF40" s="1228"/>
      <c r="AG40" s="1228"/>
      <c r="AH40" s="1228"/>
      <c r="AI40" s="1228"/>
      <c r="AJ40" s="1228"/>
      <c r="AK40" s="1228"/>
      <c r="AL40" s="1228"/>
      <c r="AM40" s="1228"/>
      <c r="AN40" s="622"/>
      <c r="AQ40" s="2503"/>
      <c r="AR40" s="2504"/>
      <c r="AS40" s="2504"/>
      <c r="AT40" s="2504"/>
      <c r="AU40" s="2504"/>
      <c r="AV40" s="2504"/>
      <c r="AW40" s="2504"/>
      <c r="AX40" s="2504"/>
      <c r="AY40" s="2504"/>
      <c r="AZ40" s="2504"/>
      <c r="BA40" s="2504"/>
      <c r="BB40" s="2504"/>
      <c r="BC40" s="2504"/>
      <c r="BD40" s="2504"/>
      <c r="BE40" s="2504"/>
      <c r="BF40" s="2504"/>
      <c r="BG40" s="2504"/>
      <c r="BH40" s="2505"/>
    </row>
    <row r="41" spans="2:60" s="311" customFormat="1" ht="12.95" customHeight="1">
      <c r="B41" s="898"/>
      <c r="M41" s="2536"/>
      <c r="N41" s="2537"/>
      <c r="O41" s="2537"/>
      <c r="P41" s="2537"/>
      <c r="Q41" s="2537"/>
      <c r="R41" s="2537"/>
      <c r="S41" s="2537"/>
      <c r="T41" s="2537"/>
      <c r="U41" s="2537"/>
      <c r="V41" s="2537"/>
      <c r="W41" s="2537"/>
      <c r="X41" s="2537"/>
      <c r="Y41" s="2537"/>
      <c r="Z41" s="2537"/>
      <c r="AA41" s="2537"/>
      <c r="AB41" s="2537"/>
      <c r="AC41" s="2537"/>
      <c r="AD41" s="2538"/>
      <c r="AE41" s="1228"/>
      <c r="AF41" s="1228"/>
      <c r="AG41" s="1228"/>
      <c r="AH41" s="1228"/>
      <c r="AI41" s="1228"/>
      <c r="AJ41" s="1228"/>
      <c r="AK41" s="1228"/>
      <c r="AL41" s="1228"/>
      <c r="AM41" s="1228"/>
      <c r="AN41" s="622"/>
    </row>
    <row r="42" spans="2:60" s="311" customFormat="1" ht="15" customHeight="1">
      <c r="B42" s="898"/>
      <c r="M42" s="2539"/>
      <c r="N42" s="2540"/>
      <c r="O42" s="2540"/>
      <c r="P42" s="2540"/>
      <c r="Q42" s="2540"/>
      <c r="R42" s="2540"/>
      <c r="S42" s="2540"/>
      <c r="T42" s="2540"/>
      <c r="U42" s="2540"/>
      <c r="V42" s="2540"/>
      <c r="W42" s="2540"/>
      <c r="X42" s="2540"/>
      <c r="Y42" s="2540"/>
      <c r="Z42" s="2540"/>
      <c r="AA42" s="2540"/>
      <c r="AB42" s="2540"/>
      <c r="AC42" s="2540"/>
      <c r="AD42" s="2541"/>
      <c r="AE42" s="1228"/>
      <c r="AF42" s="1228"/>
      <c r="AG42" s="1228"/>
      <c r="AH42" s="1228"/>
      <c r="AI42" s="1228"/>
      <c r="AJ42" s="1228"/>
      <c r="AK42" s="1228"/>
      <c r="AL42" s="1228"/>
      <c r="AM42" s="1228"/>
      <c r="AN42" s="622"/>
    </row>
    <row r="43" spans="2:60" s="311" customFormat="1" ht="9" customHeight="1">
      <c r="B43" s="898"/>
      <c r="M43" s="2503" t="s">
        <v>2339</v>
      </c>
      <c r="N43" s="2504"/>
      <c r="O43" s="2504"/>
      <c r="P43" s="2504"/>
      <c r="Q43" s="2504"/>
      <c r="R43" s="2504"/>
      <c r="S43" s="2504"/>
      <c r="T43" s="2504"/>
      <c r="U43" s="2504"/>
      <c r="V43" s="2504"/>
      <c r="W43" s="2504"/>
      <c r="X43" s="2504"/>
      <c r="Y43" s="2504"/>
      <c r="Z43" s="2504"/>
      <c r="AA43" s="2504"/>
      <c r="AB43" s="2504"/>
      <c r="AC43" s="2504"/>
      <c r="AD43" s="2505"/>
      <c r="AE43" s="1229"/>
      <c r="AF43" s="1229"/>
      <c r="AG43" s="1229"/>
      <c r="AH43" s="1229"/>
      <c r="AI43" s="1229"/>
      <c r="AJ43" s="1229"/>
      <c r="AK43" s="1229"/>
      <c r="AL43" s="1229"/>
      <c r="AM43" s="1229"/>
      <c r="AN43" s="622"/>
    </row>
    <row r="44" spans="2:60" ht="9" customHeight="1">
      <c r="B44" s="898"/>
      <c r="M44" s="2503"/>
      <c r="N44" s="2504"/>
      <c r="O44" s="2504"/>
      <c r="P44" s="2504"/>
      <c r="Q44" s="2504"/>
      <c r="R44" s="2504"/>
      <c r="S44" s="2504"/>
      <c r="T44" s="2504"/>
      <c r="U44" s="2504"/>
      <c r="V44" s="2504"/>
      <c r="W44" s="2504"/>
      <c r="X44" s="2504"/>
      <c r="Y44" s="2504"/>
      <c r="Z44" s="2504"/>
      <c r="AA44" s="2504"/>
      <c r="AB44" s="2504"/>
      <c r="AC44" s="2504"/>
      <c r="AD44" s="2505"/>
      <c r="AE44" s="1229"/>
      <c r="AF44" s="1229"/>
      <c r="AG44" s="1229"/>
      <c r="AH44" s="1229"/>
      <c r="AI44" s="1229"/>
      <c r="AJ44" s="1229"/>
      <c r="AK44" s="1229"/>
      <c r="AL44" s="1229"/>
      <c r="AM44" s="1229"/>
      <c r="AN44" s="901"/>
    </row>
    <row r="45" spans="2:60" s="307" customFormat="1" ht="9" customHeight="1">
      <c r="B45" s="898"/>
      <c r="M45" s="2503"/>
      <c r="N45" s="2504"/>
      <c r="O45" s="2504"/>
      <c r="P45" s="2504"/>
      <c r="Q45" s="2504"/>
      <c r="R45" s="2504"/>
      <c r="S45" s="2504"/>
      <c r="T45" s="2504"/>
      <c r="U45" s="2504"/>
      <c r="V45" s="2504"/>
      <c r="W45" s="2504"/>
      <c r="X45" s="2504"/>
      <c r="Y45" s="2504"/>
      <c r="Z45" s="2504"/>
      <c r="AA45" s="2504"/>
      <c r="AB45" s="2504"/>
      <c r="AC45" s="2504"/>
      <c r="AD45" s="2505"/>
      <c r="AE45" s="1229"/>
      <c r="AF45" s="1229"/>
      <c r="AG45" s="1229"/>
      <c r="AH45" s="1229"/>
      <c r="AI45" s="1229"/>
      <c r="AJ45" s="1229"/>
      <c r="AK45" s="1229"/>
      <c r="AL45" s="1229"/>
      <c r="AM45" s="1229"/>
      <c r="AN45" s="903"/>
    </row>
    <row r="46" spans="2:60" s="311" customFormat="1" ht="6" customHeight="1">
      <c r="B46" s="898"/>
      <c r="C46" s="899"/>
      <c r="D46" s="899"/>
      <c r="E46" s="899"/>
      <c r="F46" s="899"/>
      <c r="G46" s="899"/>
      <c r="H46" s="899"/>
      <c r="I46" s="899"/>
      <c r="J46" s="899"/>
      <c r="K46" s="899"/>
      <c r="L46" s="899"/>
      <c r="M46" s="899"/>
      <c r="N46" s="899"/>
      <c r="O46" s="899"/>
      <c r="P46" s="899"/>
      <c r="Q46" s="899"/>
      <c r="R46" s="899"/>
      <c r="S46" s="899"/>
      <c r="T46" s="899"/>
      <c r="U46" s="899"/>
      <c r="V46" s="899"/>
      <c r="W46" s="899"/>
      <c r="X46" s="899"/>
      <c r="Y46" s="899"/>
      <c r="Z46" s="899"/>
      <c r="AA46" s="899"/>
      <c r="AB46" s="899"/>
      <c r="AC46" s="899"/>
      <c r="AD46" s="899"/>
      <c r="AE46" s="899"/>
      <c r="AF46" s="899"/>
      <c r="AG46" s="899"/>
      <c r="AH46" s="899"/>
      <c r="AI46" s="899"/>
      <c r="AJ46" s="899"/>
      <c r="AK46" s="899"/>
      <c r="AL46" s="899"/>
      <c r="AM46" s="899"/>
      <c r="AN46" s="622"/>
    </row>
    <row r="47" spans="2:60" s="307" customFormat="1" ht="12.95" customHeight="1">
      <c r="B47" s="898"/>
      <c r="C47" s="1228"/>
      <c r="D47" s="1228"/>
      <c r="E47" s="1228"/>
      <c r="F47" s="1228"/>
      <c r="G47" s="1228"/>
      <c r="H47" s="1228"/>
      <c r="I47" s="1228"/>
      <c r="J47" s="1228"/>
      <c r="K47" s="1228"/>
      <c r="L47" s="1228"/>
      <c r="M47" s="1228"/>
      <c r="N47" s="1228"/>
      <c r="O47" s="1228"/>
      <c r="P47" s="1228"/>
      <c r="Q47" s="1228"/>
      <c r="R47" s="1228"/>
      <c r="S47" s="1228"/>
      <c r="T47" s="1228"/>
      <c r="U47" s="899"/>
      <c r="V47" s="1228"/>
      <c r="W47" s="1228"/>
      <c r="X47" s="1228"/>
      <c r="Y47" s="1228"/>
      <c r="Z47" s="1228"/>
      <c r="AA47" s="1228"/>
      <c r="AB47" s="1228"/>
      <c r="AC47" s="1228"/>
      <c r="AD47" s="1228"/>
      <c r="AE47" s="1228"/>
      <c r="AF47" s="1228"/>
      <c r="AG47" s="1228"/>
      <c r="AH47" s="1228"/>
      <c r="AI47" s="1228"/>
      <c r="AJ47" s="1228"/>
      <c r="AK47" s="1228"/>
      <c r="AL47" s="1228"/>
      <c r="AM47" s="1228"/>
      <c r="AN47" s="903"/>
    </row>
    <row r="48" spans="2:60" ht="12.95" customHeight="1">
      <c r="B48" s="898"/>
      <c r="C48" s="1228"/>
      <c r="D48" s="1228"/>
      <c r="E48" s="1228"/>
      <c r="F48" s="1228"/>
      <c r="G48" s="1228"/>
      <c r="H48" s="1228"/>
      <c r="I48" s="1228"/>
      <c r="J48" s="1228"/>
      <c r="K48" s="1228"/>
      <c r="L48" s="1228"/>
      <c r="M48" s="1228"/>
      <c r="N48" s="1228"/>
      <c r="O48" s="1228"/>
      <c r="P48" s="1228"/>
      <c r="Q48" s="1228"/>
      <c r="R48" s="1228"/>
      <c r="S48" s="1228"/>
      <c r="T48" s="1228"/>
      <c r="U48" s="899"/>
      <c r="V48" s="1228"/>
      <c r="W48" s="1228"/>
      <c r="X48" s="1228"/>
      <c r="Y48" s="1228"/>
      <c r="Z48" s="1228"/>
      <c r="AA48" s="1228"/>
      <c r="AB48" s="1228"/>
      <c r="AC48" s="1228"/>
      <c r="AD48" s="1228"/>
      <c r="AE48" s="1228"/>
      <c r="AF48" s="1228"/>
      <c r="AG48" s="1228"/>
      <c r="AH48" s="1228"/>
      <c r="AI48" s="1228"/>
      <c r="AJ48" s="1228"/>
      <c r="AK48" s="1228"/>
      <c r="AL48" s="1228"/>
      <c r="AM48" s="1228"/>
      <c r="AN48" s="901"/>
    </row>
    <row r="49" spans="2:40" ht="12.95" customHeight="1">
      <c r="B49" s="898"/>
      <c r="C49" s="1228"/>
      <c r="D49" s="1228"/>
      <c r="E49" s="1228"/>
      <c r="F49" s="1228"/>
      <c r="G49" s="1228"/>
      <c r="H49" s="1228"/>
      <c r="I49" s="1228"/>
      <c r="J49" s="1228"/>
      <c r="K49" s="1228"/>
      <c r="L49" s="1228"/>
      <c r="M49" s="1228"/>
      <c r="N49" s="1228"/>
      <c r="O49" s="1228"/>
      <c r="P49" s="1228"/>
      <c r="Q49" s="1228"/>
      <c r="R49" s="1228"/>
      <c r="S49" s="1228"/>
      <c r="T49" s="1228"/>
      <c r="U49" s="899"/>
      <c r="V49" s="1228"/>
      <c r="W49" s="1228"/>
      <c r="X49" s="1228"/>
      <c r="Y49" s="1228"/>
      <c r="Z49" s="1228"/>
      <c r="AA49" s="1228"/>
      <c r="AB49" s="1228"/>
      <c r="AC49" s="1228"/>
      <c r="AD49" s="1228"/>
      <c r="AE49" s="1228"/>
      <c r="AF49" s="1228"/>
      <c r="AG49" s="1228"/>
      <c r="AH49" s="1228"/>
      <c r="AI49" s="1228"/>
      <c r="AJ49" s="1228"/>
      <c r="AK49" s="1228"/>
      <c r="AL49" s="1228"/>
      <c r="AM49" s="1228"/>
      <c r="AN49" s="901"/>
    </row>
    <row r="50" spans="2:40" ht="12.95" customHeight="1">
      <c r="B50" s="898"/>
      <c r="C50" s="1228"/>
      <c r="D50" s="1228"/>
      <c r="E50" s="1228"/>
      <c r="F50" s="1228"/>
      <c r="G50" s="1228"/>
      <c r="H50" s="1228"/>
      <c r="I50" s="1228"/>
      <c r="J50" s="1228"/>
      <c r="K50" s="1228"/>
      <c r="L50" s="1228"/>
      <c r="M50" s="1228"/>
      <c r="N50" s="1228"/>
      <c r="O50" s="1228"/>
      <c r="P50" s="1228"/>
      <c r="Q50" s="1228"/>
      <c r="R50" s="1228"/>
      <c r="S50" s="1228"/>
      <c r="T50" s="1228"/>
      <c r="U50" s="899"/>
      <c r="V50" s="1228"/>
      <c r="W50" s="1228"/>
      <c r="X50" s="1228"/>
      <c r="Y50" s="1228"/>
      <c r="Z50" s="1228"/>
      <c r="AA50" s="1228"/>
      <c r="AB50" s="1228"/>
      <c r="AC50" s="1228"/>
      <c r="AD50" s="1228"/>
      <c r="AE50" s="1228"/>
      <c r="AF50" s="1228"/>
      <c r="AG50" s="1228"/>
      <c r="AH50" s="1228"/>
      <c r="AI50" s="1228"/>
      <c r="AJ50" s="1228"/>
      <c r="AK50" s="1228"/>
      <c r="AL50" s="1228"/>
      <c r="AM50" s="1228"/>
      <c r="AN50" s="901"/>
    </row>
    <row r="51" spans="2:40" ht="12.95" customHeight="1">
      <c r="B51" s="898"/>
      <c r="C51" s="1228"/>
      <c r="D51" s="1228"/>
      <c r="E51" s="1228"/>
      <c r="F51" s="1228"/>
      <c r="G51" s="1228"/>
      <c r="H51" s="1228"/>
      <c r="I51" s="1228"/>
      <c r="J51" s="1228"/>
      <c r="K51" s="1228"/>
      <c r="L51" s="1228"/>
      <c r="M51" s="1228"/>
      <c r="N51" s="1228"/>
      <c r="O51" s="1228"/>
      <c r="P51" s="1228"/>
      <c r="Q51" s="1228"/>
      <c r="R51" s="1228"/>
      <c r="S51" s="1228"/>
      <c r="T51" s="1228"/>
      <c r="U51" s="899"/>
      <c r="V51" s="1228"/>
      <c r="W51" s="1228"/>
      <c r="X51" s="1228"/>
      <c r="Y51" s="1228"/>
      <c r="Z51" s="1228"/>
      <c r="AA51" s="1228"/>
      <c r="AB51" s="1228"/>
      <c r="AC51" s="1228"/>
      <c r="AD51" s="1228"/>
      <c r="AE51" s="1228"/>
      <c r="AF51" s="1228"/>
      <c r="AG51" s="1228"/>
      <c r="AH51" s="1228"/>
      <c r="AI51" s="1228"/>
      <c r="AJ51" s="1228"/>
      <c r="AK51" s="1228"/>
      <c r="AL51" s="1228"/>
      <c r="AM51" s="1228"/>
      <c r="AN51" s="901"/>
    </row>
    <row r="52" spans="2:40" ht="12.95" hidden="1" customHeight="1">
      <c r="B52" s="898"/>
      <c r="C52" s="1228"/>
      <c r="D52" s="1228"/>
      <c r="E52" s="1228"/>
      <c r="F52" s="1228"/>
      <c r="G52" s="1228"/>
      <c r="H52" s="1228"/>
      <c r="I52" s="1228"/>
      <c r="J52" s="1228"/>
      <c r="K52" s="1228"/>
      <c r="L52" s="1228"/>
      <c r="M52" s="1228"/>
      <c r="N52" s="1228"/>
      <c r="O52" s="1228"/>
      <c r="P52" s="1228"/>
      <c r="Q52" s="1228"/>
      <c r="R52" s="1228"/>
      <c r="S52" s="1228"/>
      <c r="T52" s="1228"/>
      <c r="U52" s="899"/>
      <c r="V52" s="1228"/>
      <c r="W52" s="1228"/>
      <c r="X52" s="1228"/>
      <c r="Y52" s="1228"/>
      <c r="Z52" s="1228"/>
      <c r="AA52" s="1228"/>
      <c r="AB52" s="1228"/>
      <c r="AC52" s="1228"/>
      <c r="AD52" s="1228"/>
      <c r="AE52" s="1228"/>
      <c r="AF52" s="1228"/>
      <c r="AG52" s="1228"/>
      <c r="AH52" s="1228"/>
      <c r="AI52" s="1228"/>
      <c r="AJ52" s="1228"/>
      <c r="AK52" s="1228"/>
      <c r="AL52" s="1228"/>
      <c r="AM52" s="1228"/>
      <c r="AN52" s="901"/>
    </row>
    <row r="53" spans="2:40" ht="12.95" hidden="1" customHeight="1">
      <c r="B53" s="898"/>
      <c r="C53" s="1228"/>
      <c r="D53" s="1228"/>
      <c r="E53" s="1228"/>
      <c r="F53" s="1228"/>
      <c r="G53" s="1228"/>
      <c r="H53" s="1228"/>
      <c r="I53" s="1228"/>
      <c r="J53" s="1228"/>
      <c r="K53" s="1228"/>
      <c r="L53" s="1228"/>
      <c r="M53" s="1228"/>
      <c r="N53" s="1228"/>
      <c r="O53" s="1228"/>
      <c r="P53" s="1228"/>
      <c r="Q53" s="1228"/>
      <c r="R53" s="1228"/>
      <c r="S53" s="1228"/>
      <c r="T53" s="1228"/>
      <c r="U53" s="899"/>
      <c r="V53" s="1228"/>
      <c r="W53" s="1228"/>
      <c r="X53" s="1228"/>
      <c r="Y53" s="1228"/>
      <c r="Z53" s="1228"/>
      <c r="AA53" s="1228"/>
      <c r="AB53" s="1228"/>
      <c r="AC53" s="1228"/>
      <c r="AD53" s="1228"/>
      <c r="AE53" s="1228"/>
      <c r="AF53" s="1228"/>
      <c r="AG53" s="1228"/>
      <c r="AH53" s="1228"/>
      <c r="AI53" s="1228"/>
      <c r="AJ53" s="1228"/>
      <c r="AK53" s="1228"/>
      <c r="AL53" s="1228"/>
      <c r="AM53" s="1228"/>
      <c r="AN53" s="901"/>
    </row>
    <row r="54" spans="2:40" ht="12.95" customHeight="1">
      <c r="B54" s="898"/>
      <c r="C54" s="1228"/>
      <c r="D54" s="1228"/>
      <c r="E54" s="1228"/>
      <c r="F54" s="1228"/>
      <c r="G54" s="1228"/>
      <c r="H54" s="1228"/>
      <c r="I54" s="1228"/>
      <c r="J54" s="1228"/>
      <c r="K54" s="1228"/>
      <c r="L54" s="1228"/>
      <c r="M54" s="1228"/>
      <c r="N54" s="1228"/>
      <c r="O54" s="1228"/>
      <c r="P54" s="1228"/>
      <c r="Q54" s="1228"/>
      <c r="R54" s="1228"/>
      <c r="S54" s="1228"/>
      <c r="T54" s="1228"/>
      <c r="U54" s="899"/>
      <c r="V54" s="1228"/>
      <c r="W54" s="1228"/>
      <c r="X54" s="1228"/>
      <c r="Y54" s="1228"/>
      <c r="Z54" s="1228"/>
      <c r="AA54" s="1228"/>
      <c r="AB54" s="1228"/>
      <c r="AC54" s="1228"/>
      <c r="AD54" s="1228"/>
      <c r="AE54" s="1228"/>
      <c r="AF54" s="1228"/>
      <c r="AG54" s="1228"/>
      <c r="AH54" s="1228"/>
      <c r="AI54" s="1228"/>
      <c r="AJ54" s="1228"/>
      <c r="AK54" s="1228"/>
      <c r="AL54" s="1228"/>
      <c r="AM54" s="1228"/>
      <c r="AN54" s="901"/>
    </row>
    <row r="55" spans="2:40" ht="12.95" customHeight="1">
      <c r="B55" s="898"/>
      <c r="C55" s="1228"/>
      <c r="D55" s="1228"/>
      <c r="E55" s="1228"/>
      <c r="F55" s="1228"/>
      <c r="G55" s="1228"/>
      <c r="H55" s="1228"/>
      <c r="I55" s="1228"/>
      <c r="J55" s="1228"/>
      <c r="K55" s="1228"/>
      <c r="L55" s="1228"/>
      <c r="M55" s="1228"/>
      <c r="N55" s="1228"/>
      <c r="O55" s="1228"/>
      <c r="P55" s="1228"/>
      <c r="Q55" s="1228"/>
      <c r="R55" s="1228"/>
      <c r="S55" s="1228"/>
      <c r="T55" s="1228"/>
      <c r="U55" s="899"/>
      <c r="V55" s="1228"/>
      <c r="W55" s="1228"/>
      <c r="X55" s="1228"/>
      <c r="Y55" s="1228"/>
      <c r="Z55" s="1228"/>
      <c r="AA55" s="1228"/>
      <c r="AB55" s="1228"/>
      <c r="AC55" s="1228"/>
      <c r="AD55" s="1228"/>
      <c r="AE55" s="1228"/>
      <c r="AF55" s="1228"/>
      <c r="AG55" s="1228"/>
      <c r="AH55" s="1228"/>
      <c r="AI55" s="1228"/>
      <c r="AJ55" s="1228"/>
      <c r="AK55" s="1228"/>
      <c r="AL55" s="1228"/>
      <c r="AM55" s="1228"/>
      <c r="AN55" s="901"/>
    </row>
    <row r="56" spans="2:40" s="311" customFormat="1" ht="12.95" customHeight="1">
      <c r="B56" s="898"/>
      <c r="C56" s="1228"/>
      <c r="D56" s="1228"/>
      <c r="E56" s="1228"/>
      <c r="F56" s="1228"/>
      <c r="G56" s="1228"/>
      <c r="H56" s="1228"/>
      <c r="I56" s="1228"/>
      <c r="J56" s="1228"/>
      <c r="K56" s="1228"/>
      <c r="L56" s="1228"/>
      <c r="M56" s="1228"/>
      <c r="N56" s="1228"/>
      <c r="O56" s="1228"/>
      <c r="P56" s="1228"/>
      <c r="Q56" s="1228"/>
      <c r="R56" s="1228"/>
      <c r="S56" s="1228"/>
      <c r="T56" s="1228"/>
      <c r="U56" s="899"/>
      <c r="V56" s="1228"/>
      <c r="W56" s="1228"/>
      <c r="X56" s="1228"/>
      <c r="Y56" s="1228"/>
      <c r="Z56" s="1228"/>
      <c r="AA56" s="1228"/>
      <c r="AB56" s="1228"/>
      <c r="AC56" s="1228"/>
      <c r="AD56" s="1228"/>
      <c r="AE56" s="1228"/>
      <c r="AF56" s="1228"/>
      <c r="AG56" s="1228"/>
      <c r="AH56" s="1228"/>
      <c r="AI56" s="1228"/>
      <c r="AJ56" s="1228"/>
      <c r="AK56" s="1228"/>
      <c r="AL56" s="1228"/>
      <c r="AM56" s="1228"/>
      <c r="AN56" s="622"/>
    </row>
    <row r="57" spans="2:40" s="311" customFormat="1" ht="12.95" customHeight="1">
      <c r="B57" s="898"/>
      <c r="C57" s="1228"/>
      <c r="D57" s="1228"/>
      <c r="E57" s="1228"/>
      <c r="F57" s="1228"/>
      <c r="G57" s="1228"/>
      <c r="H57" s="1228"/>
      <c r="I57" s="1228"/>
      <c r="J57" s="1228"/>
      <c r="K57" s="1228"/>
      <c r="L57" s="1228"/>
      <c r="M57" s="1228"/>
      <c r="N57" s="1228"/>
      <c r="O57" s="1228"/>
      <c r="P57" s="1228"/>
      <c r="Q57" s="1228"/>
      <c r="R57" s="1228"/>
      <c r="S57" s="1228"/>
      <c r="T57" s="1228"/>
      <c r="U57" s="899"/>
      <c r="V57" s="1228"/>
      <c r="W57" s="1228"/>
      <c r="X57" s="1228"/>
      <c r="Y57" s="1228"/>
      <c r="Z57" s="1228"/>
      <c r="AA57" s="1228"/>
      <c r="AB57" s="1228"/>
      <c r="AC57" s="1228"/>
      <c r="AD57" s="1228"/>
      <c r="AE57" s="1228"/>
      <c r="AF57" s="1228"/>
      <c r="AG57" s="1228"/>
      <c r="AH57" s="1228"/>
      <c r="AI57" s="1228"/>
      <c r="AJ57" s="1228"/>
      <c r="AK57" s="1228"/>
      <c r="AL57" s="1228"/>
      <c r="AM57" s="1228"/>
      <c r="AN57" s="622"/>
    </row>
    <row r="58" spans="2:40" s="311" customFormat="1" ht="12.95" customHeight="1">
      <c r="B58" s="898"/>
      <c r="C58" s="1228"/>
      <c r="D58" s="1228"/>
      <c r="E58" s="1228"/>
      <c r="F58" s="1228"/>
      <c r="G58" s="1228"/>
      <c r="H58" s="1228"/>
      <c r="I58" s="1228"/>
      <c r="J58" s="1228"/>
      <c r="K58" s="1228"/>
      <c r="L58" s="1228"/>
      <c r="M58" s="1228"/>
      <c r="N58" s="1228"/>
      <c r="O58" s="1228"/>
      <c r="P58" s="1228"/>
      <c r="Q58" s="1228"/>
      <c r="R58" s="1228"/>
      <c r="S58" s="1228"/>
      <c r="T58" s="1228"/>
      <c r="U58" s="899"/>
      <c r="V58" s="1228"/>
      <c r="W58" s="1228"/>
      <c r="X58" s="1228"/>
      <c r="Y58" s="1228"/>
      <c r="Z58" s="1228"/>
      <c r="AA58" s="1228"/>
      <c r="AB58" s="1228"/>
      <c r="AC58" s="1228"/>
      <c r="AD58" s="1228"/>
      <c r="AE58" s="1228"/>
      <c r="AF58" s="1228"/>
      <c r="AG58" s="1228"/>
      <c r="AH58" s="1228"/>
      <c r="AI58" s="1228"/>
      <c r="AJ58" s="1228"/>
      <c r="AK58" s="1228"/>
      <c r="AL58" s="1228"/>
      <c r="AM58" s="1228"/>
      <c r="AN58" s="622"/>
    </row>
    <row r="59" spans="2:40" s="311" customFormat="1" ht="12.95" customHeight="1">
      <c r="B59" s="898"/>
      <c r="C59" s="1228"/>
      <c r="D59" s="1228"/>
      <c r="E59" s="1228"/>
      <c r="F59" s="1228"/>
      <c r="G59" s="1228"/>
      <c r="H59" s="1228"/>
      <c r="I59" s="1228"/>
      <c r="J59" s="1228"/>
      <c r="K59" s="1228"/>
      <c r="L59" s="1228"/>
      <c r="M59" s="1228"/>
      <c r="N59" s="1228"/>
      <c r="O59" s="1228"/>
      <c r="P59" s="1228"/>
      <c r="Q59" s="1228"/>
      <c r="R59" s="1228"/>
      <c r="S59" s="1228"/>
      <c r="T59" s="1228"/>
      <c r="U59" s="899"/>
      <c r="V59" s="1228"/>
      <c r="W59" s="1228"/>
      <c r="X59" s="1228"/>
      <c r="Y59" s="1228"/>
      <c r="Z59" s="1228"/>
      <c r="AA59" s="1228"/>
      <c r="AB59" s="1228"/>
      <c r="AC59" s="1228"/>
      <c r="AD59" s="1228"/>
      <c r="AE59" s="1228"/>
      <c r="AF59" s="1228"/>
      <c r="AG59" s="1228"/>
      <c r="AH59" s="1228"/>
      <c r="AI59" s="1228"/>
      <c r="AJ59" s="1228"/>
      <c r="AK59" s="1228"/>
      <c r="AL59" s="1228"/>
      <c r="AM59" s="1228"/>
      <c r="AN59" s="622"/>
    </row>
    <row r="60" spans="2:40" s="311" customFormat="1" ht="12.95" customHeight="1">
      <c r="B60" s="898"/>
      <c r="C60" s="1228"/>
      <c r="D60" s="1228"/>
      <c r="E60" s="1228"/>
      <c r="F60" s="1228"/>
      <c r="G60" s="1228"/>
      <c r="H60" s="1228"/>
      <c r="I60" s="1228"/>
      <c r="J60" s="1228"/>
      <c r="K60" s="1228"/>
      <c r="L60" s="1228"/>
      <c r="M60" s="1228"/>
      <c r="N60" s="1228"/>
      <c r="O60" s="1228"/>
      <c r="P60" s="1228"/>
      <c r="Q60" s="1228"/>
      <c r="R60" s="1228"/>
      <c r="S60" s="1228"/>
      <c r="T60" s="1228"/>
      <c r="U60" s="899"/>
      <c r="V60" s="1228"/>
      <c r="W60" s="1228"/>
      <c r="X60" s="1228"/>
      <c r="Y60" s="1228"/>
      <c r="Z60" s="1228"/>
      <c r="AA60" s="1228"/>
      <c r="AB60" s="1228"/>
      <c r="AC60" s="1228"/>
      <c r="AD60" s="1228"/>
      <c r="AE60" s="1228"/>
      <c r="AF60" s="1228"/>
      <c r="AG60" s="1228"/>
      <c r="AH60" s="1228"/>
      <c r="AI60" s="1228"/>
      <c r="AJ60" s="1228"/>
      <c r="AK60" s="1228"/>
      <c r="AL60" s="1228"/>
      <c r="AM60" s="1228"/>
      <c r="AN60" s="622"/>
    </row>
    <row r="61" spans="2:40" s="311" customFormat="1" ht="17.25" customHeight="1">
      <c r="B61" s="898"/>
      <c r="C61" s="1228"/>
      <c r="D61" s="1228"/>
      <c r="E61" s="1228"/>
      <c r="F61" s="1228"/>
      <c r="G61" s="1228"/>
      <c r="H61" s="1228"/>
      <c r="I61" s="1228"/>
      <c r="J61" s="1228"/>
      <c r="K61" s="1228"/>
      <c r="L61" s="1228"/>
      <c r="M61" s="1228"/>
      <c r="N61" s="1228"/>
      <c r="O61" s="1228"/>
      <c r="P61" s="1228"/>
      <c r="Q61" s="1228"/>
      <c r="R61" s="1228"/>
      <c r="S61" s="1228"/>
      <c r="T61" s="1228"/>
      <c r="U61" s="899"/>
      <c r="V61" s="1228"/>
      <c r="W61" s="1228"/>
      <c r="X61" s="1228"/>
      <c r="Y61" s="1228"/>
      <c r="Z61" s="1228"/>
      <c r="AA61" s="1228"/>
      <c r="AB61" s="1228"/>
      <c r="AC61" s="1228"/>
      <c r="AD61" s="1228"/>
      <c r="AE61" s="1228"/>
      <c r="AF61" s="1228"/>
      <c r="AG61" s="1228"/>
      <c r="AH61" s="1228"/>
      <c r="AI61" s="1228"/>
      <c r="AJ61" s="1228"/>
      <c r="AK61" s="1228"/>
      <c r="AL61" s="1228"/>
      <c r="AM61" s="1228"/>
      <c r="AN61" s="622"/>
    </row>
    <row r="62" spans="2:40" s="311" customFormat="1" ht="9" customHeight="1">
      <c r="B62" s="898"/>
      <c r="C62" s="1229"/>
      <c r="D62" s="1229"/>
      <c r="E62" s="1229"/>
      <c r="F62" s="1229"/>
      <c r="G62" s="1229"/>
      <c r="H62" s="1229"/>
      <c r="I62" s="1229"/>
      <c r="J62" s="1229"/>
      <c r="K62" s="1229"/>
      <c r="L62" s="1229"/>
      <c r="M62" s="1229"/>
      <c r="N62" s="1229"/>
      <c r="O62" s="1229"/>
      <c r="P62" s="1229"/>
      <c r="Q62" s="1229"/>
      <c r="R62" s="1229"/>
      <c r="S62" s="1229"/>
      <c r="T62" s="1229"/>
      <c r="U62" s="899"/>
      <c r="V62" s="1229"/>
      <c r="W62" s="1229"/>
      <c r="X62" s="1229"/>
      <c r="Y62" s="1229"/>
      <c r="Z62" s="1229"/>
      <c r="AA62" s="1229"/>
      <c r="AB62" s="1229"/>
      <c r="AC62" s="1229"/>
      <c r="AD62" s="1229"/>
      <c r="AE62" s="1229"/>
      <c r="AF62" s="1229"/>
      <c r="AG62" s="1229"/>
      <c r="AH62" s="1229"/>
      <c r="AI62" s="1229"/>
      <c r="AJ62" s="1229"/>
      <c r="AK62" s="1229"/>
      <c r="AL62" s="1229"/>
      <c r="AM62" s="1229"/>
      <c r="AN62" s="622"/>
    </row>
    <row r="63" spans="2:40" s="311" customFormat="1" ht="9" customHeight="1">
      <c r="B63" s="898"/>
      <c r="C63" s="1229"/>
      <c r="D63" s="1229"/>
      <c r="E63" s="1229"/>
      <c r="F63" s="1229"/>
      <c r="G63" s="1229"/>
      <c r="H63" s="1229"/>
      <c r="I63" s="1229"/>
      <c r="J63" s="1229"/>
      <c r="K63" s="1229"/>
      <c r="L63" s="1229"/>
      <c r="M63" s="1229"/>
      <c r="N63" s="1229"/>
      <c r="O63" s="1229"/>
      <c r="P63" s="1229"/>
      <c r="Q63" s="1229"/>
      <c r="R63" s="1229"/>
      <c r="S63" s="1229"/>
      <c r="T63" s="1229"/>
      <c r="U63" s="899"/>
      <c r="V63" s="1229"/>
      <c r="W63" s="1229"/>
      <c r="X63" s="1229"/>
      <c r="Y63" s="1229"/>
      <c r="Z63" s="1229"/>
      <c r="AA63" s="1229"/>
      <c r="AB63" s="1229"/>
      <c r="AC63" s="1229"/>
      <c r="AD63" s="1229"/>
      <c r="AE63" s="1229"/>
      <c r="AF63" s="1229"/>
      <c r="AG63" s="1229"/>
      <c r="AH63" s="1229"/>
      <c r="AI63" s="1229"/>
      <c r="AJ63" s="1229"/>
      <c r="AK63" s="1229"/>
      <c r="AL63" s="1229"/>
      <c r="AM63" s="1229"/>
      <c r="AN63" s="622"/>
    </row>
    <row r="64" spans="2:40" s="311" customFormat="1" ht="9" customHeight="1">
      <c r="B64" s="898"/>
      <c r="C64" s="1229"/>
      <c r="D64" s="1229"/>
      <c r="E64" s="1229"/>
      <c r="F64" s="1229"/>
      <c r="G64" s="1229"/>
      <c r="H64" s="1229"/>
      <c r="I64" s="1229"/>
      <c r="J64" s="1229"/>
      <c r="K64" s="1229"/>
      <c r="L64" s="1229"/>
      <c r="M64" s="1229"/>
      <c r="N64" s="1229"/>
      <c r="O64" s="1229"/>
      <c r="P64" s="1229"/>
      <c r="Q64" s="1229"/>
      <c r="R64" s="1229"/>
      <c r="S64" s="1229"/>
      <c r="T64" s="1229"/>
      <c r="U64" s="899"/>
      <c r="V64" s="1229"/>
      <c r="W64" s="1229"/>
      <c r="X64" s="1229"/>
      <c r="Y64" s="1229"/>
      <c r="Z64" s="1229"/>
      <c r="AA64" s="1229"/>
      <c r="AB64" s="1229"/>
      <c r="AC64" s="1229"/>
      <c r="AD64" s="1229"/>
      <c r="AE64" s="1229"/>
      <c r="AF64" s="1229"/>
      <c r="AG64" s="1229"/>
      <c r="AH64" s="1229"/>
      <c r="AI64" s="1229"/>
      <c r="AJ64" s="1229"/>
      <c r="AK64" s="1229"/>
      <c r="AL64" s="1229"/>
      <c r="AM64" s="1229"/>
      <c r="AN64" s="622"/>
    </row>
    <row r="65" spans="2:46" s="311" customFormat="1" ht="6" customHeight="1">
      <c r="B65" s="907"/>
      <c r="C65" s="908"/>
      <c r="D65" s="908"/>
      <c r="E65" s="908"/>
      <c r="F65" s="908"/>
      <c r="G65" s="908"/>
      <c r="H65" s="908"/>
      <c r="I65" s="908"/>
      <c r="J65" s="908"/>
      <c r="K65" s="908"/>
      <c r="L65" s="908"/>
      <c r="M65" s="908"/>
      <c r="N65" s="908"/>
      <c r="O65" s="908"/>
      <c r="P65" s="908"/>
      <c r="Q65" s="908"/>
      <c r="R65" s="908"/>
      <c r="S65" s="908"/>
      <c r="T65" s="908"/>
      <c r="U65" s="908"/>
      <c r="V65" s="908"/>
      <c r="W65" s="908"/>
      <c r="X65" s="908"/>
      <c r="Y65" s="908"/>
      <c r="Z65" s="908"/>
      <c r="AA65" s="908"/>
      <c r="AB65" s="908"/>
      <c r="AC65" s="908"/>
      <c r="AD65" s="908"/>
      <c r="AE65" s="908"/>
      <c r="AF65" s="908"/>
      <c r="AG65" s="908"/>
      <c r="AH65" s="908"/>
      <c r="AI65" s="908"/>
      <c r="AJ65" s="908"/>
      <c r="AK65" s="908"/>
      <c r="AL65" s="908"/>
      <c r="AM65" s="908"/>
      <c r="AN65" s="909"/>
    </row>
    <row r="66" spans="2:46" s="319" customFormat="1" ht="30" hidden="1" customHeight="1" thickBot="1">
      <c r="AI66" s="819"/>
      <c r="AK66" s="819"/>
      <c r="AL66" s="820"/>
      <c r="AM66" s="820"/>
      <c r="AN66" s="384" t="str">
        <f>CONCATENATE("Hal. - ",AP66,"  dari  ",AS66)</f>
        <v>Hal. - 9  dari  10</v>
      </c>
      <c r="AO66" s="386"/>
      <c r="AP66" s="1881">
        <f>'BCT-PRINT'!AR52+1</f>
        <v>9</v>
      </c>
      <c r="AQ66" s="1882"/>
      <c r="AR66" s="387" t="s">
        <v>3</v>
      </c>
      <c r="AS66" s="1881">
        <f>'Surat-01'!$AW$55</f>
        <v>10</v>
      </c>
      <c r="AT66" s="1882"/>
    </row>
    <row r="67" spans="2:46" ht="9.9499999999999993" hidden="1" customHeight="1">
      <c r="B67" s="2515" t="s">
        <v>2337</v>
      </c>
      <c r="C67" s="2516"/>
      <c r="D67" s="2516"/>
      <c r="E67" s="2516"/>
      <c r="F67" s="2516"/>
      <c r="G67" s="2516"/>
      <c r="H67" s="2516"/>
      <c r="I67" s="2516"/>
      <c r="J67" s="2517"/>
      <c r="K67" s="891"/>
      <c r="L67" s="891"/>
      <c r="M67" s="891"/>
      <c r="N67" s="891"/>
      <c r="O67" s="891"/>
      <c r="P67" s="891"/>
      <c r="Q67" s="891"/>
      <c r="R67" s="891"/>
      <c r="S67" s="891"/>
      <c r="T67" s="891"/>
      <c r="U67" s="891"/>
      <c r="V67" s="891"/>
      <c r="W67" s="891"/>
      <c r="X67" s="891"/>
      <c r="Y67" s="891"/>
      <c r="Z67" s="891"/>
      <c r="AA67" s="891"/>
      <c r="AB67" s="891"/>
      <c r="AC67" s="891"/>
      <c r="AD67" s="891"/>
      <c r="AE67" s="891"/>
      <c r="AF67" s="891"/>
      <c r="AG67" s="891"/>
      <c r="AH67" s="891"/>
      <c r="AI67" s="891"/>
      <c r="AJ67" s="891"/>
      <c r="AK67" s="891"/>
      <c r="AL67" s="891"/>
      <c r="AM67" s="891"/>
      <c r="AN67" s="834"/>
    </row>
    <row r="68" spans="2:46" ht="14.1" hidden="1" customHeight="1">
      <c r="B68" s="2518"/>
      <c r="C68" s="2519"/>
      <c r="D68" s="2519"/>
      <c r="E68" s="2519"/>
      <c r="F68" s="2519"/>
      <c r="G68" s="2519"/>
      <c r="H68" s="2519"/>
      <c r="I68" s="2519"/>
      <c r="J68" s="2520"/>
      <c r="K68" s="357" t="s">
        <v>1770</v>
      </c>
      <c r="L68" s="317" t="str">
        <f>L3</f>
        <v>Debitur</v>
      </c>
      <c r="M68" s="330"/>
      <c r="N68" s="330"/>
      <c r="O68" s="330"/>
      <c r="P68" s="330"/>
      <c r="Q68" s="320" t="s">
        <v>5</v>
      </c>
      <c r="R68" s="330" t="str">
        <f>R3</f>
        <v>PT. XYZ</v>
      </c>
      <c r="T68" s="320"/>
      <c r="U68" s="330"/>
      <c r="V68" s="318"/>
      <c r="W68" s="318"/>
      <c r="X68" s="318"/>
      <c r="Y68" s="318"/>
      <c r="Z68" s="318"/>
      <c r="AA68" s="318"/>
      <c r="AB68" s="318"/>
      <c r="AC68" s="318"/>
      <c r="AD68" s="318"/>
      <c r="AE68" s="318"/>
      <c r="AF68" s="318"/>
      <c r="AG68" s="318"/>
      <c r="AH68" s="318"/>
      <c r="AI68" s="318"/>
      <c r="AJ68" s="318"/>
      <c r="AK68" s="318"/>
      <c r="AL68" s="318"/>
      <c r="AM68" s="318"/>
      <c r="AN68" s="315"/>
    </row>
    <row r="69" spans="2:46" s="307" customFormat="1" ht="14.1" hidden="1" customHeight="1">
      <c r="B69" s="2521" t="s">
        <v>2338</v>
      </c>
      <c r="C69" s="2522"/>
      <c r="D69" s="2522"/>
      <c r="E69" s="2522"/>
      <c r="F69" s="2522"/>
      <c r="G69" s="2522"/>
      <c r="H69" s="2522"/>
      <c r="I69" s="2522"/>
      <c r="J69" s="2523"/>
      <c r="T69" s="318"/>
      <c r="U69" s="318"/>
      <c r="V69" s="318"/>
      <c r="W69" s="318"/>
      <c r="X69" s="318"/>
      <c r="Y69" s="318"/>
      <c r="Z69" s="318"/>
      <c r="AA69" s="318"/>
      <c r="AB69" s="1015"/>
      <c r="AC69" s="318"/>
      <c r="AD69" s="300"/>
      <c r="AE69" s="300"/>
      <c r="AF69" s="318"/>
      <c r="AG69" s="339"/>
      <c r="AH69" s="893"/>
      <c r="AJ69" s="300"/>
      <c r="AK69" s="318"/>
      <c r="AL69" s="318"/>
      <c r="AM69" s="318"/>
      <c r="AN69" s="315"/>
    </row>
    <row r="70" spans="2:46" ht="14.1" hidden="1" customHeight="1">
      <c r="B70" s="2521"/>
      <c r="C70" s="2522"/>
      <c r="D70" s="2522"/>
      <c r="E70" s="2522"/>
      <c r="F70" s="2522"/>
      <c r="G70" s="2522"/>
      <c r="H70" s="2522"/>
      <c r="I70" s="2522"/>
      <c r="J70" s="2523"/>
      <c r="K70" s="357" t="s">
        <v>1770</v>
      </c>
      <c r="L70" s="317" t="s">
        <v>2034</v>
      </c>
      <c r="M70" s="318"/>
      <c r="N70" s="318"/>
      <c r="O70" s="318"/>
      <c r="P70" s="307"/>
      <c r="Q70" s="320" t="s">
        <v>5</v>
      </c>
      <c r="R70" s="318" t="str">
        <f>Entry!$L$9</f>
        <v>0123-LK/KJPP-ASUS/V/18</v>
      </c>
      <c r="S70" s="1105"/>
      <c r="T70" s="1105"/>
      <c r="U70" s="1105"/>
      <c r="V70" s="1105"/>
      <c r="W70" s="1105"/>
      <c r="X70" s="1105"/>
      <c r="Y70" s="1105"/>
      <c r="Z70" s="1105"/>
      <c r="AA70" s="1105"/>
      <c r="AB70" s="1105"/>
      <c r="AC70" s="1105"/>
      <c r="AD70" s="1105"/>
      <c r="AE70" s="1105"/>
      <c r="AF70" s="1105"/>
      <c r="AG70" s="1105"/>
      <c r="AH70" s="1105"/>
      <c r="AI70" s="1105"/>
      <c r="AJ70" s="1105"/>
      <c r="AK70" s="1105"/>
      <c r="AL70" s="1105"/>
      <c r="AM70" s="1105"/>
      <c r="AN70" s="894"/>
      <c r="AO70" s="365"/>
    </row>
    <row r="71" spans="2:46" s="317" customFormat="1" ht="7.5" hidden="1" customHeight="1">
      <c r="B71" s="2521"/>
      <c r="C71" s="2522"/>
      <c r="D71" s="2522"/>
      <c r="E71" s="2522"/>
      <c r="F71" s="2522"/>
      <c r="G71" s="2522"/>
      <c r="H71" s="2522"/>
      <c r="I71" s="2522"/>
      <c r="J71" s="2523"/>
      <c r="K71" s="318"/>
      <c r="L71" s="1105"/>
      <c r="M71" s="1105"/>
      <c r="N71" s="1105"/>
      <c r="O71" s="1105"/>
      <c r="P71" s="1105"/>
      <c r="Q71" s="1105"/>
      <c r="R71" s="1105"/>
      <c r="S71" s="1105"/>
      <c r="T71" s="1105"/>
      <c r="U71" s="1105"/>
      <c r="V71" s="1105"/>
      <c r="W71" s="1105"/>
      <c r="X71" s="1105"/>
      <c r="Y71" s="1105"/>
      <c r="Z71" s="1105"/>
      <c r="AA71" s="1105"/>
      <c r="AB71" s="1105"/>
      <c r="AC71" s="1105"/>
      <c r="AD71" s="1105"/>
      <c r="AE71" s="1105"/>
      <c r="AF71" s="1105"/>
      <c r="AG71" s="1105"/>
      <c r="AH71" s="1105"/>
      <c r="AI71" s="1105"/>
      <c r="AJ71" s="1105"/>
      <c r="AK71" s="1105"/>
      <c r="AL71" s="1105"/>
      <c r="AM71" s="1105"/>
      <c r="AN71" s="328"/>
    </row>
    <row r="72" spans="2:46" s="317" customFormat="1" ht="4.5" hidden="1" customHeight="1">
      <c r="B72" s="895"/>
      <c r="C72" s="896"/>
      <c r="D72" s="896"/>
      <c r="E72" s="896"/>
      <c r="F72" s="896"/>
      <c r="G72" s="896"/>
      <c r="H72" s="896"/>
      <c r="I72" s="896"/>
      <c r="J72" s="897"/>
      <c r="K72" s="896"/>
      <c r="L72" s="896"/>
      <c r="M72" s="896"/>
      <c r="N72" s="896"/>
      <c r="O72" s="896"/>
      <c r="P72" s="896"/>
      <c r="Q72" s="896"/>
      <c r="R72" s="896"/>
      <c r="S72" s="896"/>
      <c r="T72" s="896"/>
      <c r="U72" s="896"/>
      <c r="V72" s="896"/>
      <c r="W72" s="896"/>
      <c r="X72" s="896"/>
      <c r="Y72" s="896"/>
      <c r="Z72" s="896"/>
      <c r="AA72" s="896"/>
      <c r="AB72" s="896"/>
      <c r="AC72" s="896"/>
      <c r="AD72" s="896"/>
      <c r="AE72" s="896"/>
      <c r="AF72" s="896"/>
      <c r="AG72" s="896"/>
      <c r="AH72" s="896"/>
      <c r="AI72" s="896"/>
      <c r="AJ72" s="896"/>
      <c r="AK72" s="896"/>
      <c r="AL72" s="896"/>
      <c r="AM72" s="896"/>
      <c r="AN72" s="857"/>
    </row>
    <row r="73" spans="2:46" s="317" customFormat="1" ht="9.9499999999999993" hidden="1" customHeight="1">
      <c r="B73" s="898"/>
      <c r="C73" s="899"/>
      <c r="D73" s="899"/>
      <c r="E73" s="899"/>
      <c r="F73" s="899"/>
      <c r="G73" s="899"/>
      <c r="H73" s="899"/>
      <c r="I73" s="899"/>
      <c r="J73" s="899"/>
      <c r="K73" s="899"/>
      <c r="L73" s="899"/>
      <c r="M73" s="899"/>
      <c r="N73" s="899"/>
      <c r="O73" s="899"/>
      <c r="P73" s="899"/>
      <c r="Q73" s="899"/>
      <c r="R73" s="899"/>
      <c r="S73" s="899"/>
      <c r="T73" s="899"/>
      <c r="U73" s="899"/>
      <c r="V73" s="899"/>
      <c r="W73" s="899"/>
      <c r="X73" s="899"/>
      <c r="Y73" s="899"/>
      <c r="Z73" s="899"/>
      <c r="AA73" s="899"/>
      <c r="AB73" s="899"/>
      <c r="AC73" s="899"/>
      <c r="AD73" s="899"/>
      <c r="AE73" s="899"/>
      <c r="AF73" s="899"/>
      <c r="AG73" s="899"/>
      <c r="AH73" s="899"/>
      <c r="AI73" s="899"/>
      <c r="AJ73" s="899"/>
      <c r="AK73" s="899"/>
      <c r="AL73" s="899"/>
      <c r="AM73" s="899"/>
      <c r="AN73" s="627"/>
    </row>
    <row r="74" spans="2:46" ht="12.95" hidden="1" customHeight="1">
      <c r="B74" s="898"/>
      <c r="C74" s="2512"/>
      <c r="D74" s="2513"/>
      <c r="E74" s="2513"/>
      <c r="F74" s="2513"/>
      <c r="G74" s="2513"/>
      <c r="H74" s="2513"/>
      <c r="I74" s="2513"/>
      <c r="J74" s="2513"/>
      <c r="K74" s="2513"/>
      <c r="L74" s="2513"/>
      <c r="M74" s="2513"/>
      <c r="N74" s="2513"/>
      <c r="O74" s="2513"/>
      <c r="P74" s="2513"/>
      <c r="Q74" s="2513"/>
      <c r="R74" s="2513"/>
      <c r="S74" s="2513"/>
      <c r="T74" s="2514"/>
      <c r="U74" s="899"/>
      <c r="V74" s="2512"/>
      <c r="W74" s="2513"/>
      <c r="X74" s="2513"/>
      <c r="Y74" s="2513"/>
      <c r="Z74" s="2513"/>
      <c r="AA74" s="2513"/>
      <c r="AB74" s="2513"/>
      <c r="AC74" s="2513"/>
      <c r="AD74" s="2513"/>
      <c r="AE74" s="2513"/>
      <c r="AF74" s="2513"/>
      <c r="AG74" s="2513"/>
      <c r="AH74" s="2513"/>
      <c r="AI74" s="2513"/>
      <c r="AJ74" s="2513"/>
      <c r="AK74" s="2513"/>
      <c r="AL74" s="2513"/>
      <c r="AM74" s="2514"/>
      <c r="AN74" s="901"/>
    </row>
    <row r="75" spans="2:46" s="304" customFormat="1" ht="12.95" hidden="1" customHeight="1">
      <c r="B75" s="898"/>
      <c r="C75" s="2512"/>
      <c r="D75" s="2513"/>
      <c r="E75" s="2513"/>
      <c r="F75" s="2513"/>
      <c r="G75" s="2513"/>
      <c r="H75" s="2513"/>
      <c r="I75" s="2513"/>
      <c r="J75" s="2513"/>
      <c r="K75" s="2513"/>
      <c r="L75" s="2513"/>
      <c r="M75" s="2513"/>
      <c r="N75" s="2513"/>
      <c r="O75" s="2513"/>
      <c r="P75" s="2513"/>
      <c r="Q75" s="2513"/>
      <c r="R75" s="2513"/>
      <c r="S75" s="2513"/>
      <c r="T75" s="2514"/>
      <c r="U75" s="899"/>
      <c r="V75" s="2512"/>
      <c r="W75" s="2513"/>
      <c r="X75" s="2513"/>
      <c r="Y75" s="2513"/>
      <c r="Z75" s="2513"/>
      <c r="AA75" s="2513"/>
      <c r="AB75" s="2513"/>
      <c r="AC75" s="2513"/>
      <c r="AD75" s="2513"/>
      <c r="AE75" s="2513"/>
      <c r="AF75" s="2513"/>
      <c r="AG75" s="2513"/>
      <c r="AH75" s="2513"/>
      <c r="AI75" s="2513"/>
      <c r="AJ75" s="2513"/>
      <c r="AK75" s="2513"/>
      <c r="AL75" s="2513"/>
      <c r="AM75" s="2514"/>
      <c r="AN75" s="902"/>
    </row>
    <row r="76" spans="2:46" s="307" customFormat="1" ht="12.95" hidden="1" customHeight="1">
      <c r="B76" s="898"/>
      <c r="C76" s="2512"/>
      <c r="D76" s="2513"/>
      <c r="E76" s="2513"/>
      <c r="F76" s="2513"/>
      <c r="G76" s="2513"/>
      <c r="H76" s="2513"/>
      <c r="I76" s="2513"/>
      <c r="J76" s="2513"/>
      <c r="K76" s="2513"/>
      <c r="L76" s="2513"/>
      <c r="M76" s="2513"/>
      <c r="N76" s="2513"/>
      <c r="O76" s="2513"/>
      <c r="P76" s="2513"/>
      <c r="Q76" s="2513"/>
      <c r="R76" s="2513"/>
      <c r="S76" s="2513"/>
      <c r="T76" s="2514"/>
      <c r="U76" s="899"/>
      <c r="V76" s="2512"/>
      <c r="W76" s="2513"/>
      <c r="X76" s="2513"/>
      <c r="Y76" s="2513"/>
      <c r="Z76" s="2513"/>
      <c r="AA76" s="2513"/>
      <c r="AB76" s="2513"/>
      <c r="AC76" s="2513"/>
      <c r="AD76" s="2513"/>
      <c r="AE76" s="2513"/>
      <c r="AF76" s="2513"/>
      <c r="AG76" s="2513"/>
      <c r="AH76" s="2513"/>
      <c r="AI76" s="2513"/>
      <c r="AJ76" s="2513"/>
      <c r="AK76" s="2513"/>
      <c r="AL76" s="2513"/>
      <c r="AM76" s="2514"/>
      <c r="AN76" s="903"/>
    </row>
    <row r="77" spans="2:46" s="905" customFormat="1" ht="12.95" hidden="1" customHeight="1">
      <c r="B77" s="898"/>
      <c r="C77" s="2512"/>
      <c r="D77" s="2513"/>
      <c r="E77" s="2513"/>
      <c r="F77" s="2513"/>
      <c r="G77" s="2513"/>
      <c r="H77" s="2513"/>
      <c r="I77" s="2513"/>
      <c r="J77" s="2513"/>
      <c r="K77" s="2513"/>
      <c r="L77" s="2513"/>
      <c r="M77" s="2513"/>
      <c r="N77" s="2513"/>
      <c r="O77" s="2513"/>
      <c r="P77" s="2513"/>
      <c r="Q77" s="2513"/>
      <c r="R77" s="2513"/>
      <c r="S77" s="2513"/>
      <c r="T77" s="2514"/>
      <c r="U77" s="899"/>
      <c r="V77" s="2512"/>
      <c r="W77" s="2513"/>
      <c r="X77" s="2513"/>
      <c r="Y77" s="2513"/>
      <c r="Z77" s="2513"/>
      <c r="AA77" s="2513"/>
      <c r="AB77" s="2513"/>
      <c r="AC77" s="2513"/>
      <c r="AD77" s="2513"/>
      <c r="AE77" s="2513"/>
      <c r="AF77" s="2513"/>
      <c r="AG77" s="2513"/>
      <c r="AH77" s="2513"/>
      <c r="AI77" s="2513"/>
      <c r="AJ77" s="2513"/>
      <c r="AK77" s="2513"/>
      <c r="AL77" s="2513"/>
      <c r="AM77" s="2514"/>
      <c r="AN77" s="904"/>
    </row>
    <row r="78" spans="2:46" s="311" customFormat="1" ht="12.95" hidden="1" customHeight="1">
      <c r="B78" s="898"/>
      <c r="C78" s="2512"/>
      <c r="D78" s="2513"/>
      <c r="E78" s="2513"/>
      <c r="F78" s="2513"/>
      <c r="G78" s="2513"/>
      <c r="H78" s="2513"/>
      <c r="I78" s="2513"/>
      <c r="J78" s="2513"/>
      <c r="K78" s="2513"/>
      <c r="L78" s="2513"/>
      <c r="M78" s="2513"/>
      <c r="N78" s="2513"/>
      <c r="O78" s="2513"/>
      <c r="P78" s="2513"/>
      <c r="Q78" s="2513"/>
      <c r="R78" s="2513"/>
      <c r="S78" s="2513"/>
      <c r="T78" s="2514"/>
      <c r="U78" s="899"/>
      <c r="V78" s="2512"/>
      <c r="W78" s="2513"/>
      <c r="X78" s="2513"/>
      <c r="Y78" s="2513"/>
      <c r="Z78" s="2513"/>
      <c r="AA78" s="2513"/>
      <c r="AB78" s="2513"/>
      <c r="AC78" s="2513"/>
      <c r="AD78" s="2513"/>
      <c r="AE78" s="2513"/>
      <c r="AF78" s="2513"/>
      <c r="AG78" s="2513"/>
      <c r="AH78" s="2513"/>
      <c r="AI78" s="2513"/>
      <c r="AJ78" s="2513"/>
      <c r="AK78" s="2513"/>
      <c r="AL78" s="2513"/>
      <c r="AM78" s="2514"/>
      <c r="AN78" s="622"/>
    </row>
    <row r="79" spans="2:46" s="311" customFormat="1" ht="12.95" hidden="1" customHeight="1">
      <c r="B79" s="898"/>
      <c r="C79" s="2512"/>
      <c r="D79" s="2513"/>
      <c r="E79" s="2513"/>
      <c r="F79" s="2513"/>
      <c r="G79" s="2513"/>
      <c r="H79" s="2513"/>
      <c r="I79" s="2513"/>
      <c r="J79" s="2513"/>
      <c r="K79" s="2513"/>
      <c r="L79" s="2513"/>
      <c r="M79" s="2513"/>
      <c r="N79" s="2513"/>
      <c r="O79" s="2513"/>
      <c r="P79" s="2513"/>
      <c r="Q79" s="2513"/>
      <c r="R79" s="2513"/>
      <c r="S79" s="2513"/>
      <c r="T79" s="2514"/>
      <c r="U79" s="899"/>
      <c r="V79" s="2512"/>
      <c r="W79" s="2513"/>
      <c r="X79" s="2513"/>
      <c r="Y79" s="2513"/>
      <c r="Z79" s="2513"/>
      <c r="AA79" s="2513"/>
      <c r="AB79" s="2513"/>
      <c r="AC79" s="2513"/>
      <c r="AD79" s="2513"/>
      <c r="AE79" s="2513"/>
      <c r="AF79" s="2513"/>
      <c r="AG79" s="2513"/>
      <c r="AH79" s="2513"/>
      <c r="AI79" s="2513"/>
      <c r="AJ79" s="2513"/>
      <c r="AK79" s="2513"/>
      <c r="AL79" s="2513"/>
      <c r="AM79" s="2514"/>
      <c r="AN79" s="622"/>
    </row>
    <row r="80" spans="2:46" s="311" customFormat="1" ht="12.95" hidden="1" customHeight="1">
      <c r="B80" s="898"/>
      <c r="C80" s="2512"/>
      <c r="D80" s="2513"/>
      <c r="E80" s="2513"/>
      <c r="F80" s="2513"/>
      <c r="G80" s="2513"/>
      <c r="H80" s="2513"/>
      <c r="I80" s="2513"/>
      <c r="J80" s="2513"/>
      <c r="K80" s="2513"/>
      <c r="L80" s="2513"/>
      <c r="M80" s="2513"/>
      <c r="N80" s="2513"/>
      <c r="O80" s="2513"/>
      <c r="P80" s="2513"/>
      <c r="Q80" s="2513"/>
      <c r="R80" s="2513"/>
      <c r="S80" s="2513"/>
      <c r="T80" s="2514"/>
      <c r="U80" s="899"/>
      <c r="V80" s="2512"/>
      <c r="W80" s="2513"/>
      <c r="X80" s="2513"/>
      <c r="Y80" s="2513"/>
      <c r="Z80" s="2513"/>
      <c r="AA80" s="2513"/>
      <c r="AB80" s="2513"/>
      <c r="AC80" s="2513"/>
      <c r="AD80" s="2513"/>
      <c r="AE80" s="2513"/>
      <c r="AF80" s="2513"/>
      <c r="AG80" s="2513"/>
      <c r="AH80" s="2513"/>
      <c r="AI80" s="2513"/>
      <c r="AJ80" s="2513"/>
      <c r="AK80" s="2513"/>
      <c r="AL80" s="2513"/>
      <c r="AM80" s="2514"/>
      <c r="AN80" s="622"/>
    </row>
    <row r="81" spans="2:40" s="311" customFormat="1" ht="12.95" hidden="1" customHeight="1">
      <c r="B81" s="898"/>
      <c r="C81" s="2512"/>
      <c r="D81" s="2513"/>
      <c r="E81" s="2513"/>
      <c r="F81" s="2513"/>
      <c r="G81" s="2513"/>
      <c r="H81" s="2513"/>
      <c r="I81" s="2513"/>
      <c r="J81" s="2513"/>
      <c r="K81" s="2513"/>
      <c r="L81" s="2513"/>
      <c r="M81" s="2513"/>
      <c r="N81" s="2513"/>
      <c r="O81" s="2513"/>
      <c r="P81" s="2513"/>
      <c r="Q81" s="2513"/>
      <c r="R81" s="2513"/>
      <c r="S81" s="2513"/>
      <c r="T81" s="2514"/>
      <c r="U81" s="899"/>
      <c r="V81" s="2512"/>
      <c r="W81" s="2513"/>
      <c r="X81" s="2513"/>
      <c r="Y81" s="2513"/>
      <c r="Z81" s="2513"/>
      <c r="AA81" s="2513"/>
      <c r="AB81" s="2513"/>
      <c r="AC81" s="2513"/>
      <c r="AD81" s="2513"/>
      <c r="AE81" s="2513"/>
      <c r="AF81" s="2513"/>
      <c r="AG81" s="2513"/>
      <c r="AH81" s="2513"/>
      <c r="AI81" s="2513"/>
      <c r="AJ81" s="2513"/>
      <c r="AK81" s="2513"/>
      <c r="AL81" s="2513"/>
      <c r="AM81" s="2514"/>
      <c r="AN81" s="622"/>
    </row>
    <row r="82" spans="2:40" s="311" customFormat="1" ht="12.95" hidden="1" customHeight="1">
      <c r="B82" s="898"/>
      <c r="C82" s="2512"/>
      <c r="D82" s="2513"/>
      <c r="E82" s="2513"/>
      <c r="F82" s="2513"/>
      <c r="G82" s="2513"/>
      <c r="H82" s="2513"/>
      <c r="I82" s="2513"/>
      <c r="J82" s="2513"/>
      <c r="K82" s="2513"/>
      <c r="L82" s="2513"/>
      <c r="M82" s="2513"/>
      <c r="N82" s="2513"/>
      <c r="O82" s="2513"/>
      <c r="P82" s="2513"/>
      <c r="Q82" s="2513"/>
      <c r="R82" s="2513"/>
      <c r="S82" s="2513"/>
      <c r="T82" s="2514"/>
      <c r="U82" s="899"/>
      <c r="V82" s="2512"/>
      <c r="W82" s="2513"/>
      <c r="X82" s="2513"/>
      <c r="Y82" s="2513"/>
      <c r="Z82" s="2513"/>
      <c r="AA82" s="2513"/>
      <c r="AB82" s="2513"/>
      <c r="AC82" s="2513"/>
      <c r="AD82" s="2513"/>
      <c r="AE82" s="2513"/>
      <c r="AF82" s="2513"/>
      <c r="AG82" s="2513"/>
      <c r="AH82" s="2513"/>
      <c r="AI82" s="2513"/>
      <c r="AJ82" s="2513"/>
      <c r="AK82" s="2513"/>
      <c r="AL82" s="2513"/>
      <c r="AM82" s="2514"/>
      <c r="AN82" s="622"/>
    </row>
    <row r="83" spans="2:40" s="831" customFormat="1" ht="12.95" hidden="1" customHeight="1">
      <c r="B83" s="898"/>
      <c r="C83" s="2512"/>
      <c r="D83" s="2513"/>
      <c r="E83" s="2513"/>
      <c r="F83" s="2513"/>
      <c r="G83" s="2513"/>
      <c r="H83" s="2513"/>
      <c r="I83" s="2513"/>
      <c r="J83" s="2513"/>
      <c r="K83" s="2513"/>
      <c r="L83" s="2513"/>
      <c r="M83" s="2513"/>
      <c r="N83" s="2513"/>
      <c r="O83" s="2513"/>
      <c r="P83" s="2513"/>
      <c r="Q83" s="2513"/>
      <c r="R83" s="2513"/>
      <c r="S83" s="2513"/>
      <c r="T83" s="2514"/>
      <c r="U83" s="899"/>
      <c r="V83" s="2512"/>
      <c r="W83" s="2513"/>
      <c r="X83" s="2513"/>
      <c r="Y83" s="2513"/>
      <c r="Z83" s="2513"/>
      <c r="AA83" s="2513"/>
      <c r="AB83" s="2513"/>
      <c r="AC83" s="2513"/>
      <c r="AD83" s="2513"/>
      <c r="AE83" s="2513"/>
      <c r="AF83" s="2513"/>
      <c r="AG83" s="2513"/>
      <c r="AH83" s="2513"/>
      <c r="AI83" s="2513"/>
      <c r="AJ83" s="2513"/>
      <c r="AK83" s="2513"/>
      <c r="AL83" s="2513"/>
      <c r="AM83" s="2514"/>
      <c r="AN83" s="906"/>
    </row>
    <row r="84" spans="2:40" s="311" customFormat="1" ht="12.95" hidden="1" customHeight="1">
      <c r="B84" s="898"/>
      <c r="C84" s="2512"/>
      <c r="D84" s="2513"/>
      <c r="E84" s="2513"/>
      <c r="F84" s="2513"/>
      <c r="G84" s="2513"/>
      <c r="H84" s="2513"/>
      <c r="I84" s="2513"/>
      <c r="J84" s="2513"/>
      <c r="K84" s="2513"/>
      <c r="L84" s="2513"/>
      <c r="M84" s="2513"/>
      <c r="N84" s="2513"/>
      <c r="O84" s="2513"/>
      <c r="P84" s="2513"/>
      <c r="Q84" s="2513"/>
      <c r="R84" s="2513"/>
      <c r="S84" s="2513"/>
      <c r="T84" s="2514"/>
      <c r="U84" s="899"/>
      <c r="V84" s="2512"/>
      <c r="W84" s="2513"/>
      <c r="X84" s="2513"/>
      <c r="Y84" s="2513"/>
      <c r="Z84" s="2513"/>
      <c r="AA84" s="2513"/>
      <c r="AB84" s="2513"/>
      <c r="AC84" s="2513"/>
      <c r="AD84" s="2513"/>
      <c r="AE84" s="2513"/>
      <c r="AF84" s="2513"/>
      <c r="AG84" s="2513"/>
      <c r="AH84" s="2513"/>
      <c r="AI84" s="2513"/>
      <c r="AJ84" s="2513"/>
      <c r="AK84" s="2513"/>
      <c r="AL84" s="2513"/>
      <c r="AM84" s="2514"/>
      <c r="AN84" s="622"/>
    </row>
    <row r="85" spans="2:40" s="307" customFormat="1" ht="12.95" hidden="1" customHeight="1">
      <c r="B85" s="898"/>
      <c r="C85" s="2512"/>
      <c r="D85" s="2513"/>
      <c r="E85" s="2513"/>
      <c r="F85" s="2513"/>
      <c r="G85" s="2513"/>
      <c r="H85" s="2513"/>
      <c r="I85" s="2513"/>
      <c r="J85" s="2513"/>
      <c r="K85" s="2513"/>
      <c r="L85" s="2513"/>
      <c r="M85" s="2513"/>
      <c r="N85" s="2513"/>
      <c r="O85" s="2513"/>
      <c r="P85" s="2513"/>
      <c r="Q85" s="2513"/>
      <c r="R85" s="2513"/>
      <c r="S85" s="2513"/>
      <c r="T85" s="2514"/>
      <c r="U85" s="899"/>
      <c r="V85" s="2512"/>
      <c r="W85" s="2513"/>
      <c r="X85" s="2513"/>
      <c r="Y85" s="2513"/>
      <c r="Z85" s="2513"/>
      <c r="AA85" s="2513"/>
      <c r="AB85" s="2513"/>
      <c r="AC85" s="2513"/>
      <c r="AD85" s="2513"/>
      <c r="AE85" s="2513"/>
      <c r="AF85" s="2513"/>
      <c r="AG85" s="2513"/>
      <c r="AH85" s="2513"/>
      <c r="AI85" s="2513"/>
      <c r="AJ85" s="2513"/>
      <c r="AK85" s="2513"/>
      <c r="AL85" s="2513"/>
      <c r="AM85" s="2514"/>
      <c r="AN85" s="903"/>
    </row>
    <row r="86" spans="2:40" s="311" customFormat="1" ht="12.95" hidden="1" customHeight="1">
      <c r="B86" s="898"/>
      <c r="C86" s="2512"/>
      <c r="D86" s="2513"/>
      <c r="E86" s="2513"/>
      <c r="F86" s="2513"/>
      <c r="G86" s="2513"/>
      <c r="H86" s="2513"/>
      <c r="I86" s="2513"/>
      <c r="J86" s="2513"/>
      <c r="K86" s="2513"/>
      <c r="L86" s="2513"/>
      <c r="M86" s="2513"/>
      <c r="N86" s="2513"/>
      <c r="O86" s="2513"/>
      <c r="P86" s="2513"/>
      <c r="Q86" s="2513"/>
      <c r="R86" s="2513"/>
      <c r="S86" s="2513"/>
      <c r="T86" s="2514"/>
      <c r="U86" s="899"/>
      <c r="V86" s="2512"/>
      <c r="W86" s="2513"/>
      <c r="X86" s="2513"/>
      <c r="Y86" s="2513"/>
      <c r="Z86" s="2513"/>
      <c r="AA86" s="2513"/>
      <c r="AB86" s="2513"/>
      <c r="AC86" s="2513"/>
      <c r="AD86" s="2513"/>
      <c r="AE86" s="2513"/>
      <c r="AF86" s="2513"/>
      <c r="AG86" s="2513"/>
      <c r="AH86" s="2513"/>
      <c r="AI86" s="2513"/>
      <c r="AJ86" s="2513"/>
      <c r="AK86" s="2513"/>
      <c r="AL86" s="2513"/>
      <c r="AM86" s="2514"/>
      <c r="AN86" s="622"/>
    </row>
    <row r="87" spans="2:40" s="311" customFormat="1" ht="12.95" hidden="1" customHeight="1">
      <c r="B87" s="898"/>
      <c r="C87" s="2512"/>
      <c r="D87" s="2513"/>
      <c r="E87" s="2513"/>
      <c r="F87" s="2513"/>
      <c r="G87" s="2513"/>
      <c r="H87" s="2513"/>
      <c r="I87" s="2513"/>
      <c r="J87" s="2513"/>
      <c r="K87" s="2513"/>
      <c r="L87" s="2513"/>
      <c r="M87" s="2513"/>
      <c r="N87" s="2513"/>
      <c r="O87" s="2513"/>
      <c r="P87" s="2513"/>
      <c r="Q87" s="2513"/>
      <c r="R87" s="2513"/>
      <c r="S87" s="2513"/>
      <c r="T87" s="2514"/>
      <c r="U87" s="899"/>
      <c r="V87" s="2512"/>
      <c r="W87" s="2513"/>
      <c r="X87" s="2513"/>
      <c r="Y87" s="2513"/>
      <c r="Z87" s="2513"/>
      <c r="AA87" s="2513"/>
      <c r="AB87" s="2513"/>
      <c r="AC87" s="2513"/>
      <c r="AD87" s="2513"/>
      <c r="AE87" s="2513"/>
      <c r="AF87" s="2513"/>
      <c r="AG87" s="2513"/>
      <c r="AH87" s="2513"/>
      <c r="AI87" s="2513"/>
      <c r="AJ87" s="2513"/>
      <c r="AK87" s="2513"/>
      <c r="AL87" s="2513"/>
      <c r="AM87" s="2514"/>
      <c r="AN87" s="622"/>
    </row>
    <row r="88" spans="2:40" s="311" customFormat="1" ht="15" hidden="1" customHeight="1">
      <c r="B88" s="898"/>
      <c r="C88" s="2512"/>
      <c r="D88" s="2513"/>
      <c r="E88" s="2513"/>
      <c r="F88" s="2513"/>
      <c r="G88" s="2513"/>
      <c r="H88" s="2513"/>
      <c r="I88" s="2513"/>
      <c r="J88" s="2513"/>
      <c r="K88" s="2513"/>
      <c r="L88" s="2513"/>
      <c r="M88" s="2513"/>
      <c r="N88" s="2513"/>
      <c r="O88" s="2513"/>
      <c r="P88" s="2513"/>
      <c r="Q88" s="2513"/>
      <c r="R88" s="2513"/>
      <c r="S88" s="2513"/>
      <c r="T88" s="2514"/>
      <c r="U88" s="899"/>
      <c r="V88" s="2512"/>
      <c r="W88" s="2513"/>
      <c r="X88" s="2513"/>
      <c r="Y88" s="2513"/>
      <c r="Z88" s="2513"/>
      <c r="AA88" s="2513"/>
      <c r="AB88" s="2513"/>
      <c r="AC88" s="2513"/>
      <c r="AD88" s="2513"/>
      <c r="AE88" s="2513"/>
      <c r="AF88" s="2513"/>
      <c r="AG88" s="2513"/>
      <c r="AH88" s="2513"/>
      <c r="AI88" s="2513"/>
      <c r="AJ88" s="2513"/>
      <c r="AK88" s="2513"/>
      <c r="AL88" s="2513"/>
      <c r="AM88" s="2514"/>
      <c r="AN88" s="622"/>
    </row>
    <row r="89" spans="2:40" s="311" customFormat="1" ht="9" hidden="1" customHeight="1">
      <c r="B89" s="898"/>
      <c r="C89" s="2509" t="s">
        <v>2462</v>
      </c>
      <c r="D89" s="2510"/>
      <c r="E89" s="2510"/>
      <c r="F89" s="2510"/>
      <c r="G89" s="2510"/>
      <c r="H89" s="2510"/>
      <c r="I89" s="2510"/>
      <c r="J89" s="2510"/>
      <c r="K89" s="2510"/>
      <c r="L89" s="2510"/>
      <c r="M89" s="2510"/>
      <c r="N89" s="2510"/>
      <c r="O89" s="2510"/>
      <c r="P89" s="2510"/>
      <c r="Q89" s="2510"/>
      <c r="R89" s="2510"/>
      <c r="S89" s="2510"/>
      <c r="T89" s="2511"/>
      <c r="U89" s="899"/>
      <c r="V89" s="2509" t="s">
        <v>2475</v>
      </c>
      <c r="W89" s="2510"/>
      <c r="X89" s="2510"/>
      <c r="Y89" s="2510"/>
      <c r="Z89" s="2510"/>
      <c r="AA89" s="2510"/>
      <c r="AB89" s="2510"/>
      <c r="AC89" s="2510"/>
      <c r="AD89" s="2510"/>
      <c r="AE89" s="2510"/>
      <c r="AF89" s="2510"/>
      <c r="AG89" s="2510"/>
      <c r="AH89" s="2510"/>
      <c r="AI89" s="2510"/>
      <c r="AJ89" s="2510"/>
      <c r="AK89" s="2510"/>
      <c r="AL89" s="2510"/>
      <c r="AM89" s="2511"/>
      <c r="AN89" s="622"/>
    </row>
    <row r="90" spans="2:40" s="311" customFormat="1" ht="9" hidden="1" customHeight="1">
      <c r="B90" s="898"/>
      <c r="C90" s="2509"/>
      <c r="D90" s="2510"/>
      <c r="E90" s="2510"/>
      <c r="F90" s="2510"/>
      <c r="G90" s="2510"/>
      <c r="H90" s="2510"/>
      <c r="I90" s="2510"/>
      <c r="J90" s="2510"/>
      <c r="K90" s="2510"/>
      <c r="L90" s="2510"/>
      <c r="M90" s="2510"/>
      <c r="N90" s="2510"/>
      <c r="O90" s="2510"/>
      <c r="P90" s="2510"/>
      <c r="Q90" s="2510"/>
      <c r="R90" s="2510"/>
      <c r="S90" s="2510"/>
      <c r="T90" s="2511"/>
      <c r="U90" s="899"/>
      <c r="V90" s="2509"/>
      <c r="W90" s="2510"/>
      <c r="X90" s="2510"/>
      <c r="Y90" s="2510"/>
      <c r="Z90" s="2510"/>
      <c r="AA90" s="2510"/>
      <c r="AB90" s="2510"/>
      <c r="AC90" s="2510"/>
      <c r="AD90" s="2510"/>
      <c r="AE90" s="2510"/>
      <c r="AF90" s="2510"/>
      <c r="AG90" s="2510"/>
      <c r="AH90" s="2510"/>
      <c r="AI90" s="2510"/>
      <c r="AJ90" s="2510"/>
      <c r="AK90" s="2510"/>
      <c r="AL90" s="2510"/>
      <c r="AM90" s="2511"/>
      <c r="AN90" s="622"/>
    </row>
    <row r="91" spans="2:40" s="311" customFormat="1" ht="9" hidden="1" customHeight="1">
      <c r="B91" s="898"/>
      <c r="C91" s="2509"/>
      <c r="D91" s="2510"/>
      <c r="E91" s="2510"/>
      <c r="F91" s="2510"/>
      <c r="G91" s="2510"/>
      <c r="H91" s="2510"/>
      <c r="I91" s="2510"/>
      <c r="J91" s="2510"/>
      <c r="K91" s="2510"/>
      <c r="L91" s="2510"/>
      <c r="M91" s="2510"/>
      <c r="N91" s="2510"/>
      <c r="O91" s="2510"/>
      <c r="P91" s="2510"/>
      <c r="Q91" s="2510"/>
      <c r="R91" s="2510"/>
      <c r="S91" s="2510"/>
      <c r="T91" s="2511"/>
      <c r="U91" s="899"/>
      <c r="V91" s="2509"/>
      <c r="W91" s="2510"/>
      <c r="X91" s="2510"/>
      <c r="Y91" s="2510"/>
      <c r="Z91" s="2510"/>
      <c r="AA91" s="2510"/>
      <c r="AB91" s="2510"/>
      <c r="AC91" s="2510"/>
      <c r="AD91" s="2510"/>
      <c r="AE91" s="2510"/>
      <c r="AF91" s="2510"/>
      <c r="AG91" s="2510"/>
      <c r="AH91" s="2510"/>
      <c r="AI91" s="2510"/>
      <c r="AJ91" s="2510"/>
      <c r="AK91" s="2510"/>
      <c r="AL91" s="2510"/>
      <c r="AM91" s="2511"/>
      <c r="AN91" s="622"/>
    </row>
    <row r="92" spans="2:40" s="307" customFormat="1" ht="6" hidden="1" customHeight="1">
      <c r="B92" s="898"/>
      <c r="C92" s="899"/>
      <c r="D92" s="899"/>
      <c r="E92" s="899"/>
      <c r="F92" s="899"/>
      <c r="G92" s="899"/>
      <c r="H92" s="899"/>
      <c r="I92" s="899"/>
      <c r="J92" s="899"/>
      <c r="K92" s="899"/>
      <c r="L92" s="899"/>
      <c r="M92" s="899"/>
      <c r="N92" s="899"/>
      <c r="O92" s="899"/>
      <c r="P92" s="899"/>
      <c r="Q92" s="899"/>
      <c r="R92" s="899"/>
      <c r="S92" s="899"/>
      <c r="T92" s="899"/>
      <c r="U92" s="899"/>
      <c r="V92" s="899"/>
      <c r="W92" s="899"/>
      <c r="X92" s="899"/>
      <c r="Y92" s="899"/>
      <c r="Z92" s="899"/>
      <c r="AA92" s="899"/>
      <c r="AB92" s="899"/>
      <c r="AC92" s="899"/>
      <c r="AD92" s="899"/>
      <c r="AE92" s="899"/>
      <c r="AF92" s="899"/>
      <c r="AG92" s="899"/>
      <c r="AH92" s="899"/>
      <c r="AI92" s="899"/>
      <c r="AJ92" s="899"/>
      <c r="AK92" s="899"/>
      <c r="AL92" s="899"/>
      <c r="AM92" s="899"/>
      <c r="AN92" s="903"/>
    </row>
    <row r="93" spans="2:40" s="311" customFormat="1" ht="12.95" hidden="1" customHeight="1">
      <c r="B93" s="898"/>
      <c r="C93" s="2512"/>
      <c r="D93" s="2513"/>
      <c r="E93" s="2513"/>
      <c r="F93" s="2513"/>
      <c r="G93" s="2513"/>
      <c r="H93" s="2513"/>
      <c r="I93" s="2513"/>
      <c r="J93" s="2513"/>
      <c r="K93" s="2513"/>
      <c r="L93" s="2513"/>
      <c r="M93" s="2513"/>
      <c r="N93" s="2513"/>
      <c r="O93" s="2513"/>
      <c r="P93" s="2513"/>
      <c r="Q93" s="2513"/>
      <c r="R93" s="2513"/>
      <c r="S93" s="2513"/>
      <c r="T93" s="2514"/>
      <c r="U93" s="899"/>
      <c r="V93" s="2512"/>
      <c r="W93" s="2513"/>
      <c r="X93" s="2513"/>
      <c r="Y93" s="2513"/>
      <c r="Z93" s="2513"/>
      <c r="AA93" s="2513"/>
      <c r="AB93" s="2513"/>
      <c r="AC93" s="2513"/>
      <c r="AD93" s="2513"/>
      <c r="AE93" s="2513"/>
      <c r="AF93" s="2513"/>
      <c r="AG93" s="2513"/>
      <c r="AH93" s="2513"/>
      <c r="AI93" s="2513"/>
      <c r="AJ93" s="2513"/>
      <c r="AK93" s="2513"/>
      <c r="AL93" s="2513"/>
      <c r="AM93" s="2514"/>
      <c r="AN93" s="622"/>
    </row>
    <row r="94" spans="2:40" s="311" customFormat="1" ht="12.95" hidden="1" customHeight="1">
      <c r="B94" s="898"/>
      <c r="C94" s="2512"/>
      <c r="D94" s="2513"/>
      <c r="E94" s="2513"/>
      <c r="F94" s="2513"/>
      <c r="G94" s="2513"/>
      <c r="H94" s="2513"/>
      <c r="I94" s="2513"/>
      <c r="J94" s="2513"/>
      <c r="K94" s="2513"/>
      <c r="L94" s="2513"/>
      <c r="M94" s="2513"/>
      <c r="N94" s="2513"/>
      <c r="O94" s="2513"/>
      <c r="P94" s="2513"/>
      <c r="Q94" s="2513"/>
      <c r="R94" s="2513"/>
      <c r="S94" s="2513"/>
      <c r="T94" s="2514"/>
      <c r="U94" s="899"/>
      <c r="V94" s="2512"/>
      <c r="W94" s="2513"/>
      <c r="X94" s="2513"/>
      <c r="Y94" s="2513"/>
      <c r="Z94" s="2513"/>
      <c r="AA94" s="2513"/>
      <c r="AB94" s="2513"/>
      <c r="AC94" s="2513"/>
      <c r="AD94" s="2513"/>
      <c r="AE94" s="2513"/>
      <c r="AF94" s="2513"/>
      <c r="AG94" s="2513"/>
      <c r="AH94" s="2513"/>
      <c r="AI94" s="2513"/>
      <c r="AJ94" s="2513"/>
      <c r="AK94" s="2513"/>
      <c r="AL94" s="2513"/>
      <c r="AM94" s="2514"/>
      <c r="AN94" s="622"/>
    </row>
    <row r="95" spans="2:40" s="311" customFormat="1" ht="12.95" hidden="1" customHeight="1">
      <c r="B95" s="898"/>
      <c r="C95" s="2512"/>
      <c r="D95" s="2513"/>
      <c r="E95" s="2513"/>
      <c r="F95" s="2513"/>
      <c r="G95" s="2513"/>
      <c r="H95" s="2513"/>
      <c r="I95" s="2513"/>
      <c r="J95" s="2513"/>
      <c r="K95" s="2513"/>
      <c r="L95" s="2513"/>
      <c r="M95" s="2513"/>
      <c r="N95" s="2513"/>
      <c r="O95" s="2513"/>
      <c r="P95" s="2513"/>
      <c r="Q95" s="2513"/>
      <c r="R95" s="2513"/>
      <c r="S95" s="2513"/>
      <c r="T95" s="2514"/>
      <c r="U95" s="899"/>
      <c r="V95" s="2512"/>
      <c r="W95" s="2513"/>
      <c r="X95" s="2513"/>
      <c r="Y95" s="2513"/>
      <c r="Z95" s="2513"/>
      <c r="AA95" s="2513"/>
      <c r="AB95" s="2513"/>
      <c r="AC95" s="2513"/>
      <c r="AD95" s="2513"/>
      <c r="AE95" s="2513"/>
      <c r="AF95" s="2513"/>
      <c r="AG95" s="2513"/>
      <c r="AH95" s="2513"/>
      <c r="AI95" s="2513"/>
      <c r="AJ95" s="2513"/>
      <c r="AK95" s="2513"/>
      <c r="AL95" s="2513"/>
      <c r="AM95" s="2514"/>
      <c r="AN95" s="622"/>
    </row>
    <row r="96" spans="2:40" s="311" customFormat="1" ht="12.95" hidden="1" customHeight="1">
      <c r="B96" s="898"/>
      <c r="C96" s="2512"/>
      <c r="D96" s="2513"/>
      <c r="E96" s="2513"/>
      <c r="F96" s="2513"/>
      <c r="G96" s="2513"/>
      <c r="H96" s="2513"/>
      <c r="I96" s="2513"/>
      <c r="J96" s="2513"/>
      <c r="K96" s="2513"/>
      <c r="L96" s="2513"/>
      <c r="M96" s="2513"/>
      <c r="N96" s="2513"/>
      <c r="O96" s="2513"/>
      <c r="P96" s="2513"/>
      <c r="Q96" s="2513"/>
      <c r="R96" s="2513"/>
      <c r="S96" s="2513"/>
      <c r="T96" s="2514"/>
      <c r="U96" s="899"/>
      <c r="V96" s="2512"/>
      <c r="W96" s="2513"/>
      <c r="X96" s="2513"/>
      <c r="Y96" s="2513"/>
      <c r="Z96" s="2513"/>
      <c r="AA96" s="2513"/>
      <c r="AB96" s="2513"/>
      <c r="AC96" s="2513"/>
      <c r="AD96" s="2513"/>
      <c r="AE96" s="2513"/>
      <c r="AF96" s="2513"/>
      <c r="AG96" s="2513"/>
      <c r="AH96" s="2513"/>
      <c r="AI96" s="2513"/>
      <c r="AJ96" s="2513"/>
      <c r="AK96" s="2513"/>
      <c r="AL96" s="2513"/>
      <c r="AM96" s="2514"/>
      <c r="AN96" s="622"/>
    </row>
    <row r="97" spans="2:40" s="311" customFormat="1" ht="12.95" hidden="1" customHeight="1">
      <c r="B97" s="898"/>
      <c r="C97" s="2512"/>
      <c r="D97" s="2513"/>
      <c r="E97" s="2513"/>
      <c r="F97" s="2513"/>
      <c r="G97" s="2513"/>
      <c r="H97" s="2513"/>
      <c r="I97" s="2513"/>
      <c r="J97" s="2513"/>
      <c r="K97" s="2513"/>
      <c r="L97" s="2513"/>
      <c r="M97" s="2513"/>
      <c r="N97" s="2513"/>
      <c r="O97" s="2513"/>
      <c r="P97" s="2513"/>
      <c r="Q97" s="2513"/>
      <c r="R97" s="2513"/>
      <c r="S97" s="2513"/>
      <c r="T97" s="2514"/>
      <c r="U97" s="899"/>
      <c r="V97" s="2512"/>
      <c r="W97" s="2513"/>
      <c r="X97" s="2513"/>
      <c r="Y97" s="2513"/>
      <c r="Z97" s="2513"/>
      <c r="AA97" s="2513"/>
      <c r="AB97" s="2513"/>
      <c r="AC97" s="2513"/>
      <c r="AD97" s="2513"/>
      <c r="AE97" s="2513"/>
      <c r="AF97" s="2513"/>
      <c r="AG97" s="2513"/>
      <c r="AH97" s="2513"/>
      <c r="AI97" s="2513"/>
      <c r="AJ97" s="2513"/>
      <c r="AK97" s="2513"/>
      <c r="AL97" s="2513"/>
      <c r="AM97" s="2514"/>
      <c r="AN97" s="622"/>
    </row>
    <row r="98" spans="2:40" s="311" customFormat="1" ht="12.95" hidden="1" customHeight="1">
      <c r="B98" s="898"/>
      <c r="C98" s="2512"/>
      <c r="D98" s="2513"/>
      <c r="E98" s="2513"/>
      <c r="F98" s="2513"/>
      <c r="G98" s="2513"/>
      <c r="H98" s="2513"/>
      <c r="I98" s="2513"/>
      <c r="J98" s="2513"/>
      <c r="K98" s="2513"/>
      <c r="L98" s="2513"/>
      <c r="M98" s="2513"/>
      <c r="N98" s="2513"/>
      <c r="O98" s="2513"/>
      <c r="P98" s="2513"/>
      <c r="Q98" s="2513"/>
      <c r="R98" s="2513"/>
      <c r="S98" s="2513"/>
      <c r="T98" s="2514"/>
      <c r="U98" s="899"/>
      <c r="V98" s="2512"/>
      <c r="W98" s="2513"/>
      <c r="X98" s="2513"/>
      <c r="Y98" s="2513"/>
      <c r="Z98" s="2513"/>
      <c r="AA98" s="2513"/>
      <c r="AB98" s="2513"/>
      <c r="AC98" s="2513"/>
      <c r="AD98" s="2513"/>
      <c r="AE98" s="2513"/>
      <c r="AF98" s="2513"/>
      <c r="AG98" s="2513"/>
      <c r="AH98" s="2513"/>
      <c r="AI98" s="2513"/>
      <c r="AJ98" s="2513"/>
      <c r="AK98" s="2513"/>
      <c r="AL98" s="2513"/>
      <c r="AM98" s="2514"/>
      <c r="AN98" s="622"/>
    </row>
    <row r="99" spans="2:40" s="307" customFormat="1" ht="12.95" hidden="1" customHeight="1">
      <c r="B99" s="898"/>
      <c r="C99" s="2512"/>
      <c r="D99" s="2513"/>
      <c r="E99" s="2513"/>
      <c r="F99" s="2513"/>
      <c r="G99" s="2513"/>
      <c r="H99" s="2513"/>
      <c r="I99" s="2513"/>
      <c r="J99" s="2513"/>
      <c r="K99" s="2513"/>
      <c r="L99" s="2513"/>
      <c r="M99" s="2513"/>
      <c r="N99" s="2513"/>
      <c r="O99" s="2513"/>
      <c r="P99" s="2513"/>
      <c r="Q99" s="2513"/>
      <c r="R99" s="2513"/>
      <c r="S99" s="2513"/>
      <c r="T99" s="2514"/>
      <c r="U99" s="899"/>
      <c r="V99" s="2512"/>
      <c r="W99" s="2513"/>
      <c r="X99" s="2513"/>
      <c r="Y99" s="2513"/>
      <c r="Z99" s="2513"/>
      <c r="AA99" s="2513"/>
      <c r="AB99" s="2513"/>
      <c r="AC99" s="2513"/>
      <c r="AD99" s="2513"/>
      <c r="AE99" s="2513"/>
      <c r="AF99" s="2513"/>
      <c r="AG99" s="2513"/>
      <c r="AH99" s="2513"/>
      <c r="AI99" s="2513"/>
      <c r="AJ99" s="2513"/>
      <c r="AK99" s="2513"/>
      <c r="AL99" s="2513"/>
      <c r="AM99" s="2514"/>
      <c r="AN99" s="903"/>
    </row>
    <row r="100" spans="2:40" s="311" customFormat="1" ht="12.95" hidden="1" customHeight="1">
      <c r="B100" s="898"/>
      <c r="C100" s="2512"/>
      <c r="D100" s="2513"/>
      <c r="E100" s="2513"/>
      <c r="F100" s="2513"/>
      <c r="G100" s="2513"/>
      <c r="H100" s="2513"/>
      <c r="I100" s="2513"/>
      <c r="J100" s="2513"/>
      <c r="K100" s="2513"/>
      <c r="L100" s="2513"/>
      <c r="M100" s="2513"/>
      <c r="N100" s="2513"/>
      <c r="O100" s="2513"/>
      <c r="P100" s="2513"/>
      <c r="Q100" s="2513"/>
      <c r="R100" s="2513"/>
      <c r="S100" s="2513"/>
      <c r="T100" s="2514"/>
      <c r="U100" s="899"/>
      <c r="V100" s="2512"/>
      <c r="W100" s="2513"/>
      <c r="X100" s="2513"/>
      <c r="Y100" s="2513"/>
      <c r="Z100" s="2513"/>
      <c r="AA100" s="2513"/>
      <c r="AB100" s="2513"/>
      <c r="AC100" s="2513"/>
      <c r="AD100" s="2513"/>
      <c r="AE100" s="2513"/>
      <c r="AF100" s="2513"/>
      <c r="AG100" s="2513"/>
      <c r="AH100" s="2513"/>
      <c r="AI100" s="2513"/>
      <c r="AJ100" s="2513"/>
      <c r="AK100" s="2513"/>
      <c r="AL100" s="2513"/>
      <c r="AM100" s="2514"/>
      <c r="AN100" s="622"/>
    </row>
    <row r="101" spans="2:40" s="311" customFormat="1" ht="12.95" hidden="1" customHeight="1">
      <c r="B101" s="898"/>
      <c r="C101" s="2512"/>
      <c r="D101" s="2513"/>
      <c r="E101" s="2513"/>
      <c r="F101" s="2513"/>
      <c r="G101" s="2513"/>
      <c r="H101" s="2513"/>
      <c r="I101" s="2513"/>
      <c r="J101" s="2513"/>
      <c r="K101" s="2513"/>
      <c r="L101" s="2513"/>
      <c r="M101" s="2513"/>
      <c r="N101" s="2513"/>
      <c r="O101" s="2513"/>
      <c r="P101" s="2513"/>
      <c r="Q101" s="2513"/>
      <c r="R101" s="2513"/>
      <c r="S101" s="2513"/>
      <c r="T101" s="2514"/>
      <c r="U101" s="899"/>
      <c r="V101" s="2512"/>
      <c r="W101" s="2513"/>
      <c r="X101" s="2513"/>
      <c r="Y101" s="2513"/>
      <c r="Z101" s="2513"/>
      <c r="AA101" s="2513"/>
      <c r="AB101" s="2513"/>
      <c r="AC101" s="2513"/>
      <c r="AD101" s="2513"/>
      <c r="AE101" s="2513"/>
      <c r="AF101" s="2513"/>
      <c r="AG101" s="2513"/>
      <c r="AH101" s="2513"/>
      <c r="AI101" s="2513"/>
      <c r="AJ101" s="2513"/>
      <c r="AK101" s="2513"/>
      <c r="AL101" s="2513"/>
      <c r="AM101" s="2514"/>
      <c r="AN101" s="622"/>
    </row>
    <row r="102" spans="2:40" s="311" customFormat="1" ht="12.95" hidden="1" customHeight="1">
      <c r="B102" s="898"/>
      <c r="C102" s="2512"/>
      <c r="D102" s="2513"/>
      <c r="E102" s="2513"/>
      <c r="F102" s="2513"/>
      <c r="G102" s="2513"/>
      <c r="H102" s="2513"/>
      <c r="I102" s="2513"/>
      <c r="J102" s="2513"/>
      <c r="K102" s="2513"/>
      <c r="L102" s="2513"/>
      <c r="M102" s="2513"/>
      <c r="N102" s="2513"/>
      <c r="O102" s="2513"/>
      <c r="P102" s="2513"/>
      <c r="Q102" s="2513"/>
      <c r="R102" s="2513"/>
      <c r="S102" s="2513"/>
      <c r="T102" s="2514"/>
      <c r="U102" s="899"/>
      <c r="V102" s="2512"/>
      <c r="W102" s="2513"/>
      <c r="X102" s="2513"/>
      <c r="Y102" s="2513"/>
      <c r="Z102" s="2513"/>
      <c r="AA102" s="2513"/>
      <c r="AB102" s="2513"/>
      <c r="AC102" s="2513"/>
      <c r="AD102" s="2513"/>
      <c r="AE102" s="2513"/>
      <c r="AF102" s="2513"/>
      <c r="AG102" s="2513"/>
      <c r="AH102" s="2513"/>
      <c r="AI102" s="2513"/>
      <c r="AJ102" s="2513"/>
      <c r="AK102" s="2513"/>
      <c r="AL102" s="2513"/>
      <c r="AM102" s="2514"/>
      <c r="AN102" s="622"/>
    </row>
    <row r="103" spans="2:40" s="311" customFormat="1" ht="12.95" hidden="1" customHeight="1">
      <c r="B103" s="898"/>
      <c r="C103" s="2512"/>
      <c r="D103" s="2513"/>
      <c r="E103" s="2513"/>
      <c r="F103" s="2513"/>
      <c r="G103" s="2513"/>
      <c r="H103" s="2513"/>
      <c r="I103" s="2513"/>
      <c r="J103" s="2513"/>
      <c r="K103" s="2513"/>
      <c r="L103" s="2513"/>
      <c r="M103" s="2513"/>
      <c r="N103" s="2513"/>
      <c r="O103" s="2513"/>
      <c r="P103" s="2513"/>
      <c r="Q103" s="2513"/>
      <c r="R103" s="2513"/>
      <c r="S103" s="2513"/>
      <c r="T103" s="2514"/>
      <c r="U103" s="899"/>
      <c r="V103" s="2512"/>
      <c r="W103" s="2513"/>
      <c r="X103" s="2513"/>
      <c r="Y103" s="2513"/>
      <c r="Z103" s="2513"/>
      <c r="AA103" s="2513"/>
      <c r="AB103" s="2513"/>
      <c r="AC103" s="2513"/>
      <c r="AD103" s="2513"/>
      <c r="AE103" s="2513"/>
      <c r="AF103" s="2513"/>
      <c r="AG103" s="2513"/>
      <c r="AH103" s="2513"/>
      <c r="AI103" s="2513"/>
      <c r="AJ103" s="2513"/>
      <c r="AK103" s="2513"/>
      <c r="AL103" s="2513"/>
      <c r="AM103" s="2514"/>
      <c r="AN103" s="622"/>
    </row>
    <row r="104" spans="2:40" s="311" customFormat="1" ht="12.95" hidden="1" customHeight="1">
      <c r="B104" s="898"/>
      <c r="C104" s="2512"/>
      <c r="D104" s="2513"/>
      <c r="E104" s="2513"/>
      <c r="F104" s="2513"/>
      <c r="G104" s="2513"/>
      <c r="H104" s="2513"/>
      <c r="I104" s="2513"/>
      <c r="J104" s="2513"/>
      <c r="K104" s="2513"/>
      <c r="L104" s="2513"/>
      <c r="M104" s="2513"/>
      <c r="N104" s="2513"/>
      <c r="O104" s="2513"/>
      <c r="P104" s="2513"/>
      <c r="Q104" s="2513"/>
      <c r="R104" s="2513"/>
      <c r="S104" s="2513"/>
      <c r="T104" s="2514"/>
      <c r="U104" s="899"/>
      <c r="V104" s="2512"/>
      <c r="W104" s="2513"/>
      <c r="X104" s="2513"/>
      <c r="Y104" s="2513"/>
      <c r="Z104" s="2513"/>
      <c r="AA104" s="2513"/>
      <c r="AB104" s="2513"/>
      <c r="AC104" s="2513"/>
      <c r="AD104" s="2513"/>
      <c r="AE104" s="2513"/>
      <c r="AF104" s="2513"/>
      <c r="AG104" s="2513"/>
      <c r="AH104" s="2513"/>
      <c r="AI104" s="2513"/>
      <c r="AJ104" s="2513"/>
      <c r="AK104" s="2513"/>
      <c r="AL104" s="2513"/>
      <c r="AM104" s="2514"/>
      <c r="AN104" s="622"/>
    </row>
    <row r="105" spans="2:40" s="311" customFormat="1" ht="12.95" hidden="1" customHeight="1">
      <c r="B105" s="898"/>
      <c r="C105" s="2512"/>
      <c r="D105" s="2513"/>
      <c r="E105" s="2513"/>
      <c r="F105" s="2513"/>
      <c r="G105" s="2513"/>
      <c r="H105" s="2513"/>
      <c r="I105" s="2513"/>
      <c r="J105" s="2513"/>
      <c r="K105" s="2513"/>
      <c r="L105" s="2513"/>
      <c r="M105" s="2513"/>
      <c r="N105" s="2513"/>
      <c r="O105" s="2513"/>
      <c r="P105" s="2513"/>
      <c r="Q105" s="2513"/>
      <c r="R105" s="2513"/>
      <c r="S105" s="2513"/>
      <c r="T105" s="2514"/>
      <c r="U105" s="899"/>
      <c r="V105" s="2512"/>
      <c r="W105" s="2513"/>
      <c r="X105" s="2513"/>
      <c r="Y105" s="2513"/>
      <c r="Z105" s="2513"/>
      <c r="AA105" s="2513"/>
      <c r="AB105" s="2513"/>
      <c r="AC105" s="2513"/>
      <c r="AD105" s="2513"/>
      <c r="AE105" s="2513"/>
      <c r="AF105" s="2513"/>
      <c r="AG105" s="2513"/>
      <c r="AH105" s="2513"/>
      <c r="AI105" s="2513"/>
      <c r="AJ105" s="2513"/>
      <c r="AK105" s="2513"/>
      <c r="AL105" s="2513"/>
      <c r="AM105" s="2514"/>
      <c r="AN105" s="622"/>
    </row>
    <row r="106" spans="2:40" s="311" customFormat="1" ht="12.95" hidden="1" customHeight="1">
      <c r="B106" s="898"/>
      <c r="C106" s="2512"/>
      <c r="D106" s="2513"/>
      <c r="E106" s="2513"/>
      <c r="F106" s="2513"/>
      <c r="G106" s="2513"/>
      <c r="H106" s="2513"/>
      <c r="I106" s="2513"/>
      <c r="J106" s="2513"/>
      <c r="K106" s="2513"/>
      <c r="L106" s="2513"/>
      <c r="M106" s="2513"/>
      <c r="N106" s="2513"/>
      <c r="O106" s="2513"/>
      <c r="P106" s="2513"/>
      <c r="Q106" s="2513"/>
      <c r="R106" s="2513"/>
      <c r="S106" s="2513"/>
      <c r="T106" s="2514"/>
      <c r="U106" s="899"/>
      <c r="V106" s="2512"/>
      <c r="W106" s="2513"/>
      <c r="X106" s="2513"/>
      <c r="Y106" s="2513"/>
      <c r="Z106" s="2513"/>
      <c r="AA106" s="2513"/>
      <c r="AB106" s="2513"/>
      <c r="AC106" s="2513"/>
      <c r="AD106" s="2513"/>
      <c r="AE106" s="2513"/>
      <c r="AF106" s="2513"/>
      <c r="AG106" s="2513"/>
      <c r="AH106" s="2513"/>
      <c r="AI106" s="2513"/>
      <c r="AJ106" s="2513"/>
      <c r="AK106" s="2513"/>
      <c r="AL106" s="2513"/>
      <c r="AM106" s="2514"/>
      <c r="AN106" s="622"/>
    </row>
    <row r="107" spans="2:40" s="311" customFormat="1" ht="15" hidden="1" customHeight="1">
      <c r="B107" s="898"/>
      <c r="C107" s="2512"/>
      <c r="D107" s="2513"/>
      <c r="E107" s="2513"/>
      <c r="F107" s="2513"/>
      <c r="G107" s="2513"/>
      <c r="H107" s="2513"/>
      <c r="I107" s="2513"/>
      <c r="J107" s="2513"/>
      <c r="K107" s="2513"/>
      <c r="L107" s="2513"/>
      <c r="M107" s="2513"/>
      <c r="N107" s="2513"/>
      <c r="O107" s="2513"/>
      <c r="P107" s="2513"/>
      <c r="Q107" s="2513"/>
      <c r="R107" s="2513"/>
      <c r="S107" s="2513"/>
      <c r="T107" s="2514"/>
      <c r="U107" s="899"/>
      <c r="V107" s="2512"/>
      <c r="W107" s="2513"/>
      <c r="X107" s="2513"/>
      <c r="Y107" s="2513"/>
      <c r="Z107" s="2513"/>
      <c r="AA107" s="2513"/>
      <c r="AB107" s="2513"/>
      <c r="AC107" s="2513"/>
      <c r="AD107" s="2513"/>
      <c r="AE107" s="2513"/>
      <c r="AF107" s="2513"/>
      <c r="AG107" s="2513"/>
      <c r="AH107" s="2513"/>
      <c r="AI107" s="2513"/>
      <c r="AJ107" s="2513"/>
      <c r="AK107" s="2513"/>
      <c r="AL107" s="2513"/>
      <c r="AM107" s="2514"/>
      <c r="AN107" s="622"/>
    </row>
    <row r="108" spans="2:40" s="311" customFormat="1" ht="9" hidden="1" customHeight="1">
      <c r="B108" s="898"/>
      <c r="C108" s="2509" t="s">
        <v>2468</v>
      </c>
      <c r="D108" s="2510"/>
      <c r="E108" s="2510"/>
      <c r="F108" s="2510"/>
      <c r="G108" s="2510"/>
      <c r="H108" s="2510"/>
      <c r="I108" s="2510"/>
      <c r="J108" s="2510"/>
      <c r="K108" s="2510"/>
      <c r="L108" s="2510"/>
      <c r="M108" s="2510"/>
      <c r="N108" s="2510"/>
      <c r="O108" s="2510"/>
      <c r="P108" s="2510"/>
      <c r="Q108" s="2510"/>
      <c r="R108" s="2510"/>
      <c r="S108" s="2510"/>
      <c r="T108" s="2511"/>
      <c r="U108" s="899"/>
      <c r="V108" s="2509" t="s">
        <v>2476</v>
      </c>
      <c r="W108" s="2510"/>
      <c r="X108" s="2510"/>
      <c r="Y108" s="2510"/>
      <c r="Z108" s="2510"/>
      <c r="AA108" s="2510"/>
      <c r="AB108" s="2510"/>
      <c r="AC108" s="2510"/>
      <c r="AD108" s="2510"/>
      <c r="AE108" s="2510"/>
      <c r="AF108" s="2510"/>
      <c r="AG108" s="2510"/>
      <c r="AH108" s="2510"/>
      <c r="AI108" s="2510"/>
      <c r="AJ108" s="2510"/>
      <c r="AK108" s="2510"/>
      <c r="AL108" s="2510"/>
      <c r="AM108" s="2511"/>
      <c r="AN108" s="622"/>
    </row>
    <row r="109" spans="2:40" ht="9" hidden="1" customHeight="1">
      <c r="B109" s="898"/>
      <c r="C109" s="2509"/>
      <c r="D109" s="2510"/>
      <c r="E109" s="2510"/>
      <c r="F109" s="2510"/>
      <c r="G109" s="2510"/>
      <c r="H109" s="2510"/>
      <c r="I109" s="2510"/>
      <c r="J109" s="2510"/>
      <c r="K109" s="2510"/>
      <c r="L109" s="2510"/>
      <c r="M109" s="2510"/>
      <c r="N109" s="2510"/>
      <c r="O109" s="2510"/>
      <c r="P109" s="2510"/>
      <c r="Q109" s="2510"/>
      <c r="R109" s="2510"/>
      <c r="S109" s="2510"/>
      <c r="T109" s="2511"/>
      <c r="U109" s="899"/>
      <c r="V109" s="2509"/>
      <c r="W109" s="2510"/>
      <c r="X109" s="2510"/>
      <c r="Y109" s="2510"/>
      <c r="Z109" s="2510"/>
      <c r="AA109" s="2510"/>
      <c r="AB109" s="2510"/>
      <c r="AC109" s="2510"/>
      <c r="AD109" s="2510"/>
      <c r="AE109" s="2510"/>
      <c r="AF109" s="2510"/>
      <c r="AG109" s="2510"/>
      <c r="AH109" s="2510"/>
      <c r="AI109" s="2510"/>
      <c r="AJ109" s="2510"/>
      <c r="AK109" s="2510"/>
      <c r="AL109" s="2510"/>
      <c r="AM109" s="2511"/>
      <c r="AN109" s="901"/>
    </row>
    <row r="110" spans="2:40" s="307" customFormat="1" ht="9" hidden="1" customHeight="1">
      <c r="B110" s="898"/>
      <c r="C110" s="2509"/>
      <c r="D110" s="2510"/>
      <c r="E110" s="2510"/>
      <c r="F110" s="2510"/>
      <c r="G110" s="2510"/>
      <c r="H110" s="2510"/>
      <c r="I110" s="2510"/>
      <c r="J110" s="2510"/>
      <c r="K110" s="2510"/>
      <c r="L110" s="2510"/>
      <c r="M110" s="2510"/>
      <c r="N110" s="2510"/>
      <c r="O110" s="2510"/>
      <c r="P110" s="2510"/>
      <c r="Q110" s="2510"/>
      <c r="R110" s="2510"/>
      <c r="S110" s="2510"/>
      <c r="T110" s="2511"/>
      <c r="U110" s="899"/>
      <c r="V110" s="2509"/>
      <c r="W110" s="2510"/>
      <c r="X110" s="2510"/>
      <c r="Y110" s="2510"/>
      <c r="Z110" s="2510"/>
      <c r="AA110" s="2510"/>
      <c r="AB110" s="2510"/>
      <c r="AC110" s="2510"/>
      <c r="AD110" s="2510"/>
      <c r="AE110" s="2510"/>
      <c r="AF110" s="2510"/>
      <c r="AG110" s="2510"/>
      <c r="AH110" s="2510"/>
      <c r="AI110" s="2510"/>
      <c r="AJ110" s="2510"/>
      <c r="AK110" s="2510"/>
      <c r="AL110" s="2510"/>
      <c r="AM110" s="2511"/>
      <c r="AN110" s="903"/>
    </row>
    <row r="111" spans="2:40" s="311" customFormat="1" ht="6" hidden="1" customHeight="1">
      <c r="B111" s="898"/>
      <c r="C111" s="899"/>
      <c r="D111" s="899"/>
      <c r="E111" s="899"/>
      <c r="F111" s="899"/>
      <c r="G111" s="899"/>
      <c r="H111" s="899"/>
      <c r="I111" s="899"/>
      <c r="J111" s="899"/>
      <c r="K111" s="899"/>
      <c r="L111" s="899"/>
      <c r="M111" s="899"/>
      <c r="N111" s="899"/>
      <c r="O111" s="899"/>
      <c r="P111" s="899"/>
      <c r="Q111" s="899"/>
      <c r="R111" s="899"/>
      <c r="S111" s="899"/>
      <c r="T111" s="899"/>
      <c r="U111" s="899"/>
      <c r="V111" s="899"/>
      <c r="W111" s="899"/>
      <c r="X111" s="899"/>
      <c r="Y111" s="899"/>
      <c r="Z111" s="899"/>
      <c r="AA111" s="899"/>
      <c r="AB111" s="899"/>
      <c r="AC111" s="899"/>
      <c r="AD111" s="899"/>
      <c r="AE111" s="899"/>
      <c r="AF111" s="899"/>
      <c r="AG111" s="899"/>
      <c r="AH111" s="899"/>
      <c r="AI111" s="899"/>
      <c r="AJ111" s="899"/>
      <c r="AK111" s="899"/>
      <c r="AL111" s="899"/>
      <c r="AM111" s="899"/>
      <c r="AN111" s="622"/>
    </row>
    <row r="112" spans="2:40" s="311" customFormat="1" ht="12.95" hidden="1" customHeight="1">
      <c r="B112" s="898"/>
      <c r="C112" s="2512"/>
      <c r="D112" s="2513"/>
      <c r="E112" s="2513"/>
      <c r="F112" s="2513"/>
      <c r="G112" s="2513"/>
      <c r="H112" s="2513"/>
      <c r="I112" s="2513"/>
      <c r="J112" s="2513"/>
      <c r="K112" s="2513"/>
      <c r="L112" s="2513"/>
      <c r="M112" s="2513"/>
      <c r="N112" s="2513"/>
      <c r="O112" s="2513"/>
      <c r="P112" s="2513"/>
      <c r="Q112" s="2513"/>
      <c r="R112" s="2513"/>
      <c r="S112" s="2513"/>
      <c r="T112" s="2514"/>
      <c r="U112" s="899"/>
      <c r="V112" s="2512"/>
      <c r="W112" s="2513"/>
      <c r="X112" s="2513"/>
      <c r="Y112" s="2513"/>
      <c r="Z112" s="2513"/>
      <c r="AA112" s="2513"/>
      <c r="AB112" s="2513"/>
      <c r="AC112" s="2513"/>
      <c r="AD112" s="2513"/>
      <c r="AE112" s="2513"/>
      <c r="AF112" s="2513"/>
      <c r="AG112" s="2513"/>
      <c r="AH112" s="2513"/>
      <c r="AI112" s="2513"/>
      <c r="AJ112" s="2513"/>
      <c r="AK112" s="2513"/>
      <c r="AL112" s="2513"/>
      <c r="AM112" s="2514"/>
      <c r="AN112" s="622"/>
    </row>
    <row r="113" spans="2:82" s="311" customFormat="1" ht="12.95" hidden="1" customHeight="1">
      <c r="B113" s="898"/>
      <c r="C113" s="2512"/>
      <c r="D113" s="2513"/>
      <c r="E113" s="2513"/>
      <c r="F113" s="2513"/>
      <c r="G113" s="2513"/>
      <c r="H113" s="2513"/>
      <c r="I113" s="2513"/>
      <c r="J113" s="2513"/>
      <c r="K113" s="2513"/>
      <c r="L113" s="2513"/>
      <c r="M113" s="2513"/>
      <c r="N113" s="2513"/>
      <c r="O113" s="2513"/>
      <c r="P113" s="2513"/>
      <c r="Q113" s="2513"/>
      <c r="R113" s="2513"/>
      <c r="S113" s="2513"/>
      <c r="T113" s="2514"/>
      <c r="U113" s="899"/>
      <c r="V113" s="2512"/>
      <c r="W113" s="2513"/>
      <c r="X113" s="2513"/>
      <c r="Y113" s="2513"/>
      <c r="Z113" s="2513"/>
      <c r="AA113" s="2513"/>
      <c r="AB113" s="2513"/>
      <c r="AC113" s="2513"/>
      <c r="AD113" s="2513"/>
      <c r="AE113" s="2513"/>
      <c r="AF113" s="2513"/>
      <c r="AG113" s="2513"/>
      <c r="AH113" s="2513"/>
      <c r="AI113" s="2513"/>
      <c r="AJ113" s="2513"/>
      <c r="AK113" s="2513"/>
      <c r="AL113" s="2513"/>
      <c r="AM113" s="2514"/>
      <c r="AN113" s="622"/>
    </row>
    <row r="114" spans="2:82" s="311" customFormat="1" ht="12.95" hidden="1" customHeight="1">
      <c r="B114" s="898"/>
      <c r="C114" s="2512"/>
      <c r="D114" s="2513"/>
      <c r="E114" s="2513"/>
      <c r="F114" s="2513"/>
      <c r="G114" s="2513"/>
      <c r="H114" s="2513"/>
      <c r="I114" s="2513"/>
      <c r="J114" s="2513"/>
      <c r="K114" s="2513"/>
      <c r="L114" s="2513"/>
      <c r="M114" s="2513"/>
      <c r="N114" s="2513"/>
      <c r="O114" s="2513"/>
      <c r="P114" s="2513"/>
      <c r="Q114" s="2513"/>
      <c r="R114" s="2513"/>
      <c r="S114" s="2513"/>
      <c r="T114" s="2514"/>
      <c r="U114" s="899"/>
      <c r="V114" s="2512"/>
      <c r="W114" s="2513"/>
      <c r="X114" s="2513"/>
      <c r="Y114" s="2513"/>
      <c r="Z114" s="2513"/>
      <c r="AA114" s="2513"/>
      <c r="AB114" s="2513"/>
      <c r="AC114" s="2513"/>
      <c r="AD114" s="2513"/>
      <c r="AE114" s="2513"/>
      <c r="AF114" s="2513"/>
      <c r="AG114" s="2513"/>
      <c r="AH114" s="2513"/>
      <c r="AI114" s="2513"/>
      <c r="AJ114" s="2513"/>
      <c r="AK114" s="2513"/>
      <c r="AL114" s="2513"/>
      <c r="AM114" s="2514"/>
      <c r="AN114" s="622"/>
    </row>
    <row r="115" spans="2:82" s="311" customFormat="1" ht="12.95" hidden="1" customHeight="1">
      <c r="B115" s="898"/>
      <c r="C115" s="2512"/>
      <c r="D115" s="2513"/>
      <c r="E115" s="2513"/>
      <c r="F115" s="2513"/>
      <c r="G115" s="2513"/>
      <c r="H115" s="2513"/>
      <c r="I115" s="2513"/>
      <c r="J115" s="2513"/>
      <c r="K115" s="2513"/>
      <c r="L115" s="2513"/>
      <c r="M115" s="2513"/>
      <c r="N115" s="2513"/>
      <c r="O115" s="2513"/>
      <c r="P115" s="2513"/>
      <c r="Q115" s="2513"/>
      <c r="R115" s="2513"/>
      <c r="S115" s="2513"/>
      <c r="T115" s="2514"/>
      <c r="U115" s="899"/>
      <c r="V115" s="2512"/>
      <c r="W115" s="2513"/>
      <c r="X115" s="2513"/>
      <c r="Y115" s="2513"/>
      <c r="Z115" s="2513"/>
      <c r="AA115" s="2513"/>
      <c r="AB115" s="2513"/>
      <c r="AC115" s="2513"/>
      <c r="AD115" s="2513"/>
      <c r="AE115" s="2513"/>
      <c r="AF115" s="2513"/>
      <c r="AG115" s="2513"/>
      <c r="AH115" s="2513"/>
      <c r="AI115" s="2513"/>
      <c r="AJ115" s="2513"/>
      <c r="AK115" s="2513"/>
      <c r="AL115" s="2513"/>
      <c r="AM115" s="2514"/>
      <c r="AN115" s="622"/>
    </row>
    <row r="116" spans="2:82" s="311" customFormat="1" ht="12.95" hidden="1" customHeight="1">
      <c r="B116" s="898"/>
      <c r="C116" s="2512"/>
      <c r="D116" s="2513"/>
      <c r="E116" s="2513"/>
      <c r="F116" s="2513"/>
      <c r="G116" s="2513"/>
      <c r="H116" s="2513"/>
      <c r="I116" s="2513"/>
      <c r="J116" s="2513"/>
      <c r="K116" s="2513"/>
      <c r="L116" s="2513"/>
      <c r="M116" s="2513"/>
      <c r="N116" s="2513"/>
      <c r="O116" s="2513"/>
      <c r="P116" s="2513"/>
      <c r="Q116" s="2513"/>
      <c r="R116" s="2513"/>
      <c r="S116" s="2513"/>
      <c r="T116" s="2514"/>
      <c r="U116" s="899"/>
      <c r="V116" s="2512"/>
      <c r="W116" s="2513"/>
      <c r="X116" s="2513"/>
      <c r="Y116" s="2513"/>
      <c r="Z116" s="2513"/>
      <c r="AA116" s="2513"/>
      <c r="AB116" s="2513"/>
      <c r="AC116" s="2513"/>
      <c r="AD116" s="2513"/>
      <c r="AE116" s="2513"/>
      <c r="AF116" s="2513"/>
      <c r="AG116" s="2513"/>
      <c r="AH116" s="2513"/>
      <c r="AI116" s="2513"/>
      <c r="AJ116" s="2513"/>
      <c r="AK116" s="2513"/>
      <c r="AL116" s="2513"/>
      <c r="AM116" s="2514"/>
      <c r="AN116" s="622"/>
    </row>
    <row r="117" spans="2:82" s="311" customFormat="1" ht="12.95" hidden="1" customHeight="1">
      <c r="B117" s="898"/>
      <c r="C117" s="2512"/>
      <c r="D117" s="2513"/>
      <c r="E117" s="2513"/>
      <c r="F117" s="2513"/>
      <c r="G117" s="2513"/>
      <c r="H117" s="2513"/>
      <c r="I117" s="2513"/>
      <c r="J117" s="2513"/>
      <c r="K117" s="2513"/>
      <c r="L117" s="2513"/>
      <c r="M117" s="2513"/>
      <c r="N117" s="2513"/>
      <c r="O117" s="2513"/>
      <c r="P117" s="2513"/>
      <c r="Q117" s="2513"/>
      <c r="R117" s="2513"/>
      <c r="S117" s="2513"/>
      <c r="T117" s="2514"/>
      <c r="U117" s="899"/>
      <c r="V117" s="2512"/>
      <c r="W117" s="2513"/>
      <c r="X117" s="2513"/>
      <c r="Y117" s="2513"/>
      <c r="Z117" s="2513"/>
      <c r="AA117" s="2513"/>
      <c r="AB117" s="2513"/>
      <c r="AC117" s="2513"/>
      <c r="AD117" s="2513"/>
      <c r="AE117" s="2513"/>
      <c r="AF117" s="2513"/>
      <c r="AG117" s="2513"/>
      <c r="AH117" s="2513"/>
      <c r="AI117" s="2513"/>
      <c r="AJ117" s="2513"/>
      <c r="AK117" s="2513"/>
      <c r="AL117" s="2513"/>
      <c r="AM117" s="2514"/>
      <c r="AN117" s="622"/>
    </row>
    <row r="118" spans="2:82" s="307" customFormat="1" ht="12.95" hidden="1" customHeight="1">
      <c r="B118" s="898"/>
      <c r="C118" s="2512"/>
      <c r="D118" s="2513"/>
      <c r="E118" s="2513"/>
      <c r="F118" s="2513"/>
      <c r="G118" s="2513"/>
      <c r="H118" s="2513"/>
      <c r="I118" s="2513"/>
      <c r="J118" s="2513"/>
      <c r="K118" s="2513"/>
      <c r="L118" s="2513"/>
      <c r="M118" s="2513"/>
      <c r="N118" s="2513"/>
      <c r="O118" s="2513"/>
      <c r="P118" s="2513"/>
      <c r="Q118" s="2513"/>
      <c r="R118" s="2513"/>
      <c r="S118" s="2513"/>
      <c r="T118" s="2514"/>
      <c r="U118" s="899"/>
      <c r="V118" s="2512"/>
      <c r="W118" s="2513"/>
      <c r="X118" s="2513"/>
      <c r="Y118" s="2513"/>
      <c r="Z118" s="2513"/>
      <c r="AA118" s="2513"/>
      <c r="AB118" s="2513"/>
      <c r="AC118" s="2513"/>
      <c r="AD118" s="2513"/>
      <c r="AE118" s="2513"/>
      <c r="AF118" s="2513"/>
      <c r="AG118" s="2513"/>
      <c r="AH118" s="2513"/>
      <c r="AI118" s="2513"/>
      <c r="AJ118" s="2513"/>
      <c r="AK118" s="2513"/>
      <c r="AL118" s="2513"/>
      <c r="AM118" s="2514"/>
      <c r="AN118" s="903"/>
      <c r="BM118" s="2506"/>
      <c r="BN118" s="2507"/>
      <c r="BO118" s="2507"/>
      <c r="BP118" s="2507"/>
      <c r="BQ118" s="2507"/>
      <c r="BR118" s="2507"/>
      <c r="BS118" s="2507"/>
      <c r="BT118" s="2507"/>
      <c r="BU118" s="2507"/>
      <c r="BV118" s="2507"/>
      <c r="BW118" s="2507"/>
      <c r="BX118" s="2507"/>
      <c r="BY118" s="2507"/>
      <c r="BZ118" s="2507"/>
      <c r="CA118" s="2507"/>
      <c r="CB118" s="2507"/>
      <c r="CC118" s="2507"/>
      <c r="CD118" s="2508"/>
    </row>
    <row r="119" spans="2:82" s="311" customFormat="1" ht="12.95" hidden="1" customHeight="1">
      <c r="B119" s="898"/>
      <c r="C119" s="2512"/>
      <c r="D119" s="2513"/>
      <c r="E119" s="2513"/>
      <c r="F119" s="2513"/>
      <c r="G119" s="2513"/>
      <c r="H119" s="2513"/>
      <c r="I119" s="2513"/>
      <c r="J119" s="2513"/>
      <c r="K119" s="2513"/>
      <c r="L119" s="2513"/>
      <c r="M119" s="2513"/>
      <c r="N119" s="2513"/>
      <c r="O119" s="2513"/>
      <c r="P119" s="2513"/>
      <c r="Q119" s="2513"/>
      <c r="R119" s="2513"/>
      <c r="S119" s="2513"/>
      <c r="T119" s="2514"/>
      <c r="U119" s="899"/>
      <c r="V119" s="2512"/>
      <c r="W119" s="2513"/>
      <c r="X119" s="2513"/>
      <c r="Y119" s="2513"/>
      <c r="Z119" s="2513"/>
      <c r="AA119" s="2513"/>
      <c r="AB119" s="2513"/>
      <c r="AC119" s="2513"/>
      <c r="AD119" s="2513"/>
      <c r="AE119" s="2513"/>
      <c r="AF119" s="2513"/>
      <c r="AG119" s="2513"/>
      <c r="AH119" s="2513"/>
      <c r="AI119" s="2513"/>
      <c r="AJ119" s="2513"/>
      <c r="AK119" s="2513"/>
      <c r="AL119" s="2513"/>
      <c r="AM119" s="2514"/>
      <c r="AN119" s="622"/>
      <c r="BM119" s="2506"/>
      <c r="BN119" s="2507"/>
      <c r="BO119" s="2507"/>
      <c r="BP119" s="2507"/>
      <c r="BQ119" s="2507"/>
      <c r="BR119" s="2507"/>
      <c r="BS119" s="2507"/>
      <c r="BT119" s="2507"/>
      <c r="BU119" s="2507"/>
      <c r="BV119" s="2507"/>
      <c r="BW119" s="2507"/>
      <c r="BX119" s="2507"/>
      <c r="BY119" s="2507"/>
      <c r="BZ119" s="2507"/>
      <c r="CA119" s="2507"/>
      <c r="CB119" s="2507"/>
      <c r="CC119" s="2507"/>
      <c r="CD119" s="2508"/>
    </row>
    <row r="120" spans="2:82" s="311" customFormat="1" ht="12.95" hidden="1" customHeight="1">
      <c r="B120" s="898"/>
      <c r="C120" s="2512"/>
      <c r="D120" s="2513"/>
      <c r="E120" s="2513"/>
      <c r="F120" s="2513"/>
      <c r="G120" s="2513"/>
      <c r="H120" s="2513"/>
      <c r="I120" s="2513"/>
      <c r="J120" s="2513"/>
      <c r="K120" s="2513"/>
      <c r="L120" s="2513"/>
      <c r="M120" s="2513"/>
      <c r="N120" s="2513"/>
      <c r="O120" s="2513"/>
      <c r="P120" s="2513"/>
      <c r="Q120" s="2513"/>
      <c r="R120" s="2513"/>
      <c r="S120" s="2513"/>
      <c r="T120" s="2514"/>
      <c r="U120" s="899"/>
      <c r="V120" s="2512"/>
      <c r="W120" s="2513"/>
      <c r="X120" s="2513"/>
      <c r="Y120" s="2513"/>
      <c r="Z120" s="2513"/>
      <c r="AA120" s="2513"/>
      <c r="AB120" s="2513"/>
      <c r="AC120" s="2513"/>
      <c r="AD120" s="2513"/>
      <c r="AE120" s="2513"/>
      <c r="AF120" s="2513"/>
      <c r="AG120" s="2513"/>
      <c r="AH120" s="2513"/>
      <c r="AI120" s="2513"/>
      <c r="AJ120" s="2513"/>
      <c r="AK120" s="2513"/>
      <c r="AL120" s="2513"/>
      <c r="AM120" s="2514"/>
      <c r="AN120" s="622"/>
      <c r="BM120" s="2506"/>
      <c r="BN120" s="2507"/>
      <c r="BO120" s="2507"/>
      <c r="BP120" s="2507"/>
      <c r="BQ120" s="2507"/>
      <c r="BR120" s="2507"/>
      <c r="BS120" s="2507"/>
      <c r="BT120" s="2507"/>
      <c r="BU120" s="2507"/>
      <c r="BV120" s="2507"/>
      <c r="BW120" s="2507"/>
      <c r="BX120" s="2507"/>
      <c r="BY120" s="2507"/>
      <c r="BZ120" s="2507"/>
      <c r="CA120" s="2507"/>
      <c r="CB120" s="2507"/>
      <c r="CC120" s="2507"/>
      <c r="CD120" s="2508"/>
    </row>
    <row r="121" spans="2:82" s="311" customFormat="1" ht="12.95" hidden="1" customHeight="1">
      <c r="B121" s="898"/>
      <c r="C121" s="2512"/>
      <c r="D121" s="2513"/>
      <c r="E121" s="2513"/>
      <c r="F121" s="2513"/>
      <c r="G121" s="2513"/>
      <c r="H121" s="2513"/>
      <c r="I121" s="2513"/>
      <c r="J121" s="2513"/>
      <c r="K121" s="2513"/>
      <c r="L121" s="2513"/>
      <c r="M121" s="2513"/>
      <c r="N121" s="2513"/>
      <c r="O121" s="2513"/>
      <c r="P121" s="2513"/>
      <c r="Q121" s="2513"/>
      <c r="R121" s="2513"/>
      <c r="S121" s="2513"/>
      <c r="T121" s="2514"/>
      <c r="U121" s="899"/>
      <c r="V121" s="2512"/>
      <c r="W121" s="2513"/>
      <c r="X121" s="2513"/>
      <c r="Y121" s="2513"/>
      <c r="Z121" s="2513"/>
      <c r="AA121" s="2513"/>
      <c r="AB121" s="2513"/>
      <c r="AC121" s="2513"/>
      <c r="AD121" s="2513"/>
      <c r="AE121" s="2513"/>
      <c r="AF121" s="2513"/>
      <c r="AG121" s="2513"/>
      <c r="AH121" s="2513"/>
      <c r="AI121" s="2513"/>
      <c r="AJ121" s="2513"/>
      <c r="AK121" s="2513"/>
      <c r="AL121" s="2513"/>
      <c r="AM121" s="2514"/>
      <c r="AN121" s="622"/>
      <c r="BM121" s="2506"/>
      <c r="BN121" s="2507"/>
      <c r="BO121" s="2507"/>
      <c r="BP121" s="2507"/>
      <c r="BQ121" s="2507"/>
      <c r="BR121" s="2507"/>
      <c r="BS121" s="2507"/>
      <c r="BT121" s="2507"/>
      <c r="BU121" s="2507"/>
      <c r="BV121" s="2507"/>
      <c r="BW121" s="2507"/>
      <c r="BX121" s="2507"/>
      <c r="BY121" s="2507"/>
      <c r="BZ121" s="2507"/>
      <c r="CA121" s="2507"/>
      <c r="CB121" s="2507"/>
      <c r="CC121" s="2507"/>
      <c r="CD121" s="2508"/>
    </row>
    <row r="122" spans="2:82" s="311" customFormat="1" ht="12.95" hidden="1" customHeight="1">
      <c r="B122" s="898"/>
      <c r="C122" s="2512"/>
      <c r="D122" s="2513"/>
      <c r="E122" s="2513"/>
      <c r="F122" s="2513"/>
      <c r="G122" s="2513"/>
      <c r="H122" s="2513"/>
      <c r="I122" s="2513"/>
      <c r="J122" s="2513"/>
      <c r="K122" s="2513"/>
      <c r="L122" s="2513"/>
      <c r="M122" s="2513"/>
      <c r="N122" s="2513"/>
      <c r="O122" s="2513"/>
      <c r="P122" s="2513"/>
      <c r="Q122" s="2513"/>
      <c r="R122" s="2513"/>
      <c r="S122" s="2513"/>
      <c r="T122" s="2514"/>
      <c r="U122" s="899"/>
      <c r="V122" s="2512"/>
      <c r="W122" s="2513"/>
      <c r="X122" s="2513"/>
      <c r="Y122" s="2513"/>
      <c r="Z122" s="2513"/>
      <c r="AA122" s="2513"/>
      <c r="AB122" s="2513"/>
      <c r="AC122" s="2513"/>
      <c r="AD122" s="2513"/>
      <c r="AE122" s="2513"/>
      <c r="AF122" s="2513"/>
      <c r="AG122" s="2513"/>
      <c r="AH122" s="2513"/>
      <c r="AI122" s="2513"/>
      <c r="AJ122" s="2513"/>
      <c r="AK122" s="2513"/>
      <c r="AL122" s="2513"/>
      <c r="AM122" s="2514"/>
      <c r="AN122" s="622"/>
      <c r="BM122" s="2506"/>
      <c r="BN122" s="2507"/>
      <c r="BO122" s="2507"/>
      <c r="BP122" s="2507"/>
      <c r="BQ122" s="2507"/>
      <c r="BR122" s="2507"/>
      <c r="BS122" s="2507"/>
      <c r="BT122" s="2507"/>
      <c r="BU122" s="2507"/>
      <c r="BV122" s="2507"/>
      <c r="BW122" s="2507"/>
      <c r="BX122" s="2507"/>
      <c r="BY122" s="2507"/>
      <c r="BZ122" s="2507"/>
      <c r="CA122" s="2507"/>
      <c r="CB122" s="2507"/>
      <c r="CC122" s="2507"/>
      <c r="CD122" s="2508"/>
    </row>
    <row r="123" spans="2:82" s="311" customFormat="1" ht="12.95" hidden="1" customHeight="1">
      <c r="B123" s="898"/>
      <c r="C123" s="2512"/>
      <c r="D123" s="2513"/>
      <c r="E123" s="2513"/>
      <c r="F123" s="2513"/>
      <c r="G123" s="2513"/>
      <c r="H123" s="2513"/>
      <c r="I123" s="2513"/>
      <c r="J123" s="2513"/>
      <c r="K123" s="2513"/>
      <c r="L123" s="2513"/>
      <c r="M123" s="2513"/>
      <c r="N123" s="2513"/>
      <c r="O123" s="2513"/>
      <c r="P123" s="2513"/>
      <c r="Q123" s="2513"/>
      <c r="R123" s="2513"/>
      <c r="S123" s="2513"/>
      <c r="T123" s="2514"/>
      <c r="U123" s="899"/>
      <c r="V123" s="2512"/>
      <c r="W123" s="2513"/>
      <c r="X123" s="2513"/>
      <c r="Y123" s="2513"/>
      <c r="Z123" s="2513"/>
      <c r="AA123" s="2513"/>
      <c r="AB123" s="2513"/>
      <c r="AC123" s="2513"/>
      <c r="AD123" s="2513"/>
      <c r="AE123" s="2513"/>
      <c r="AF123" s="2513"/>
      <c r="AG123" s="2513"/>
      <c r="AH123" s="2513"/>
      <c r="AI123" s="2513"/>
      <c r="AJ123" s="2513"/>
      <c r="AK123" s="2513"/>
      <c r="AL123" s="2513"/>
      <c r="AM123" s="2514"/>
      <c r="AN123" s="622"/>
      <c r="BM123" s="2506"/>
      <c r="BN123" s="2507"/>
      <c r="BO123" s="2507"/>
      <c r="BP123" s="2507"/>
      <c r="BQ123" s="2507"/>
      <c r="BR123" s="2507"/>
      <c r="BS123" s="2507"/>
      <c r="BT123" s="2507"/>
      <c r="BU123" s="2507"/>
      <c r="BV123" s="2507"/>
      <c r="BW123" s="2507"/>
      <c r="BX123" s="2507"/>
      <c r="BY123" s="2507"/>
      <c r="BZ123" s="2507"/>
      <c r="CA123" s="2507"/>
      <c r="CB123" s="2507"/>
      <c r="CC123" s="2507"/>
      <c r="CD123" s="2508"/>
    </row>
    <row r="124" spans="2:82" s="311" customFormat="1" ht="12.95" hidden="1" customHeight="1">
      <c r="B124" s="898"/>
      <c r="C124" s="2512"/>
      <c r="D124" s="2513"/>
      <c r="E124" s="2513"/>
      <c r="F124" s="2513"/>
      <c r="G124" s="2513"/>
      <c r="H124" s="2513"/>
      <c r="I124" s="2513"/>
      <c r="J124" s="2513"/>
      <c r="K124" s="2513"/>
      <c r="L124" s="2513"/>
      <c r="M124" s="2513"/>
      <c r="N124" s="2513"/>
      <c r="O124" s="2513"/>
      <c r="P124" s="2513"/>
      <c r="Q124" s="2513"/>
      <c r="R124" s="2513"/>
      <c r="S124" s="2513"/>
      <c r="T124" s="2514"/>
      <c r="U124" s="899"/>
      <c r="V124" s="2512"/>
      <c r="W124" s="2513"/>
      <c r="X124" s="2513"/>
      <c r="Y124" s="2513"/>
      <c r="Z124" s="2513"/>
      <c r="AA124" s="2513"/>
      <c r="AB124" s="2513"/>
      <c r="AC124" s="2513"/>
      <c r="AD124" s="2513"/>
      <c r="AE124" s="2513"/>
      <c r="AF124" s="2513"/>
      <c r="AG124" s="2513"/>
      <c r="AH124" s="2513"/>
      <c r="AI124" s="2513"/>
      <c r="AJ124" s="2513"/>
      <c r="AK124" s="2513"/>
      <c r="AL124" s="2513"/>
      <c r="AM124" s="2514"/>
      <c r="AN124" s="622"/>
      <c r="BM124" s="2506"/>
      <c r="BN124" s="2507"/>
      <c r="BO124" s="2507"/>
      <c r="BP124" s="2507"/>
      <c r="BQ124" s="2507"/>
      <c r="BR124" s="2507"/>
      <c r="BS124" s="2507"/>
      <c r="BT124" s="2507"/>
      <c r="BU124" s="2507"/>
      <c r="BV124" s="2507"/>
      <c r="BW124" s="2507"/>
      <c r="BX124" s="2507"/>
      <c r="BY124" s="2507"/>
      <c r="BZ124" s="2507"/>
      <c r="CA124" s="2507"/>
      <c r="CB124" s="2507"/>
      <c r="CC124" s="2507"/>
      <c r="CD124" s="2508"/>
    </row>
    <row r="125" spans="2:82" s="311" customFormat="1" ht="12.95" hidden="1" customHeight="1">
      <c r="B125" s="898"/>
      <c r="C125" s="2512"/>
      <c r="D125" s="2513"/>
      <c r="E125" s="2513"/>
      <c r="F125" s="2513"/>
      <c r="G125" s="2513"/>
      <c r="H125" s="2513"/>
      <c r="I125" s="2513"/>
      <c r="J125" s="2513"/>
      <c r="K125" s="2513"/>
      <c r="L125" s="2513"/>
      <c r="M125" s="2513"/>
      <c r="N125" s="2513"/>
      <c r="O125" s="2513"/>
      <c r="P125" s="2513"/>
      <c r="Q125" s="2513"/>
      <c r="R125" s="2513"/>
      <c r="S125" s="2513"/>
      <c r="T125" s="2514"/>
      <c r="U125" s="899"/>
      <c r="V125" s="2512"/>
      <c r="W125" s="2513"/>
      <c r="X125" s="2513"/>
      <c r="Y125" s="2513"/>
      <c r="Z125" s="2513"/>
      <c r="AA125" s="2513"/>
      <c r="AB125" s="2513"/>
      <c r="AC125" s="2513"/>
      <c r="AD125" s="2513"/>
      <c r="AE125" s="2513"/>
      <c r="AF125" s="2513"/>
      <c r="AG125" s="2513"/>
      <c r="AH125" s="2513"/>
      <c r="AI125" s="2513"/>
      <c r="AJ125" s="2513"/>
      <c r="AK125" s="2513"/>
      <c r="AL125" s="2513"/>
      <c r="AM125" s="2514"/>
      <c r="AN125" s="622"/>
      <c r="BM125" s="2506"/>
      <c r="BN125" s="2507"/>
      <c r="BO125" s="2507"/>
      <c r="BP125" s="2507"/>
      <c r="BQ125" s="2507"/>
      <c r="BR125" s="2507"/>
      <c r="BS125" s="2507"/>
      <c r="BT125" s="2507"/>
      <c r="BU125" s="2507"/>
      <c r="BV125" s="2507"/>
      <c r="BW125" s="2507"/>
      <c r="BX125" s="2507"/>
      <c r="BY125" s="2507"/>
      <c r="BZ125" s="2507"/>
      <c r="CA125" s="2507"/>
      <c r="CB125" s="2507"/>
      <c r="CC125" s="2507"/>
      <c r="CD125" s="2508"/>
    </row>
    <row r="126" spans="2:82" s="311" customFormat="1" ht="15" hidden="1" customHeight="1">
      <c r="B126" s="898"/>
      <c r="C126" s="2512"/>
      <c r="D126" s="2513"/>
      <c r="E126" s="2513"/>
      <c r="F126" s="2513"/>
      <c r="G126" s="2513"/>
      <c r="H126" s="2513"/>
      <c r="I126" s="2513"/>
      <c r="J126" s="2513"/>
      <c r="K126" s="2513"/>
      <c r="L126" s="2513"/>
      <c r="M126" s="2513"/>
      <c r="N126" s="2513"/>
      <c r="O126" s="2513"/>
      <c r="P126" s="2513"/>
      <c r="Q126" s="2513"/>
      <c r="R126" s="2513"/>
      <c r="S126" s="2513"/>
      <c r="T126" s="2514"/>
      <c r="U126" s="899"/>
      <c r="V126" s="2512"/>
      <c r="W126" s="2513"/>
      <c r="X126" s="2513"/>
      <c r="Y126" s="2513"/>
      <c r="Z126" s="2513"/>
      <c r="AA126" s="2513"/>
      <c r="AB126" s="2513"/>
      <c r="AC126" s="2513"/>
      <c r="AD126" s="2513"/>
      <c r="AE126" s="2513"/>
      <c r="AF126" s="2513"/>
      <c r="AG126" s="2513"/>
      <c r="AH126" s="2513"/>
      <c r="AI126" s="2513"/>
      <c r="AJ126" s="2513"/>
      <c r="AK126" s="2513"/>
      <c r="AL126" s="2513"/>
      <c r="AM126" s="2514"/>
      <c r="AN126" s="622"/>
      <c r="BM126" s="2506"/>
      <c r="BN126" s="2507"/>
      <c r="BO126" s="2507"/>
      <c r="BP126" s="2507"/>
      <c r="BQ126" s="2507"/>
      <c r="BR126" s="2507"/>
      <c r="BS126" s="2507"/>
      <c r="BT126" s="2507"/>
      <c r="BU126" s="2507"/>
      <c r="BV126" s="2507"/>
      <c r="BW126" s="2507"/>
      <c r="BX126" s="2507"/>
      <c r="BY126" s="2507"/>
      <c r="BZ126" s="2507"/>
      <c r="CA126" s="2507"/>
      <c r="CB126" s="2507"/>
      <c r="CC126" s="2507"/>
      <c r="CD126" s="2508"/>
    </row>
    <row r="127" spans="2:82" s="311" customFormat="1" ht="9" hidden="1" customHeight="1">
      <c r="B127" s="898"/>
      <c r="C127" s="2509" t="s">
        <v>2463</v>
      </c>
      <c r="D127" s="2510"/>
      <c r="E127" s="2510"/>
      <c r="F127" s="2510"/>
      <c r="G127" s="2510"/>
      <c r="H127" s="2510"/>
      <c r="I127" s="2510"/>
      <c r="J127" s="2510"/>
      <c r="K127" s="2510"/>
      <c r="L127" s="2510"/>
      <c r="M127" s="2510"/>
      <c r="N127" s="2510"/>
      <c r="O127" s="2510"/>
      <c r="P127" s="2510"/>
      <c r="Q127" s="2510"/>
      <c r="R127" s="2510"/>
      <c r="S127" s="2510"/>
      <c r="T127" s="2511"/>
      <c r="U127" s="899"/>
      <c r="V127" s="2509" t="s">
        <v>2464</v>
      </c>
      <c r="W127" s="2510"/>
      <c r="X127" s="2510"/>
      <c r="Y127" s="2510"/>
      <c r="Z127" s="2510"/>
      <c r="AA127" s="2510"/>
      <c r="AB127" s="2510"/>
      <c r="AC127" s="2510"/>
      <c r="AD127" s="2510"/>
      <c r="AE127" s="2510"/>
      <c r="AF127" s="2510"/>
      <c r="AG127" s="2510"/>
      <c r="AH127" s="2510"/>
      <c r="AI127" s="2510"/>
      <c r="AJ127" s="2510"/>
      <c r="AK127" s="2510"/>
      <c r="AL127" s="2510"/>
      <c r="AM127" s="2511"/>
      <c r="AN127" s="622"/>
      <c r="BM127" s="2506"/>
      <c r="BN127" s="2507"/>
      <c r="BO127" s="2507"/>
      <c r="BP127" s="2507"/>
      <c r="BQ127" s="2507"/>
      <c r="BR127" s="2507"/>
      <c r="BS127" s="2507"/>
      <c r="BT127" s="2507"/>
      <c r="BU127" s="2507"/>
      <c r="BV127" s="2507"/>
      <c r="BW127" s="2507"/>
      <c r="BX127" s="2507"/>
      <c r="BY127" s="2507"/>
      <c r="BZ127" s="2507"/>
      <c r="CA127" s="2507"/>
      <c r="CB127" s="2507"/>
      <c r="CC127" s="2507"/>
      <c r="CD127" s="2508"/>
    </row>
    <row r="128" spans="2:82" ht="9" hidden="1" customHeight="1">
      <c r="B128" s="898"/>
      <c r="C128" s="2509"/>
      <c r="D128" s="2510"/>
      <c r="E128" s="2510"/>
      <c r="F128" s="2510"/>
      <c r="G128" s="2510"/>
      <c r="H128" s="2510"/>
      <c r="I128" s="2510"/>
      <c r="J128" s="2510"/>
      <c r="K128" s="2510"/>
      <c r="L128" s="2510"/>
      <c r="M128" s="2510"/>
      <c r="N128" s="2510"/>
      <c r="O128" s="2510"/>
      <c r="P128" s="2510"/>
      <c r="Q128" s="2510"/>
      <c r="R128" s="2510"/>
      <c r="S128" s="2510"/>
      <c r="T128" s="2511"/>
      <c r="U128" s="899"/>
      <c r="V128" s="2509"/>
      <c r="W128" s="2510"/>
      <c r="X128" s="2510"/>
      <c r="Y128" s="2510"/>
      <c r="Z128" s="2510"/>
      <c r="AA128" s="2510"/>
      <c r="AB128" s="2510"/>
      <c r="AC128" s="2510"/>
      <c r="AD128" s="2510"/>
      <c r="AE128" s="2510"/>
      <c r="AF128" s="2510"/>
      <c r="AG128" s="2510"/>
      <c r="AH128" s="2510"/>
      <c r="AI128" s="2510"/>
      <c r="AJ128" s="2510"/>
      <c r="AK128" s="2510"/>
      <c r="AL128" s="2510"/>
      <c r="AM128" s="2511"/>
      <c r="AN128" s="901"/>
      <c r="BM128" s="2506"/>
      <c r="BN128" s="2507"/>
      <c r="BO128" s="2507"/>
      <c r="BP128" s="2507"/>
      <c r="BQ128" s="2507"/>
      <c r="BR128" s="2507"/>
      <c r="BS128" s="2507"/>
      <c r="BT128" s="2507"/>
      <c r="BU128" s="2507"/>
      <c r="BV128" s="2507"/>
      <c r="BW128" s="2507"/>
      <c r="BX128" s="2507"/>
      <c r="BY128" s="2507"/>
      <c r="BZ128" s="2507"/>
      <c r="CA128" s="2507"/>
      <c r="CB128" s="2507"/>
      <c r="CC128" s="2507"/>
      <c r="CD128" s="2508"/>
    </row>
    <row r="129" spans="2:82" s="307" customFormat="1" ht="9" hidden="1" customHeight="1">
      <c r="B129" s="898"/>
      <c r="C129" s="2509"/>
      <c r="D129" s="2510"/>
      <c r="E129" s="2510"/>
      <c r="F129" s="2510"/>
      <c r="G129" s="2510"/>
      <c r="H129" s="2510"/>
      <c r="I129" s="2510"/>
      <c r="J129" s="2510"/>
      <c r="K129" s="2510"/>
      <c r="L129" s="2510"/>
      <c r="M129" s="2510"/>
      <c r="N129" s="2510"/>
      <c r="O129" s="2510"/>
      <c r="P129" s="2510"/>
      <c r="Q129" s="2510"/>
      <c r="R129" s="2510"/>
      <c r="S129" s="2510"/>
      <c r="T129" s="2511"/>
      <c r="U129" s="899"/>
      <c r="V129" s="2509"/>
      <c r="W129" s="2510"/>
      <c r="X129" s="2510"/>
      <c r="Y129" s="2510"/>
      <c r="Z129" s="2510"/>
      <c r="AA129" s="2510"/>
      <c r="AB129" s="2510"/>
      <c r="AC129" s="2510"/>
      <c r="AD129" s="2510"/>
      <c r="AE129" s="2510"/>
      <c r="AF129" s="2510"/>
      <c r="AG129" s="2510"/>
      <c r="AH129" s="2510"/>
      <c r="AI129" s="2510"/>
      <c r="AJ129" s="2510"/>
      <c r="AK129" s="2510"/>
      <c r="AL129" s="2510"/>
      <c r="AM129" s="2511"/>
      <c r="AN129" s="903"/>
      <c r="BM129" s="2506"/>
      <c r="BN129" s="2507"/>
      <c r="BO129" s="2507"/>
      <c r="BP129" s="2507"/>
      <c r="BQ129" s="2507"/>
      <c r="BR129" s="2507"/>
      <c r="BS129" s="2507"/>
      <c r="BT129" s="2507"/>
      <c r="BU129" s="2507"/>
      <c r="BV129" s="2507"/>
      <c r="BW129" s="2507"/>
      <c r="BX129" s="2507"/>
      <c r="BY129" s="2507"/>
      <c r="BZ129" s="2507"/>
      <c r="CA129" s="2507"/>
      <c r="CB129" s="2507"/>
      <c r="CC129" s="2507"/>
      <c r="CD129" s="2508"/>
    </row>
    <row r="130" spans="2:82" s="311" customFormat="1" ht="6.75" hidden="1" customHeight="1" thickBot="1">
      <c r="B130" s="907"/>
      <c r="C130" s="908"/>
      <c r="D130" s="908"/>
      <c r="E130" s="908"/>
      <c r="F130" s="908"/>
      <c r="G130" s="908"/>
      <c r="H130" s="908"/>
      <c r="I130" s="908"/>
      <c r="J130" s="908"/>
      <c r="K130" s="908"/>
      <c r="L130" s="908"/>
      <c r="M130" s="908"/>
      <c r="N130" s="908"/>
      <c r="O130" s="908"/>
      <c r="P130" s="908"/>
      <c r="Q130" s="908"/>
      <c r="R130" s="908"/>
      <c r="S130" s="908"/>
      <c r="T130" s="908"/>
      <c r="U130" s="908"/>
      <c r="V130" s="908"/>
      <c r="W130" s="908"/>
      <c r="X130" s="908"/>
      <c r="Y130" s="908"/>
      <c r="Z130" s="908"/>
      <c r="AA130" s="908"/>
      <c r="AB130" s="908"/>
      <c r="AC130" s="908"/>
      <c r="AD130" s="908"/>
      <c r="AE130" s="908"/>
      <c r="AF130" s="908"/>
      <c r="AG130" s="908"/>
      <c r="AH130" s="908"/>
      <c r="AI130" s="908"/>
      <c r="AJ130" s="908"/>
      <c r="AK130" s="908"/>
      <c r="AL130" s="908"/>
      <c r="AM130" s="908"/>
      <c r="AN130" s="909"/>
      <c r="BM130" s="2506"/>
      <c r="BN130" s="2507"/>
      <c r="BO130" s="2507"/>
      <c r="BP130" s="2507"/>
      <c r="BQ130" s="2507"/>
      <c r="BR130" s="2507"/>
      <c r="BS130" s="2507"/>
      <c r="BT130" s="2507"/>
      <c r="BU130" s="2507"/>
      <c r="BV130" s="2507"/>
      <c r="BW130" s="2507"/>
      <c r="BX130" s="2507"/>
      <c r="BY130" s="2507"/>
      <c r="BZ130" s="2507"/>
      <c r="CA130" s="2507"/>
      <c r="CB130" s="2507"/>
      <c r="CC130" s="2507"/>
      <c r="CD130" s="2508"/>
    </row>
    <row r="131" spans="2:82" s="319" customFormat="1" ht="17.25" hidden="1" customHeight="1" thickBot="1">
      <c r="AI131" s="819"/>
      <c r="AK131" s="819"/>
      <c r="AL131" s="820"/>
      <c r="AM131" s="820"/>
      <c r="AN131" s="384" t="str">
        <f>CONCATENATE("Hal. - ",AP131,"  dari  ",AS131)</f>
        <v>Hal. - 10  dari  10</v>
      </c>
      <c r="AO131" s="386"/>
      <c r="AP131" s="1881">
        <f>+AP66+1</f>
        <v>10</v>
      </c>
      <c r="AQ131" s="1882"/>
      <c r="AR131" s="387" t="s">
        <v>3</v>
      </c>
      <c r="AS131" s="1881">
        <f>'Surat-01'!$AW$55</f>
        <v>10</v>
      </c>
      <c r="AT131" s="1882"/>
      <c r="BM131" s="2506"/>
      <c r="BN131" s="2507"/>
      <c r="BO131" s="2507"/>
      <c r="BP131" s="2507"/>
      <c r="BQ131" s="2507"/>
      <c r="BR131" s="2507"/>
      <c r="BS131" s="2507"/>
      <c r="BT131" s="2507"/>
      <c r="BU131" s="2507"/>
      <c r="BV131" s="2507"/>
      <c r="BW131" s="2507"/>
      <c r="BX131" s="2507"/>
      <c r="BY131" s="2507"/>
      <c r="BZ131" s="2507"/>
      <c r="CA131" s="2507"/>
      <c r="CB131" s="2507"/>
      <c r="CC131" s="2507"/>
      <c r="CD131" s="2508"/>
    </row>
    <row r="132" spans="2:82" ht="9.9499999999999993" hidden="1" customHeight="1">
      <c r="B132" s="2515" t="s">
        <v>2337</v>
      </c>
      <c r="C132" s="2516"/>
      <c r="D132" s="2516"/>
      <c r="E132" s="2516"/>
      <c r="F132" s="2516"/>
      <c r="G132" s="2516"/>
      <c r="H132" s="2516"/>
      <c r="I132" s="2516"/>
      <c r="J132" s="2517"/>
      <c r="K132" s="891"/>
      <c r="L132" s="891"/>
      <c r="M132" s="891"/>
      <c r="N132" s="891"/>
      <c r="O132" s="891"/>
      <c r="P132" s="891"/>
      <c r="Q132" s="891"/>
      <c r="R132" s="891"/>
      <c r="S132" s="891"/>
      <c r="T132" s="891"/>
      <c r="U132" s="891"/>
      <c r="V132" s="891"/>
      <c r="W132" s="891"/>
      <c r="X132" s="891"/>
      <c r="Y132" s="891"/>
      <c r="Z132" s="891"/>
      <c r="AA132" s="891"/>
      <c r="AB132" s="891"/>
      <c r="AC132" s="891"/>
      <c r="AD132" s="891"/>
      <c r="AE132" s="891"/>
      <c r="AF132" s="891"/>
      <c r="AG132" s="891"/>
      <c r="AH132" s="891"/>
      <c r="AI132" s="891"/>
      <c r="AJ132" s="891"/>
      <c r="AK132" s="891"/>
      <c r="AL132" s="891"/>
      <c r="AM132" s="891"/>
      <c r="AN132" s="834"/>
    </row>
    <row r="133" spans="2:82" ht="14.1" hidden="1" customHeight="1">
      <c r="B133" s="2518"/>
      <c r="C133" s="2519"/>
      <c r="D133" s="2519"/>
      <c r="E133" s="2519"/>
      <c r="F133" s="2519"/>
      <c r="G133" s="2519"/>
      <c r="H133" s="2519"/>
      <c r="I133" s="2519"/>
      <c r="J133" s="2520"/>
      <c r="K133" s="357" t="s">
        <v>1770</v>
      </c>
      <c r="L133" s="317" t="str">
        <f>L68</f>
        <v>Debitur</v>
      </c>
      <c r="M133" s="330"/>
      <c r="N133" s="330"/>
      <c r="O133" s="330"/>
      <c r="P133" s="330"/>
      <c r="Q133" s="330"/>
      <c r="T133" s="320" t="str">
        <f>R68</f>
        <v>PT. XYZ</v>
      </c>
      <c r="U133" s="330">
        <f>U68</f>
        <v>0</v>
      </c>
      <c r="V133" s="318"/>
      <c r="W133" s="318"/>
      <c r="X133" s="318"/>
      <c r="Y133" s="318"/>
      <c r="Z133" s="318"/>
      <c r="AA133" s="318"/>
      <c r="AB133" s="318"/>
      <c r="AC133" s="318"/>
      <c r="AD133" s="318"/>
      <c r="AE133" s="318"/>
      <c r="AF133" s="318"/>
      <c r="AG133" s="318"/>
      <c r="AH133" s="318"/>
      <c r="AI133" s="318"/>
      <c r="AJ133" s="318"/>
      <c r="AK133" s="318"/>
      <c r="AL133" s="318"/>
      <c r="AM133" s="318"/>
      <c r="AN133" s="315"/>
    </row>
    <row r="134" spans="2:82" ht="14.1" hidden="1" customHeight="1">
      <c r="B134" s="1225"/>
      <c r="C134" s="1224"/>
      <c r="D134" s="1224"/>
      <c r="E134" s="1224"/>
      <c r="F134" s="1224"/>
      <c r="G134" s="1224"/>
      <c r="H134" s="1224"/>
      <c r="I134" s="1224"/>
      <c r="J134" s="1226"/>
      <c r="K134" s="357"/>
      <c r="L134" s="317"/>
      <c r="M134" s="330"/>
      <c r="N134" s="330"/>
      <c r="O134" s="330"/>
      <c r="P134" s="330"/>
      <c r="Q134" s="330"/>
      <c r="T134" s="320"/>
      <c r="U134" s="330"/>
      <c r="V134" s="318"/>
      <c r="W134" s="318"/>
      <c r="X134" s="318"/>
      <c r="Y134" s="318"/>
      <c r="Z134" s="318"/>
      <c r="AA134" s="318"/>
      <c r="AB134" s="318"/>
      <c r="AC134" s="318"/>
      <c r="AD134" s="318"/>
      <c r="AE134" s="318"/>
      <c r="AF134" s="318"/>
      <c r="AG134" s="318"/>
      <c r="AH134" s="318"/>
      <c r="AI134" s="318"/>
      <c r="AJ134" s="318"/>
      <c r="AK134" s="318"/>
      <c r="AL134" s="318"/>
      <c r="AM134" s="318"/>
      <c r="AN134" s="315"/>
    </row>
    <row r="135" spans="2:82" s="307" customFormat="1" ht="14.1" hidden="1" customHeight="1">
      <c r="B135" s="2542" t="s">
        <v>2340</v>
      </c>
      <c r="C135" s="2543"/>
      <c r="D135" s="2543"/>
      <c r="E135" s="2543"/>
      <c r="F135" s="2543"/>
      <c r="G135" s="2543"/>
      <c r="H135" s="2543"/>
      <c r="I135" s="2543"/>
      <c r="J135" s="2544"/>
      <c r="K135" s="357" t="s">
        <v>1770</v>
      </c>
      <c r="L135" s="892" t="s">
        <v>1873</v>
      </c>
      <c r="M135" s="318"/>
      <c r="N135" s="318"/>
      <c r="O135" s="318"/>
      <c r="P135" s="320"/>
      <c r="Q135" s="318"/>
      <c r="T135" s="318"/>
      <c r="U135" s="318"/>
      <c r="V135" s="318"/>
      <c r="W135" s="318"/>
      <c r="X135" s="318"/>
      <c r="Y135" s="318"/>
      <c r="Z135" s="318"/>
      <c r="AA135" s="318"/>
      <c r="AB135" s="1015"/>
      <c r="AC135" s="318"/>
      <c r="AD135" s="300"/>
      <c r="AE135" s="300"/>
      <c r="AF135" s="318"/>
      <c r="AG135" s="339"/>
      <c r="AH135" s="893"/>
      <c r="AJ135" s="300"/>
      <c r="AK135" s="318"/>
      <c r="AL135" s="318"/>
      <c r="AM135" s="318"/>
      <c r="AN135" s="315"/>
    </row>
    <row r="136" spans="2:82" ht="14.1" hidden="1" customHeight="1">
      <c r="B136" s="2542"/>
      <c r="C136" s="2543"/>
      <c r="D136" s="2543"/>
      <c r="E136" s="2543"/>
      <c r="F136" s="2543"/>
      <c r="G136" s="2543"/>
      <c r="H136" s="2543"/>
      <c r="I136" s="2543"/>
      <c r="J136" s="2544"/>
      <c r="K136" s="318"/>
      <c r="L136" s="1946"/>
      <c r="M136" s="1946"/>
      <c r="N136" s="1946"/>
      <c r="O136" s="1946"/>
      <c r="P136" s="1946"/>
      <c r="Q136" s="1946"/>
      <c r="R136" s="1946"/>
      <c r="S136" s="1946"/>
      <c r="T136" s="1946"/>
      <c r="U136" s="1946"/>
      <c r="V136" s="1946"/>
      <c r="W136" s="1946"/>
      <c r="X136" s="1946"/>
      <c r="Y136" s="1946"/>
      <c r="Z136" s="1946"/>
      <c r="AA136" s="1946"/>
      <c r="AB136" s="1946"/>
      <c r="AC136" s="1946"/>
      <c r="AD136" s="1946"/>
      <c r="AE136" s="1946"/>
      <c r="AF136" s="1946"/>
      <c r="AG136" s="1946"/>
      <c r="AH136" s="1946"/>
      <c r="AI136" s="1946"/>
      <c r="AJ136" s="1946"/>
      <c r="AK136" s="1946"/>
      <c r="AL136" s="1946"/>
      <c r="AM136" s="1946"/>
      <c r="AN136" s="894"/>
      <c r="AO136" s="365"/>
    </row>
    <row r="137" spans="2:82" s="317" customFormat="1" ht="14.1" hidden="1" customHeight="1">
      <c r="B137" s="2542"/>
      <c r="C137" s="2543"/>
      <c r="D137" s="2543"/>
      <c r="E137" s="2543"/>
      <c r="F137" s="2543"/>
      <c r="G137" s="2543"/>
      <c r="H137" s="2543"/>
      <c r="I137" s="2543"/>
      <c r="J137" s="2544"/>
      <c r="K137" s="318"/>
      <c r="L137" s="1946"/>
      <c r="M137" s="1946"/>
      <c r="N137" s="1946"/>
      <c r="O137" s="1946"/>
      <c r="P137" s="1946"/>
      <c r="Q137" s="1946"/>
      <c r="R137" s="1946"/>
      <c r="S137" s="1946"/>
      <c r="T137" s="1946"/>
      <c r="U137" s="1946"/>
      <c r="V137" s="1946"/>
      <c r="W137" s="1946"/>
      <c r="X137" s="1946"/>
      <c r="Y137" s="1946"/>
      <c r="Z137" s="1946"/>
      <c r="AA137" s="1946"/>
      <c r="AB137" s="1946"/>
      <c r="AC137" s="1946"/>
      <c r="AD137" s="1946"/>
      <c r="AE137" s="1946"/>
      <c r="AF137" s="1946"/>
      <c r="AG137" s="1946"/>
      <c r="AH137" s="1946"/>
      <c r="AI137" s="1946"/>
      <c r="AJ137" s="1946"/>
      <c r="AK137" s="1946"/>
      <c r="AL137" s="1946"/>
      <c r="AM137" s="1946"/>
      <c r="AN137" s="328"/>
    </row>
    <row r="138" spans="2:82" s="317" customFormat="1" ht="6" hidden="1" customHeight="1">
      <c r="B138" s="895"/>
      <c r="C138" s="896"/>
      <c r="D138" s="896"/>
      <c r="E138" s="896"/>
      <c r="F138" s="896"/>
      <c r="G138" s="896"/>
      <c r="H138" s="896"/>
      <c r="I138" s="896"/>
      <c r="J138" s="897"/>
      <c r="K138" s="896"/>
      <c r="L138" s="896"/>
      <c r="M138" s="896"/>
      <c r="N138" s="896"/>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6"/>
      <c r="AJ138" s="896"/>
      <c r="AK138" s="896"/>
      <c r="AL138" s="896"/>
      <c r="AM138" s="896"/>
      <c r="AN138" s="857"/>
    </row>
    <row r="139" spans="2:82" s="317" customFormat="1" ht="9.9499999999999993" hidden="1" customHeight="1">
      <c r="B139" s="898"/>
      <c r="C139" s="899"/>
      <c r="D139" s="899"/>
      <c r="E139" s="899"/>
      <c r="F139" s="899"/>
      <c r="G139" s="899"/>
      <c r="H139" s="899"/>
      <c r="I139" s="899"/>
      <c r="J139" s="899"/>
      <c r="K139" s="899"/>
      <c r="L139" s="899"/>
      <c r="M139" s="899"/>
      <c r="N139" s="899"/>
      <c r="O139" s="899"/>
      <c r="P139" s="899"/>
      <c r="Q139" s="899"/>
      <c r="R139" s="899"/>
      <c r="S139" s="899"/>
      <c r="T139" s="899"/>
      <c r="U139" s="899"/>
      <c r="V139" s="899"/>
      <c r="W139" s="899"/>
      <c r="X139" s="899"/>
      <c r="Y139" s="899"/>
      <c r="Z139" s="899"/>
      <c r="AA139" s="899"/>
      <c r="AB139" s="899"/>
      <c r="AC139" s="899"/>
      <c r="AD139" s="899"/>
      <c r="AE139" s="899"/>
      <c r="AF139" s="899"/>
      <c r="AG139" s="899"/>
      <c r="AH139" s="899"/>
      <c r="AI139" s="899"/>
      <c r="AJ139" s="899"/>
      <c r="AK139" s="899"/>
      <c r="AL139" s="899"/>
      <c r="AM139" s="899"/>
      <c r="AN139" s="627"/>
    </row>
    <row r="140" spans="2:82" ht="12.95" hidden="1" customHeight="1">
      <c r="B140" s="898"/>
      <c r="C140" s="2512"/>
      <c r="D140" s="2513"/>
      <c r="E140" s="2513"/>
      <c r="F140" s="2513"/>
      <c r="G140" s="2513"/>
      <c r="H140" s="2513"/>
      <c r="I140" s="2513"/>
      <c r="J140" s="2513"/>
      <c r="K140" s="2513"/>
      <c r="L140" s="2513"/>
      <c r="M140" s="2513"/>
      <c r="N140" s="2513"/>
      <c r="O140" s="2513"/>
      <c r="P140" s="2513"/>
      <c r="Q140" s="2513"/>
      <c r="R140" s="2513"/>
      <c r="S140" s="2513"/>
      <c r="T140" s="2514"/>
      <c r="U140" s="899"/>
      <c r="V140" s="2512"/>
      <c r="W140" s="2513"/>
      <c r="X140" s="2513"/>
      <c r="Y140" s="2513"/>
      <c r="Z140" s="2513"/>
      <c r="AA140" s="2513"/>
      <c r="AB140" s="2513"/>
      <c r="AC140" s="2513"/>
      <c r="AD140" s="2513"/>
      <c r="AE140" s="2513"/>
      <c r="AF140" s="2513"/>
      <c r="AG140" s="2513"/>
      <c r="AH140" s="2513"/>
      <c r="AI140" s="2513"/>
      <c r="AJ140" s="2513"/>
      <c r="AK140" s="2513"/>
      <c r="AL140" s="2513"/>
      <c r="AM140" s="2514"/>
      <c r="AN140" s="901"/>
    </row>
    <row r="141" spans="2:82" s="304" customFormat="1" ht="12.95" hidden="1" customHeight="1">
      <c r="B141" s="898"/>
      <c r="C141" s="2512"/>
      <c r="D141" s="2513"/>
      <c r="E141" s="2513"/>
      <c r="F141" s="2513"/>
      <c r="G141" s="2513"/>
      <c r="H141" s="2513"/>
      <c r="I141" s="2513"/>
      <c r="J141" s="2513"/>
      <c r="K141" s="2513"/>
      <c r="L141" s="2513"/>
      <c r="M141" s="2513"/>
      <c r="N141" s="2513"/>
      <c r="O141" s="2513"/>
      <c r="P141" s="2513"/>
      <c r="Q141" s="2513"/>
      <c r="R141" s="2513"/>
      <c r="S141" s="2513"/>
      <c r="T141" s="2514"/>
      <c r="U141" s="899"/>
      <c r="V141" s="2512"/>
      <c r="W141" s="2513"/>
      <c r="X141" s="2513"/>
      <c r="Y141" s="2513"/>
      <c r="Z141" s="2513"/>
      <c r="AA141" s="2513"/>
      <c r="AB141" s="2513"/>
      <c r="AC141" s="2513"/>
      <c r="AD141" s="2513"/>
      <c r="AE141" s="2513"/>
      <c r="AF141" s="2513"/>
      <c r="AG141" s="2513"/>
      <c r="AH141" s="2513"/>
      <c r="AI141" s="2513"/>
      <c r="AJ141" s="2513"/>
      <c r="AK141" s="2513"/>
      <c r="AL141" s="2513"/>
      <c r="AM141" s="2514"/>
      <c r="AN141" s="902"/>
    </row>
    <row r="142" spans="2:82" s="307" customFormat="1" ht="12.95" hidden="1" customHeight="1">
      <c r="B142" s="898"/>
      <c r="C142" s="2512"/>
      <c r="D142" s="2513"/>
      <c r="E142" s="2513"/>
      <c r="F142" s="2513"/>
      <c r="G142" s="2513"/>
      <c r="H142" s="2513"/>
      <c r="I142" s="2513"/>
      <c r="J142" s="2513"/>
      <c r="K142" s="2513"/>
      <c r="L142" s="2513"/>
      <c r="M142" s="2513"/>
      <c r="N142" s="2513"/>
      <c r="O142" s="2513"/>
      <c r="P142" s="2513"/>
      <c r="Q142" s="2513"/>
      <c r="R142" s="2513"/>
      <c r="S142" s="2513"/>
      <c r="T142" s="2514"/>
      <c r="U142" s="899"/>
      <c r="V142" s="2512"/>
      <c r="W142" s="2513"/>
      <c r="X142" s="2513"/>
      <c r="Y142" s="2513"/>
      <c r="Z142" s="2513"/>
      <c r="AA142" s="2513"/>
      <c r="AB142" s="2513"/>
      <c r="AC142" s="2513"/>
      <c r="AD142" s="2513"/>
      <c r="AE142" s="2513"/>
      <c r="AF142" s="2513"/>
      <c r="AG142" s="2513"/>
      <c r="AH142" s="2513"/>
      <c r="AI142" s="2513"/>
      <c r="AJ142" s="2513"/>
      <c r="AK142" s="2513"/>
      <c r="AL142" s="2513"/>
      <c r="AM142" s="2514"/>
      <c r="AN142" s="903"/>
    </row>
    <row r="143" spans="2:82" s="905" customFormat="1" ht="12.95" hidden="1" customHeight="1">
      <c r="B143" s="898"/>
      <c r="C143" s="2512"/>
      <c r="D143" s="2513"/>
      <c r="E143" s="2513"/>
      <c r="F143" s="2513"/>
      <c r="G143" s="2513"/>
      <c r="H143" s="2513"/>
      <c r="I143" s="2513"/>
      <c r="J143" s="2513"/>
      <c r="K143" s="2513"/>
      <c r="L143" s="2513"/>
      <c r="M143" s="2513"/>
      <c r="N143" s="2513"/>
      <c r="O143" s="2513"/>
      <c r="P143" s="2513"/>
      <c r="Q143" s="2513"/>
      <c r="R143" s="2513"/>
      <c r="S143" s="2513"/>
      <c r="T143" s="2514"/>
      <c r="U143" s="899"/>
      <c r="V143" s="2512"/>
      <c r="W143" s="2513"/>
      <c r="X143" s="2513"/>
      <c r="Y143" s="2513"/>
      <c r="Z143" s="2513"/>
      <c r="AA143" s="2513"/>
      <c r="AB143" s="2513"/>
      <c r="AC143" s="2513"/>
      <c r="AD143" s="2513"/>
      <c r="AE143" s="2513"/>
      <c r="AF143" s="2513"/>
      <c r="AG143" s="2513"/>
      <c r="AH143" s="2513"/>
      <c r="AI143" s="2513"/>
      <c r="AJ143" s="2513"/>
      <c r="AK143" s="2513"/>
      <c r="AL143" s="2513"/>
      <c r="AM143" s="2514"/>
      <c r="AN143" s="904"/>
    </row>
    <row r="144" spans="2:82" s="311" customFormat="1" ht="12.95" hidden="1" customHeight="1">
      <c r="B144" s="898"/>
      <c r="C144" s="2512"/>
      <c r="D144" s="2513"/>
      <c r="E144" s="2513"/>
      <c r="F144" s="2513"/>
      <c r="G144" s="2513"/>
      <c r="H144" s="2513"/>
      <c r="I144" s="2513"/>
      <c r="J144" s="2513"/>
      <c r="K144" s="2513"/>
      <c r="L144" s="2513"/>
      <c r="M144" s="2513"/>
      <c r="N144" s="2513"/>
      <c r="O144" s="2513"/>
      <c r="P144" s="2513"/>
      <c r="Q144" s="2513"/>
      <c r="R144" s="2513"/>
      <c r="S144" s="2513"/>
      <c r="T144" s="2514"/>
      <c r="U144" s="899"/>
      <c r="V144" s="2512"/>
      <c r="W144" s="2513"/>
      <c r="X144" s="2513"/>
      <c r="Y144" s="2513"/>
      <c r="Z144" s="2513"/>
      <c r="AA144" s="2513"/>
      <c r="AB144" s="2513"/>
      <c r="AC144" s="2513"/>
      <c r="AD144" s="2513"/>
      <c r="AE144" s="2513"/>
      <c r="AF144" s="2513"/>
      <c r="AG144" s="2513"/>
      <c r="AH144" s="2513"/>
      <c r="AI144" s="2513"/>
      <c r="AJ144" s="2513"/>
      <c r="AK144" s="2513"/>
      <c r="AL144" s="2513"/>
      <c r="AM144" s="2514"/>
      <c r="AN144" s="622"/>
    </row>
    <row r="145" spans="2:40" s="311" customFormat="1" ht="12.95" hidden="1" customHeight="1">
      <c r="B145" s="898"/>
      <c r="C145" s="2512"/>
      <c r="D145" s="2513"/>
      <c r="E145" s="2513"/>
      <c r="F145" s="2513"/>
      <c r="G145" s="2513"/>
      <c r="H145" s="2513"/>
      <c r="I145" s="2513"/>
      <c r="J145" s="2513"/>
      <c r="K145" s="2513"/>
      <c r="L145" s="2513"/>
      <c r="M145" s="2513"/>
      <c r="N145" s="2513"/>
      <c r="O145" s="2513"/>
      <c r="P145" s="2513"/>
      <c r="Q145" s="2513"/>
      <c r="R145" s="2513"/>
      <c r="S145" s="2513"/>
      <c r="T145" s="2514"/>
      <c r="U145" s="899"/>
      <c r="V145" s="2512"/>
      <c r="W145" s="2513"/>
      <c r="X145" s="2513"/>
      <c r="Y145" s="2513"/>
      <c r="Z145" s="2513"/>
      <c r="AA145" s="2513"/>
      <c r="AB145" s="2513"/>
      <c r="AC145" s="2513"/>
      <c r="AD145" s="2513"/>
      <c r="AE145" s="2513"/>
      <c r="AF145" s="2513"/>
      <c r="AG145" s="2513"/>
      <c r="AH145" s="2513"/>
      <c r="AI145" s="2513"/>
      <c r="AJ145" s="2513"/>
      <c r="AK145" s="2513"/>
      <c r="AL145" s="2513"/>
      <c r="AM145" s="2514"/>
      <c r="AN145" s="622"/>
    </row>
    <row r="146" spans="2:40" s="311" customFormat="1" ht="12.95" hidden="1" customHeight="1">
      <c r="B146" s="898"/>
      <c r="C146" s="2512"/>
      <c r="D146" s="2513"/>
      <c r="E146" s="2513"/>
      <c r="F146" s="2513"/>
      <c r="G146" s="2513"/>
      <c r="H146" s="2513"/>
      <c r="I146" s="2513"/>
      <c r="J146" s="2513"/>
      <c r="K146" s="2513"/>
      <c r="L146" s="2513"/>
      <c r="M146" s="2513"/>
      <c r="N146" s="2513"/>
      <c r="O146" s="2513"/>
      <c r="P146" s="2513"/>
      <c r="Q146" s="2513"/>
      <c r="R146" s="2513"/>
      <c r="S146" s="2513"/>
      <c r="T146" s="2514"/>
      <c r="U146" s="899"/>
      <c r="V146" s="2512"/>
      <c r="W146" s="2513"/>
      <c r="X146" s="2513"/>
      <c r="Y146" s="2513"/>
      <c r="Z146" s="2513"/>
      <c r="AA146" s="2513"/>
      <c r="AB146" s="2513"/>
      <c r="AC146" s="2513"/>
      <c r="AD146" s="2513"/>
      <c r="AE146" s="2513"/>
      <c r="AF146" s="2513"/>
      <c r="AG146" s="2513"/>
      <c r="AH146" s="2513"/>
      <c r="AI146" s="2513"/>
      <c r="AJ146" s="2513"/>
      <c r="AK146" s="2513"/>
      <c r="AL146" s="2513"/>
      <c r="AM146" s="2514"/>
      <c r="AN146" s="622"/>
    </row>
    <row r="147" spans="2:40" s="311" customFormat="1" ht="12.95" hidden="1" customHeight="1">
      <c r="B147" s="898"/>
      <c r="C147" s="2512"/>
      <c r="D147" s="2513"/>
      <c r="E147" s="2513"/>
      <c r="F147" s="2513"/>
      <c r="G147" s="2513"/>
      <c r="H147" s="2513"/>
      <c r="I147" s="2513"/>
      <c r="J147" s="2513"/>
      <c r="K147" s="2513"/>
      <c r="L147" s="2513"/>
      <c r="M147" s="2513"/>
      <c r="N147" s="2513"/>
      <c r="O147" s="2513"/>
      <c r="P147" s="2513"/>
      <c r="Q147" s="2513"/>
      <c r="R147" s="2513"/>
      <c r="S147" s="2513"/>
      <c r="T147" s="2514"/>
      <c r="U147" s="899"/>
      <c r="V147" s="2512"/>
      <c r="W147" s="2513"/>
      <c r="X147" s="2513"/>
      <c r="Y147" s="2513"/>
      <c r="Z147" s="2513"/>
      <c r="AA147" s="2513"/>
      <c r="AB147" s="2513"/>
      <c r="AC147" s="2513"/>
      <c r="AD147" s="2513"/>
      <c r="AE147" s="2513"/>
      <c r="AF147" s="2513"/>
      <c r="AG147" s="2513"/>
      <c r="AH147" s="2513"/>
      <c r="AI147" s="2513"/>
      <c r="AJ147" s="2513"/>
      <c r="AK147" s="2513"/>
      <c r="AL147" s="2513"/>
      <c r="AM147" s="2514"/>
      <c r="AN147" s="622"/>
    </row>
    <row r="148" spans="2:40" s="311" customFormat="1" ht="12.95" hidden="1" customHeight="1">
      <c r="B148" s="898"/>
      <c r="C148" s="2512"/>
      <c r="D148" s="2513"/>
      <c r="E148" s="2513"/>
      <c r="F148" s="2513"/>
      <c r="G148" s="2513"/>
      <c r="H148" s="2513"/>
      <c r="I148" s="2513"/>
      <c r="J148" s="2513"/>
      <c r="K148" s="2513"/>
      <c r="L148" s="2513"/>
      <c r="M148" s="2513"/>
      <c r="N148" s="2513"/>
      <c r="O148" s="2513"/>
      <c r="P148" s="2513"/>
      <c r="Q148" s="2513"/>
      <c r="R148" s="2513"/>
      <c r="S148" s="2513"/>
      <c r="T148" s="2514"/>
      <c r="U148" s="899"/>
      <c r="V148" s="2512"/>
      <c r="W148" s="2513"/>
      <c r="X148" s="2513"/>
      <c r="Y148" s="2513"/>
      <c r="Z148" s="2513"/>
      <c r="AA148" s="2513"/>
      <c r="AB148" s="2513"/>
      <c r="AC148" s="2513"/>
      <c r="AD148" s="2513"/>
      <c r="AE148" s="2513"/>
      <c r="AF148" s="2513"/>
      <c r="AG148" s="2513"/>
      <c r="AH148" s="2513"/>
      <c r="AI148" s="2513"/>
      <c r="AJ148" s="2513"/>
      <c r="AK148" s="2513"/>
      <c r="AL148" s="2513"/>
      <c r="AM148" s="2514"/>
      <c r="AN148" s="622"/>
    </row>
    <row r="149" spans="2:40" s="831" customFormat="1" ht="12.95" hidden="1" customHeight="1">
      <c r="B149" s="898"/>
      <c r="C149" s="2512"/>
      <c r="D149" s="2513"/>
      <c r="E149" s="2513"/>
      <c r="F149" s="2513"/>
      <c r="G149" s="2513"/>
      <c r="H149" s="2513"/>
      <c r="I149" s="2513"/>
      <c r="J149" s="2513"/>
      <c r="K149" s="2513"/>
      <c r="L149" s="2513"/>
      <c r="M149" s="2513"/>
      <c r="N149" s="2513"/>
      <c r="O149" s="2513"/>
      <c r="P149" s="2513"/>
      <c r="Q149" s="2513"/>
      <c r="R149" s="2513"/>
      <c r="S149" s="2513"/>
      <c r="T149" s="2514"/>
      <c r="U149" s="899"/>
      <c r="V149" s="2512"/>
      <c r="W149" s="2513"/>
      <c r="X149" s="2513"/>
      <c r="Y149" s="2513"/>
      <c r="Z149" s="2513"/>
      <c r="AA149" s="2513"/>
      <c r="AB149" s="2513"/>
      <c r="AC149" s="2513"/>
      <c r="AD149" s="2513"/>
      <c r="AE149" s="2513"/>
      <c r="AF149" s="2513"/>
      <c r="AG149" s="2513"/>
      <c r="AH149" s="2513"/>
      <c r="AI149" s="2513"/>
      <c r="AJ149" s="2513"/>
      <c r="AK149" s="2513"/>
      <c r="AL149" s="2513"/>
      <c r="AM149" s="2514"/>
      <c r="AN149" s="906"/>
    </row>
    <row r="150" spans="2:40" s="311" customFormat="1" ht="12.95" hidden="1" customHeight="1">
      <c r="B150" s="898"/>
      <c r="C150" s="2512"/>
      <c r="D150" s="2513"/>
      <c r="E150" s="2513"/>
      <c r="F150" s="2513"/>
      <c r="G150" s="2513"/>
      <c r="H150" s="2513"/>
      <c r="I150" s="2513"/>
      <c r="J150" s="2513"/>
      <c r="K150" s="2513"/>
      <c r="L150" s="2513"/>
      <c r="M150" s="2513"/>
      <c r="N150" s="2513"/>
      <c r="O150" s="2513"/>
      <c r="P150" s="2513"/>
      <c r="Q150" s="2513"/>
      <c r="R150" s="2513"/>
      <c r="S150" s="2513"/>
      <c r="T150" s="2514"/>
      <c r="U150" s="899"/>
      <c r="V150" s="2512"/>
      <c r="W150" s="2513"/>
      <c r="X150" s="2513"/>
      <c r="Y150" s="2513"/>
      <c r="Z150" s="2513"/>
      <c r="AA150" s="2513"/>
      <c r="AB150" s="2513"/>
      <c r="AC150" s="2513"/>
      <c r="AD150" s="2513"/>
      <c r="AE150" s="2513"/>
      <c r="AF150" s="2513"/>
      <c r="AG150" s="2513"/>
      <c r="AH150" s="2513"/>
      <c r="AI150" s="2513"/>
      <c r="AJ150" s="2513"/>
      <c r="AK150" s="2513"/>
      <c r="AL150" s="2513"/>
      <c r="AM150" s="2514"/>
      <c r="AN150" s="622"/>
    </row>
    <row r="151" spans="2:40" s="307" customFormat="1" ht="12.95" hidden="1" customHeight="1">
      <c r="B151" s="898"/>
      <c r="C151" s="2512"/>
      <c r="D151" s="2513"/>
      <c r="E151" s="2513"/>
      <c r="F151" s="2513"/>
      <c r="G151" s="2513"/>
      <c r="H151" s="2513"/>
      <c r="I151" s="2513"/>
      <c r="J151" s="2513"/>
      <c r="K151" s="2513"/>
      <c r="L151" s="2513"/>
      <c r="M151" s="2513"/>
      <c r="N151" s="2513"/>
      <c r="O151" s="2513"/>
      <c r="P151" s="2513"/>
      <c r="Q151" s="2513"/>
      <c r="R151" s="2513"/>
      <c r="S151" s="2513"/>
      <c r="T151" s="2514"/>
      <c r="U151" s="899"/>
      <c r="V151" s="2512"/>
      <c r="W151" s="2513"/>
      <c r="X151" s="2513"/>
      <c r="Y151" s="2513"/>
      <c r="Z151" s="2513"/>
      <c r="AA151" s="2513"/>
      <c r="AB151" s="2513"/>
      <c r="AC151" s="2513"/>
      <c r="AD151" s="2513"/>
      <c r="AE151" s="2513"/>
      <c r="AF151" s="2513"/>
      <c r="AG151" s="2513"/>
      <c r="AH151" s="2513"/>
      <c r="AI151" s="2513"/>
      <c r="AJ151" s="2513"/>
      <c r="AK151" s="2513"/>
      <c r="AL151" s="2513"/>
      <c r="AM151" s="2514"/>
      <c r="AN151" s="903"/>
    </row>
    <row r="152" spans="2:40" s="311" customFormat="1" ht="12.95" hidden="1" customHeight="1">
      <c r="B152" s="898"/>
      <c r="C152" s="2512"/>
      <c r="D152" s="2513"/>
      <c r="E152" s="2513"/>
      <c r="F152" s="2513"/>
      <c r="G152" s="2513"/>
      <c r="H152" s="2513"/>
      <c r="I152" s="2513"/>
      <c r="J152" s="2513"/>
      <c r="K152" s="2513"/>
      <c r="L152" s="2513"/>
      <c r="M152" s="2513"/>
      <c r="N152" s="2513"/>
      <c r="O152" s="2513"/>
      <c r="P152" s="2513"/>
      <c r="Q152" s="2513"/>
      <c r="R152" s="2513"/>
      <c r="S152" s="2513"/>
      <c r="T152" s="2514"/>
      <c r="U152" s="899"/>
      <c r="V152" s="2512"/>
      <c r="W152" s="2513"/>
      <c r="X152" s="2513"/>
      <c r="Y152" s="2513"/>
      <c r="Z152" s="2513"/>
      <c r="AA152" s="2513"/>
      <c r="AB152" s="2513"/>
      <c r="AC152" s="2513"/>
      <c r="AD152" s="2513"/>
      <c r="AE152" s="2513"/>
      <c r="AF152" s="2513"/>
      <c r="AG152" s="2513"/>
      <c r="AH152" s="2513"/>
      <c r="AI152" s="2513"/>
      <c r="AJ152" s="2513"/>
      <c r="AK152" s="2513"/>
      <c r="AL152" s="2513"/>
      <c r="AM152" s="2514"/>
      <c r="AN152" s="622"/>
    </row>
    <row r="153" spans="2:40" s="311" customFormat="1" ht="12.95" hidden="1" customHeight="1">
      <c r="B153" s="898"/>
      <c r="C153" s="2512"/>
      <c r="D153" s="2513"/>
      <c r="E153" s="2513"/>
      <c r="F153" s="2513"/>
      <c r="G153" s="2513"/>
      <c r="H153" s="2513"/>
      <c r="I153" s="2513"/>
      <c r="J153" s="2513"/>
      <c r="K153" s="2513"/>
      <c r="L153" s="2513"/>
      <c r="M153" s="2513"/>
      <c r="N153" s="2513"/>
      <c r="O153" s="2513"/>
      <c r="P153" s="2513"/>
      <c r="Q153" s="2513"/>
      <c r="R153" s="2513"/>
      <c r="S153" s="2513"/>
      <c r="T153" s="2514"/>
      <c r="U153" s="899"/>
      <c r="V153" s="2512"/>
      <c r="W153" s="2513"/>
      <c r="X153" s="2513"/>
      <c r="Y153" s="2513"/>
      <c r="Z153" s="2513"/>
      <c r="AA153" s="2513"/>
      <c r="AB153" s="2513"/>
      <c r="AC153" s="2513"/>
      <c r="AD153" s="2513"/>
      <c r="AE153" s="2513"/>
      <c r="AF153" s="2513"/>
      <c r="AG153" s="2513"/>
      <c r="AH153" s="2513"/>
      <c r="AI153" s="2513"/>
      <c r="AJ153" s="2513"/>
      <c r="AK153" s="2513"/>
      <c r="AL153" s="2513"/>
      <c r="AM153" s="2514"/>
      <c r="AN153" s="622"/>
    </row>
    <row r="154" spans="2:40" s="311" customFormat="1" ht="15" hidden="1" customHeight="1">
      <c r="B154" s="898"/>
      <c r="C154" s="2512"/>
      <c r="D154" s="2513"/>
      <c r="E154" s="2513"/>
      <c r="F154" s="2513"/>
      <c r="G154" s="2513"/>
      <c r="H154" s="2513"/>
      <c r="I154" s="2513"/>
      <c r="J154" s="2513"/>
      <c r="K154" s="2513"/>
      <c r="L154" s="2513"/>
      <c r="M154" s="2513"/>
      <c r="N154" s="2513"/>
      <c r="O154" s="2513"/>
      <c r="P154" s="2513"/>
      <c r="Q154" s="2513"/>
      <c r="R154" s="2513"/>
      <c r="S154" s="2513"/>
      <c r="T154" s="2514"/>
      <c r="U154" s="899"/>
      <c r="V154" s="2512"/>
      <c r="W154" s="2513"/>
      <c r="X154" s="2513"/>
      <c r="Y154" s="2513"/>
      <c r="Z154" s="2513"/>
      <c r="AA154" s="2513"/>
      <c r="AB154" s="2513"/>
      <c r="AC154" s="2513"/>
      <c r="AD154" s="2513"/>
      <c r="AE154" s="2513"/>
      <c r="AF154" s="2513"/>
      <c r="AG154" s="2513"/>
      <c r="AH154" s="2513"/>
      <c r="AI154" s="2513"/>
      <c r="AJ154" s="2513"/>
      <c r="AK154" s="2513"/>
      <c r="AL154" s="2513"/>
      <c r="AM154" s="2514"/>
      <c r="AN154" s="622"/>
    </row>
    <row r="155" spans="2:40" s="311" customFormat="1" ht="9.9499999999999993" hidden="1" customHeight="1">
      <c r="B155" s="898"/>
      <c r="C155" s="2509" t="s">
        <v>1512</v>
      </c>
      <c r="D155" s="2510"/>
      <c r="E155" s="2510"/>
      <c r="F155" s="2510"/>
      <c r="G155" s="2510"/>
      <c r="H155" s="2510"/>
      <c r="I155" s="2510"/>
      <c r="J155" s="2510"/>
      <c r="K155" s="2510"/>
      <c r="L155" s="2510"/>
      <c r="M155" s="2510"/>
      <c r="N155" s="2510"/>
      <c r="O155" s="2510"/>
      <c r="P155" s="2510"/>
      <c r="Q155" s="2510"/>
      <c r="R155" s="2510"/>
      <c r="S155" s="2510"/>
      <c r="T155" s="2511"/>
      <c r="U155" s="899"/>
      <c r="V155" s="2509" t="s">
        <v>2347</v>
      </c>
      <c r="W155" s="2510"/>
      <c r="X155" s="2510"/>
      <c r="Y155" s="2510"/>
      <c r="Z155" s="2510"/>
      <c r="AA155" s="2510"/>
      <c r="AB155" s="2510"/>
      <c r="AC155" s="2510"/>
      <c r="AD155" s="2510"/>
      <c r="AE155" s="2510"/>
      <c r="AF155" s="2510"/>
      <c r="AG155" s="2510"/>
      <c r="AH155" s="2510"/>
      <c r="AI155" s="2510"/>
      <c r="AJ155" s="2510"/>
      <c r="AK155" s="2510"/>
      <c r="AL155" s="2510"/>
      <c r="AM155" s="2511"/>
      <c r="AN155" s="622"/>
    </row>
    <row r="156" spans="2:40" s="311" customFormat="1" ht="9.9499999999999993" hidden="1" customHeight="1">
      <c r="B156" s="898"/>
      <c r="C156" s="2509"/>
      <c r="D156" s="2510"/>
      <c r="E156" s="2510"/>
      <c r="F156" s="2510"/>
      <c r="G156" s="2510"/>
      <c r="H156" s="2510"/>
      <c r="I156" s="2510"/>
      <c r="J156" s="2510"/>
      <c r="K156" s="2510"/>
      <c r="L156" s="2510"/>
      <c r="M156" s="2510"/>
      <c r="N156" s="2510"/>
      <c r="O156" s="2510"/>
      <c r="P156" s="2510"/>
      <c r="Q156" s="2510"/>
      <c r="R156" s="2510"/>
      <c r="S156" s="2510"/>
      <c r="T156" s="2511"/>
      <c r="U156" s="899"/>
      <c r="V156" s="2509"/>
      <c r="W156" s="2510"/>
      <c r="X156" s="2510"/>
      <c r="Y156" s="2510"/>
      <c r="Z156" s="2510"/>
      <c r="AA156" s="2510"/>
      <c r="AB156" s="2510"/>
      <c r="AC156" s="2510"/>
      <c r="AD156" s="2510"/>
      <c r="AE156" s="2510"/>
      <c r="AF156" s="2510"/>
      <c r="AG156" s="2510"/>
      <c r="AH156" s="2510"/>
      <c r="AI156" s="2510"/>
      <c r="AJ156" s="2510"/>
      <c r="AK156" s="2510"/>
      <c r="AL156" s="2510"/>
      <c r="AM156" s="2511"/>
      <c r="AN156" s="622"/>
    </row>
    <row r="157" spans="2:40" s="311" customFormat="1" ht="9.9499999999999993" hidden="1" customHeight="1">
      <c r="B157" s="898"/>
      <c r="C157" s="2509"/>
      <c r="D157" s="2510"/>
      <c r="E157" s="2510"/>
      <c r="F157" s="2510"/>
      <c r="G157" s="2510"/>
      <c r="H157" s="2510"/>
      <c r="I157" s="2510"/>
      <c r="J157" s="2510"/>
      <c r="K157" s="2510"/>
      <c r="L157" s="2510"/>
      <c r="M157" s="2510"/>
      <c r="N157" s="2510"/>
      <c r="O157" s="2510"/>
      <c r="P157" s="2510"/>
      <c r="Q157" s="2510"/>
      <c r="R157" s="2510"/>
      <c r="S157" s="2510"/>
      <c r="T157" s="2511"/>
      <c r="U157" s="899"/>
      <c r="V157" s="2509"/>
      <c r="W157" s="2510"/>
      <c r="X157" s="2510"/>
      <c r="Y157" s="2510"/>
      <c r="Z157" s="2510"/>
      <c r="AA157" s="2510"/>
      <c r="AB157" s="2510"/>
      <c r="AC157" s="2510"/>
      <c r="AD157" s="2510"/>
      <c r="AE157" s="2510"/>
      <c r="AF157" s="2510"/>
      <c r="AG157" s="2510"/>
      <c r="AH157" s="2510"/>
      <c r="AI157" s="2510"/>
      <c r="AJ157" s="2510"/>
      <c r="AK157" s="2510"/>
      <c r="AL157" s="2510"/>
      <c r="AM157" s="2511"/>
      <c r="AN157" s="622"/>
    </row>
    <row r="158" spans="2:40" s="307" customFormat="1" ht="6" hidden="1" customHeight="1">
      <c r="B158" s="898"/>
      <c r="C158" s="899"/>
      <c r="D158" s="899"/>
      <c r="E158" s="899"/>
      <c r="F158" s="899"/>
      <c r="G158" s="899"/>
      <c r="H158" s="899"/>
      <c r="I158" s="899"/>
      <c r="J158" s="899"/>
      <c r="K158" s="899"/>
      <c r="L158" s="899"/>
      <c r="M158" s="899"/>
      <c r="N158" s="899"/>
      <c r="O158" s="899"/>
      <c r="P158" s="899"/>
      <c r="Q158" s="899"/>
      <c r="R158" s="899"/>
      <c r="S158" s="899"/>
      <c r="T158" s="899"/>
      <c r="U158" s="899"/>
      <c r="V158" s="899"/>
      <c r="W158" s="899"/>
      <c r="X158" s="899"/>
      <c r="Y158" s="899"/>
      <c r="Z158" s="899"/>
      <c r="AA158" s="899"/>
      <c r="AB158" s="899"/>
      <c r="AC158" s="899"/>
      <c r="AD158" s="899"/>
      <c r="AE158" s="899"/>
      <c r="AF158" s="899"/>
      <c r="AG158" s="899"/>
      <c r="AH158" s="899"/>
      <c r="AI158" s="899"/>
      <c r="AJ158" s="899"/>
      <c r="AK158" s="899"/>
      <c r="AL158" s="899"/>
      <c r="AM158" s="899"/>
      <c r="AN158" s="903"/>
    </row>
    <row r="159" spans="2:40" s="311" customFormat="1" ht="12.95" hidden="1" customHeight="1">
      <c r="B159" s="898"/>
      <c r="C159" s="2533"/>
      <c r="D159" s="2534"/>
      <c r="E159" s="2534"/>
      <c r="F159" s="2534"/>
      <c r="G159" s="2534"/>
      <c r="H159" s="2534"/>
      <c r="I159" s="2534"/>
      <c r="J159" s="2534"/>
      <c r="K159" s="2534"/>
      <c r="L159" s="2534"/>
      <c r="M159" s="2534"/>
      <c r="N159" s="2534"/>
      <c r="O159" s="2534"/>
      <c r="P159" s="2534"/>
      <c r="Q159" s="2534"/>
      <c r="R159" s="2534"/>
      <c r="S159" s="2534"/>
      <c r="T159" s="2535"/>
      <c r="U159" s="899"/>
      <c r="V159" s="2512"/>
      <c r="W159" s="2513"/>
      <c r="X159" s="2513"/>
      <c r="Y159" s="2513"/>
      <c r="Z159" s="2513"/>
      <c r="AA159" s="2513"/>
      <c r="AB159" s="2513"/>
      <c r="AC159" s="2513"/>
      <c r="AD159" s="2513"/>
      <c r="AE159" s="2513"/>
      <c r="AF159" s="2513"/>
      <c r="AG159" s="2513"/>
      <c r="AH159" s="2513"/>
      <c r="AI159" s="2513"/>
      <c r="AJ159" s="2513"/>
      <c r="AK159" s="2513"/>
      <c r="AL159" s="2513"/>
      <c r="AM159" s="2514"/>
      <c r="AN159" s="622"/>
    </row>
    <row r="160" spans="2:40" s="311" customFormat="1" ht="12.95" hidden="1" customHeight="1">
      <c r="B160" s="898"/>
      <c r="C160" s="2536"/>
      <c r="D160" s="2537"/>
      <c r="E160" s="2537"/>
      <c r="F160" s="2537"/>
      <c r="G160" s="2537"/>
      <c r="H160" s="2537"/>
      <c r="I160" s="2537"/>
      <c r="J160" s="2537"/>
      <c r="K160" s="2537"/>
      <c r="L160" s="2537"/>
      <c r="M160" s="2537"/>
      <c r="N160" s="2537"/>
      <c r="O160" s="2537"/>
      <c r="P160" s="2537"/>
      <c r="Q160" s="2537"/>
      <c r="R160" s="2537"/>
      <c r="S160" s="2537"/>
      <c r="T160" s="2538"/>
      <c r="U160" s="899"/>
      <c r="V160" s="2512"/>
      <c r="W160" s="2513"/>
      <c r="X160" s="2513"/>
      <c r="Y160" s="2513"/>
      <c r="Z160" s="2513"/>
      <c r="AA160" s="2513"/>
      <c r="AB160" s="2513"/>
      <c r="AC160" s="2513"/>
      <c r="AD160" s="2513"/>
      <c r="AE160" s="2513"/>
      <c r="AF160" s="2513"/>
      <c r="AG160" s="2513"/>
      <c r="AH160" s="2513"/>
      <c r="AI160" s="2513"/>
      <c r="AJ160" s="2513"/>
      <c r="AK160" s="2513"/>
      <c r="AL160" s="2513"/>
      <c r="AM160" s="2514"/>
      <c r="AN160" s="622"/>
    </row>
    <row r="161" spans="2:40" s="311" customFormat="1" ht="12.95" hidden="1" customHeight="1">
      <c r="B161" s="898"/>
      <c r="C161" s="2536"/>
      <c r="D161" s="2537"/>
      <c r="E161" s="2537"/>
      <c r="F161" s="2537"/>
      <c r="G161" s="2537"/>
      <c r="H161" s="2537"/>
      <c r="I161" s="2537"/>
      <c r="J161" s="2537"/>
      <c r="K161" s="2537"/>
      <c r="L161" s="2537"/>
      <c r="M161" s="2537"/>
      <c r="N161" s="2537"/>
      <c r="O161" s="2537"/>
      <c r="P161" s="2537"/>
      <c r="Q161" s="2537"/>
      <c r="R161" s="2537"/>
      <c r="S161" s="2537"/>
      <c r="T161" s="2538"/>
      <c r="U161" s="899"/>
      <c r="V161" s="2512"/>
      <c r="W161" s="2513"/>
      <c r="X161" s="2513"/>
      <c r="Y161" s="2513"/>
      <c r="Z161" s="2513"/>
      <c r="AA161" s="2513"/>
      <c r="AB161" s="2513"/>
      <c r="AC161" s="2513"/>
      <c r="AD161" s="2513"/>
      <c r="AE161" s="2513"/>
      <c r="AF161" s="2513"/>
      <c r="AG161" s="2513"/>
      <c r="AH161" s="2513"/>
      <c r="AI161" s="2513"/>
      <c r="AJ161" s="2513"/>
      <c r="AK161" s="2513"/>
      <c r="AL161" s="2513"/>
      <c r="AM161" s="2514"/>
      <c r="AN161" s="622"/>
    </row>
    <row r="162" spans="2:40" s="311" customFormat="1" ht="12.95" hidden="1" customHeight="1">
      <c r="B162" s="898"/>
      <c r="C162" s="2536"/>
      <c r="D162" s="2537"/>
      <c r="E162" s="2537"/>
      <c r="F162" s="2537"/>
      <c r="G162" s="2537"/>
      <c r="H162" s="2537"/>
      <c r="I162" s="2537"/>
      <c r="J162" s="2537"/>
      <c r="K162" s="2537"/>
      <c r="L162" s="2537"/>
      <c r="M162" s="2537"/>
      <c r="N162" s="2537"/>
      <c r="O162" s="2537"/>
      <c r="P162" s="2537"/>
      <c r="Q162" s="2537"/>
      <c r="R162" s="2537"/>
      <c r="S162" s="2537"/>
      <c r="T162" s="2538"/>
      <c r="U162" s="899"/>
      <c r="V162" s="2512"/>
      <c r="W162" s="2513"/>
      <c r="X162" s="2513"/>
      <c r="Y162" s="2513"/>
      <c r="Z162" s="2513"/>
      <c r="AA162" s="2513"/>
      <c r="AB162" s="2513"/>
      <c r="AC162" s="2513"/>
      <c r="AD162" s="2513"/>
      <c r="AE162" s="2513"/>
      <c r="AF162" s="2513"/>
      <c r="AG162" s="2513"/>
      <c r="AH162" s="2513"/>
      <c r="AI162" s="2513"/>
      <c r="AJ162" s="2513"/>
      <c r="AK162" s="2513"/>
      <c r="AL162" s="2513"/>
      <c r="AM162" s="2514"/>
      <c r="AN162" s="622"/>
    </row>
    <row r="163" spans="2:40" s="311" customFormat="1" ht="12.95" hidden="1" customHeight="1">
      <c r="B163" s="898"/>
      <c r="C163" s="2536"/>
      <c r="D163" s="2537"/>
      <c r="E163" s="2537"/>
      <c r="F163" s="2537"/>
      <c r="G163" s="2537"/>
      <c r="H163" s="2537"/>
      <c r="I163" s="2537"/>
      <c r="J163" s="2537"/>
      <c r="K163" s="2537"/>
      <c r="L163" s="2537"/>
      <c r="M163" s="2537"/>
      <c r="N163" s="2537"/>
      <c r="O163" s="2537"/>
      <c r="P163" s="2537"/>
      <c r="Q163" s="2537"/>
      <c r="R163" s="2537"/>
      <c r="S163" s="2537"/>
      <c r="T163" s="2538"/>
      <c r="U163" s="899"/>
      <c r="V163" s="2512"/>
      <c r="W163" s="2513"/>
      <c r="X163" s="2513"/>
      <c r="Y163" s="2513"/>
      <c r="Z163" s="2513"/>
      <c r="AA163" s="2513"/>
      <c r="AB163" s="2513"/>
      <c r="AC163" s="2513"/>
      <c r="AD163" s="2513"/>
      <c r="AE163" s="2513"/>
      <c r="AF163" s="2513"/>
      <c r="AG163" s="2513"/>
      <c r="AH163" s="2513"/>
      <c r="AI163" s="2513"/>
      <c r="AJ163" s="2513"/>
      <c r="AK163" s="2513"/>
      <c r="AL163" s="2513"/>
      <c r="AM163" s="2514"/>
      <c r="AN163" s="622"/>
    </row>
    <row r="164" spans="2:40" s="311" customFormat="1" ht="12.95" hidden="1" customHeight="1">
      <c r="B164" s="898"/>
      <c r="C164" s="2536"/>
      <c r="D164" s="2537"/>
      <c r="E164" s="2537"/>
      <c r="F164" s="2537"/>
      <c r="G164" s="2537"/>
      <c r="H164" s="2537"/>
      <c r="I164" s="2537"/>
      <c r="J164" s="2537"/>
      <c r="K164" s="2537"/>
      <c r="L164" s="2537"/>
      <c r="M164" s="2537"/>
      <c r="N164" s="2537"/>
      <c r="O164" s="2537"/>
      <c r="P164" s="2537"/>
      <c r="Q164" s="2537"/>
      <c r="R164" s="2537"/>
      <c r="S164" s="2537"/>
      <c r="T164" s="2538"/>
      <c r="U164" s="899"/>
      <c r="V164" s="2512"/>
      <c r="W164" s="2513"/>
      <c r="X164" s="2513"/>
      <c r="Y164" s="2513"/>
      <c r="Z164" s="2513"/>
      <c r="AA164" s="2513"/>
      <c r="AB164" s="2513"/>
      <c r="AC164" s="2513"/>
      <c r="AD164" s="2513"/>
      <c r="AE164" s="2513"/>
      <c r="AF164" s="2513"/>
      <c r="AG164" s="2513"/>
      <c r="AH164" s="2513"/>
      <c r="AI164" s="2513"/>
      <c r="AJ164" s="2513"/>
      <c r="AK164" s="2513"/>
      <c r="AL164" s="2513"/>
      <c r="AM164" s="2514"/>
      <c r="AN164" s="622"/>
    </row>
    <row r="165" spans="2:40" s="307" customFormat="1" ht="12.95" hidden="1" customHeight="1">
      <c r="B165" s="898"/>
      <c r="C165" s="2536"/>
      <c r="D165" s="2537"/>
      <c r="E165" s="2537"/>
      <c r="F165" s="2537"/>
      <c r="G165" s="2537"/>
      <c r="H165" s="2537"/>
      <c r="I165" s="2537"/>
      <c r="J165" s="2537"/>
      <c r="K165" s="2537"/>
      <c r="L165" s="2537"/>
      <c r="M165" s="2537"/>
      <c r="N165" s="2537"/>
      <c r="O165" s="2537"/>
      <c r="P165" s="2537"/>
      <c r="Q165" s="2537"/>
      <c r="R165" s="2537"/>
      <c r="S165" s="2537"/>
      <c r="T165" s="2538"/>
      <c r="U165" s="899"/>
      <c r="V165" s="2512"/>
      <c r="W165" s="2513"/>
      <c r="X165" s="2513"/>
      <c r="Y165" s="2513"/>
      <c r="Z165" s="2513"/>
      <c r="AA165" s="2513"/>
      <c r="AB165" s="2513"/>
      <c r="AC165" s="2513"/>
      <c r="AD165" s="2513"/>
      <c r="AE165" s="2513"/>
      <c r="AF165" s="2513"/>
      <c r="AG165" s="2513"/>
      <c r="AH165" s="2513"/>
      <c r="AI165" s="2513"/>
      <c r="AJ165" s="2513"/>
      <c r="AK165" s="2513"/>
      <c r="AL165" s="2513"/>
      <c r="AM165" s="2514"/>
      <c r="AN165" s="903"/>
    </row>
    <row r="166" spans="2:40" s="311" customFormat="1" ht="12.95" hidden="1" customHeight="1">
      <c r="B166" s="898"/>
      <c r="C166" s="2536"/>
      <c r="D166" s="2537"/>
      <c r="E166" s="2537"/>
      <c r="F166" s="2537"/>
      <c r="G166" s="2537"/>
      <c r="H166" s="2537"/>
      <c r="I166" s="2537"/>
      <c r="J166" s="2537"/>
      <c r="K166" s="2537"/>
      <c r="L166" s="2537"/>
      <c r="M166" s="2537"/>
      <c r="N166" s="2537"/>
      <c r="O166" s="2537"/>
      <c r="P166" s="2537"/>
      <c r="Q166" s="2537"/>
      <c r="R166" s="2537"/>
      <c r="S166" s="2537"/>
      <c r="T166" s="2538"/>
      <c r="U166" s="899"/>
      <c r="V166" s="2512"/>
      <c r="W166" s="2513"/>
      <c r="X166" s="2513"/>
      <c r="Y166" s="2513"/>
      <c r="Z166" s="2513"/>
      <c r="AA166" s="2513"/>
      <c r="AB166" s="2513"/>
      <c r="AC166" s="2513"/>
      <c r="AD166" s="2513"/>
      <c r="AE166" s="2513"/>
      <c r="AF166" s="2513"/>
      <c r="AG166" s="2513"/>
      <c r="AH166" s="2513"/>
      <c r="AI166" s="2513"/>
      <c r="AJ166" s="2513"/>
      <c r="AK166" s="2513"/>
      <c r="AL166" s="2513"/>
      <c r="AM166" s="2514"/>
      <c r="AN166" s="622"/>
    </row>
    <row r="167" spans="2:40" s="311" customFormat="1" ht="12.95" hidden="1" customHeight="1">
      <c r="B167" s="898"/>
      <c r="C167" s="2536"/>
      <c r="D167" s="2537"/>
      <c r="E167" s="2537"/>
      <c r="F167" s="2537"/>
      <c r="G167" s="2537"/>
      <c r="H167" s="2537"/>
      <c r="I167" s="2537"/>
      <c r="J167" s="2537"/>
      <c r="K167" s="2537"/>
      <c r="L167" s="2537"/>
      <c r="M167" s="2537"/>
      <c r="N167" s="2537"/>
      <c r="O167" s="2537"/>
      <c r="P167" s="2537"/>
      <c r="Q167" s="2537"/>
      <c r="R167" s="2537"/>
      <c r="S167" s="2537"/>
      <c r="T167" s="2538"/>
      <c r="U167" s="899"/>
      <c r="V167" s="2512"/>
      <c r="W167" s="2513"/>
      <c r="X167" s="2513"/>
      <c r="Y167" s="2513"/>
      <c r="Z167" s="2513"/>
      <c r="AA167" s="2513"/>
      <c r="AB167" s="2513"/>
      <c r="AC167" s="2513"/>
      <c r="AD167" s="2513"/>
      <c r="AE167" s="2513"/>
      <c r="AF167" s="2513"/>
      <c r="AG167" s="2513"/>
      <c r="AH167" s="2513"/>
      <c r="AI167" s="2513"/>
      <c r="AJ167" s="2513"/>
      <c r="AK167" s="2513"/>
      <c r="AL167" s="2513"/>
      <c r="AM167" s="2514"/>
      <c r="AN167" s="622"/>
    </row>
    <row r="168" spans="2:40" s="311" customFormat="1" ht="12.95" hidden="1" customHeight="1">
      <c r="B168" s="898"/>
      <c r="C168" s="2536"/>
      <c r="D168" s="2537"/>
      <c r="E168" s="2537"/>
      <c r="F168" s="2537"/>
      <c r="G168" s="2537"/>
      <c r="H168" s="2537"/>
      <c r="I168" s="2537"/>
      <c r="J168" s="2537"/>
      <c r="K168" s="2537"/>
      <c r="L168" s="2537"/>
      <c r="M168" s="2537"/>
      <c r="N168" s="2537"/>
      <c r="O168" s="2537"/>
      <c r="P168" s="2537"/>
      <c r="Q168" s="2537"/>
      <c r="R168" s="2537"/>
      <c r="S168" s="2537"/>
      <c r="T168" s="2538"/>
      <c r="U168" s="899"/>
      <c r="V168" s="2512"/>
      <c r="W168" s="2513"/>
      <c r="X168" s="2513"/>
      <c r="Y168" s="2513"/>
      <c r="Z168" s="2513"/>
      <c r="AA168" s="2513"/>
      <c r="AB168" s="2513"/>
      <c r="AC168" s="2513"/>
      <c r="AD168" s="2513"/>
      <c r="AE168" s="2513"/>
      <c r="AF168" s="2513"/>
      <c r="AG168" s="2513"/>
      <c r="AH168" s="2513"/>
      <c r="AI168" s="2513"/>
      <c r="AJ168" s="2513"/>
      <c r="AK168" s="2513"/>
      <c r="AL168" s="2513"/>
      <c r="AM168" s="2514"/>
      <c r="AN168" s="622"/>
    </row>
    <row r="169" spans="2:40" s="311" customFormat="1" ht="12.95" hidden="1" customHeight="1">
      <c r="B169" s="898"/>
      <c r="C169" s="2536"/>
      <c r="D169" s="2537"/>
      <c r="E169" s="2537"/>
      <c r="F169" s="2537"/>
      <c r="G169" s="2537"/>
      <c r="H169" s="2537"/>
      <c r="I169" s="2537"/>
      <c r="J169" s="2537"/>
      <c r="K169" s="2537"/>
      <c r="L169" s="2537"/>
      <c r="M169" s="2537"/>
      <c r="N169" s="2537"/>
      <c r="O169" s="2537"/>
      <c r="P169" s="2537"/>
      <c r="Q169" s="2537"/>
      <c r="R169" s="2537"/>
      <c r="S169" s="2537"/>
      <c r="T169" s="2538"/>
      <c r="U169" s="899"/>
      <c r="V169" s="2512"/>
      <c r="W169" s="2513"/>
      <c r="X169" s="2513"/>
      <c r="Y169" s="2513"/>
      <c r="Z169" s="2513"/>
      <c r="AA169" s="2513"/>
      <c r="AB169" s="2513"/>
      <c r="AC169" s="2513"/>
      <c r="AD169" s="2513"/>
      <c r="AE169" s="2513"/>
      <c r="AF169" s="2513"/>
      <c r="AG169" s="2513"/>
      <c r="AH169" s="2513"/>
      <c r="AI169" s="2513"/>
      <c r="AJ169" s="2513"/>
      <c r="AK169" s="2513"/>
      <c r="AL169" s="2513"/>
      <c r="AM169" s="2514"/>
      <c r="AN169" s="622"/>
    </row>
    <row r="170" spans="2:40" s="311" customFormat="1" ht="12.95" hidden="1" customHeight="1">
      <c r="B170" s="898"/>
      <c r="C170" s="2536"/>
      <c r="D170" s="2537"/>
      <c r="E170" s="2537"/>
      <c r="F170" s="2537"/>
      <c r="G170" s="2537"/>
      <c r="H170" s="2537"/>
      <c r="I170" s="2537"/>
      <c r="J170" s="2537"/>
      <c r="K170" s="2537"/>
      <c r="L170" s="2537"/>
      <c r="M170" s="2537"/>
      <c r="N170" s="2537"/>
      <c r="O170" s="2537"/>
      <c r="P170" s="2537"/>
      <c r="Q170" s="2537"/>
      <c r="R170" s="2537"/>
      <c r="S170" s="2537"/>
      <c r="T170" s="2538"/>
      <c r="U170" s="899"/>
      <c r="V170" s="2512"/>
      <c r="W170" s="2513"/>
      <c r="X170" s="2513"/>
      <c r="Y170" s="2513"/>
      <c r="Z170" s="2513"/>
      <c r="AA170" s="2513"/>
      <c r="AB170" s="2513"/>
      <c r="AC170" s="2513"/>
      <c r="AD170" s="2513"/>
      <c r="AE170" s="2513"/>
      <c r="AF170" s="2513"/>
      <c r="AG170" s="2513"/>
      <c r="AH170" s="2513"/>
      <c r="AI170" s="2513"/>
      <c r="AJ170" s="2513"/>
      <c r="AK170" s="2513"/>
      <c r="AL170" s="2513"/>
      <c r="AM170" s="2514"/>
      <c r="AN170" s="622"/>
    </row>
    <row r="171" spans="2:40" s="311" customFormat="1" ht="12.95" hidden="1" customHeight="1">
      <c r="B171" s="898"/>
      <c r="C171" s="2536"/>
      <c r="D171" s="2537"/>
      <c r="E171" s="2537"/>
      <c r="F171" s="2537"/>
      <c r="G171" s="2537"/>
      <c r="H171" s="2537"/>
      <c r="I171" s="2537"/>
      <c r="J171" s="2537"/>
      <c r="K171" s="2537"/>
      <c r="L171" s="2537"/>
      <c r="M171" s="2537"/>
      <c r="N171" s="2537"/>
      <c r="O171" s="2537"/>
      <c r="P171" s="2537"/>
      <c r="Q171" s="2537"/>
      <c r="R171" s="2537"/>
      <c r="S171" s="2537"/>
      <c r="T171" s="2538"/>
      <c r="U171" s="899"/>
      <c r="V171" s="2512"/>
      <c r="W171" s="2513"/>
      <c r="X171" s="2513"/>
      <c r="Y171" s="2513"/>
      <c r="Z171" s="2513"/>
      <c r="AA171" s="2513"/>
      <c r="AB171" s="2513"/>
      <c r="AC171" s="2513"/>
      <c r="AD171" s="2513"/>
      <c r="AE171" s="2513"/>
      <c r="AF171" s="2513"/>
      <c r="AG171" s="2513"/>
      <c r="AH171" s="2513"/>
      <c r="AI171" s="2513"/>
      <c r="AJ171" s="2513"/>
      <c r="AK171" s="2513"/>
      <c r="AL171" s="2513"/>
      <c r="AM171" s="2514"/>
      <c r="AN171" s="622"/>
    </row>
    <row r="172" spans="2:40" s="311" customFormat="1" ht="12.95" hidden="1" customHeight="1">
      <c r="B172" s="898"/>
      <c r="C172" s="2536"/>
      <c r="D172" s="2537"/>
      <c r="E172" s="2537"/>
      <c r="F172" s="2537"/>
      <c r="G172" s="2537"/>
      <c r="H172" s="2537"/>
      <c r="I172" s="2537"/>
      <c r="J172" s="2537"/>
      <c r="K172" s="2537"/>
      <c r="L172" s="2537"/>
      <c r="M172" s="2537"/>
      <c r="N172" s="2537"/>
      <c r="O172" s="2537"/>
      <c r="P172" s="2537"/>
      <c r="Q172" s="2537"/>
      <c r="R172" s="2537"/>
      <c r="S172" s="2537"/>
      <c r="T172" s="2538"/>
      <c r="U172" s="899"/>
      <c r="V172" s="2512"/>
      <c r="W172" s="2513"/>
      <c r="X172" s="2513"/>
      <c r="Y172" s="2513"/>
      <c r="Z172" s="2513"/>
      <c r="AA172" s="2513"/>
      <c r="AB172" s="2513"/>
      <c r="AC172" s="2513"/>
      <c r="AD172" s="2513"/>
      <c r="AE172" s="2513"/>
      <c r="AF172" s="2513"/>
      <c r="AG172" s="2513"/>
      <c r="AH172" s="2513"/>
      <c r="AI172" s="2513"/>
      <c r="AJ172" s="2513"/>
      <c r="AK172" s="2513"/>
      <c r="AL172" s="2513"/>
      <c r="AM172" s="2514"/>
      <c r="AN172" s="622"/>
    </row>
    <row r="173" spans="2:40" s="311" customFormat="1" ht="15" hidden="1" customHeight="1">
      <c r="B173" s="898"/>
      <c r="C173" s="2539"/>
      <c r="D173" s="2540"/>
      <c r="E173" s="2540"/>
      <c r="F173" s="2540"/>
      <c r="G173" s="2540"/>
      <c r="H173" s="2540"/>
      <c r="I173" s="2540"/>
      <c r="J173" s="2540"/>
      <c r="K173" s="2540"/>
      <c r="L173" s="2540"/>
      <c r="M173" s="2540"/>
      <c r="N173" s="2540"/>
      <c r="O173" s="2540"/>
      <c r="P173" s="2540"/>
      <c r="Q173" s="2540"/>
      <c r="R173" s="2540"/>
      <c r="S173" s="2540"/>
      <c r="T173" s="2541"/>
      <c r="U173" s="899"/>
      <c r="V173" s="2512"/>
      <c r="W173" s="2513"/>
      <c r="X173" s="2513"/>
      <c r="Y173" s="2513"/>
      <c r="Z173" s="2513"/>
      <c r="AA173" s="2513"/>
      <c r="AB173" s="2513"/>
      <c r="AC173" s="2513"/>
      <c r="AD173" s="2513"/>
      <c r="AE173" s="2513"/>
      <c r="AF173" s="2513"/>
      <c r="AG173" s="2513"/>
      <c r="AH173" s="2513"/>
      <c r="AI173" s="2513"/>
      <c r="AJ173" s="2513"/>
      <c r="AK173" s="2513"/>
      <c r="AL173" s="2513"/>
      <c r="AM173" s="2514"/>
      <c r="AN173" s="622"/>
    </row>
    <row r="174" spans="2:40" s="311" customFormat="1" ht="9.9499999999999993" hidden="1" customHeight="1">
      <c r="B174" s="898"/>
      <c r="C174" s="2509" t="s">
        <v>2349</v>
      </c>
      <c r="D174" s="2510"/>
      <c r="E174" s="2510"/>
      <c r="F174" s="2510"/>
      <c r="G174" s="2510"/>
      <c r="H174" s="2510"/>
      <c r="I174" s="2510"/>
      <c r="J174" s="2510"/>
      <c r="K174" s="2510"/>
      <c r="L174" s="2510"/>
      <c r="M174" s="2510"/>
      <c r="N174" s="2510"/>
      <c r="O174" s="2510"/>
      <c r="P174" s="2510"/>
      <c r="Q174" s="2510"/>
      <c r="R174" s="2510"/>
      <c r="S174" s="2510"/>
      <c r="T174" s="2511"/>
      <c r="U174" s="899"/>
      <c r="V174" s="2509" t="s">
        <v>2348</v>
      </c>
      <c r="W174" s="2510"/>
      <c r="X174" s="2510"/>
      <c r="Y174" s="2510"/>
      <c r="Z174" s="2510"/>
      <c r="AA174" s="2510"/>
      <c r="AB174" s="2510"/>
      <c r="AC174" s="2510"/>
      <c r="AD174" s="2510"/>
      <c r="AE174" s="2510"/>
      <c r="AF174" s="2510"/>
      <c r="AG174" s="2510"/>
      <c r="AH174" s="2510"/>
      <c r="AI174" s="2510"/>
      <c r="AJ174" s="2510"/>
      <c r="AK174" s="2510"/>
      <c r="AL174" s="2510"/>
      <c r="AM174" s="2511"/>
      <c r="AN174" s="622"/>
    </row>
    <row r="175" spans="2:40" ht="9.9499999999999993" hidden="1" customHeight="1">
      <c r="B175" s="898"/>
      <c r="C175" s="2509"/>
      <c r="D175" s="2510"/>
      <c r="E175" s="2510"/>
      <c r="F175" s="2510"/>
      <c r="G175" s="2510"/>
      <c r="H175" s="2510"/>
      <c r="I175" s="2510"/>
      <c r="J175" s="2510"/>
      <c r="K175" s="2510"/>
      <c r="L175" s="2510"/>
      <c r="M175" s="2510"/>
      <c r="N175" s="2510"/>
      <c r="O175" s="2510"/>
      <c r="P175" s="2510"/>
      <c r="Q175" s="2510"/>
      <c r="R175" s="2510"/>
      <c r="S175" s="2510"/>
      <c r="T175" s="2511"/>
      <c r="U175" s="899"/>
      <c r="V175" s="2509"/>
      <c r="W175" s="2510"/>
      <c r="X175" s="2510"/>
      <c r="Y175" s="2510"/>
      <c r="Z175" s="2510"/>
      <c r="AA175" s="2510"/>
      <c r="AB175" s="2510"/>
      <c r="AC175" s="2510"/>
      <c r="AD175" s="2510"/>
      <c r="AE175" s="2510"/>
      <c r="AF175" s="2510"/>
      <c r="AG175" s="2510"/>
      <c r="AH175" s="2510"/>
      <c r="AI175" s="2510"/>
      <c r="AJ175" s="2510"/>
      <c r="AK175" s="2510"/>
      <c r="AL175" s="2510"/>
      <c r="AM175" s="2511"/>
      <c r="AN175" s="901"/>
    </row>
    <row r="176" spans="2:40" s="307" customFormat="1" ht="9.9499999999999993" hidden="1" customHeight="1">
      <c r="B176" s="898"/>
      <c r="C176" s="2509"/>
      <c r="D176" s="2510"/>
      <c r="E176" s="2510"/>
      <c r="F176" s="2510"/>
      <c r="G176" s="2510"/>
      <c r="H176" s="2510"/>
      <c r="I176" s="2510"/>
      <c r="J176" s="2510"/>
      <c r="K176" s="2510"/>
      <c r="L176" s="2510"/>
      <c r="M176" s="2510"/>
      <c r="N176" s="2510"/>
      <c r="O176" s="2510"/>
      <c r="P176" s="2510"/>
      <c r="Q176" s="2510"/>
      <c r="R176" s="2510"/>
      <c r="S176" s="2510"/>
      <c r="T176" s="2511"/>
      <c r="U176" s="899"/>
      <c r="V176" s="2509"/>
      <c r="W176" s="2510"/>
      <c r="X176" s="2510"/>
      <c r="Y176" s="2510"/>
      <c r="Z176" s="2510"/>
      <c r="AA176" s="2510"/>
      <c r="AB176" s="2510"/>
      <c r="AC176" s="2510"/>
      <c r="AD176" s="2510"/>
      <c r="AE176" s="2510"/>
      <c r="AF176" s="2510"/>
      <c r="AG176" s="2510"/>
      <c r="AH176" s="2510"/>
      <c r="AI176" s="2510"/>
      <c r="AJ176" s="2510"/>
      <c r="AK176" s="2510"/>
      <c r="AL176" s="2510"/>
      <c r="AM176" s="2511"/>
      <c r="AN176" s="903"/>
    </row>
    <row r="177" spans="2:82" s="311" customFormat="1" ht="6" hidden="1" customHeight="1">
      <c r="B177" s="898"/>
      <c r="C177" s="899"/>
      <c r="D177" s="899"/>
      <c r="E177" s="899"/>
      <c r="F177" s="899"/>
      <c r="G177" s="899"/>
      <c r="H177" s="899"/>
      <c r="I177" s="899"/>
      <c r="J177" s="899"/>
      <c r="K177" s="899"/>
      <c r="L177" s="899"/>
      <c r="M177" s="899"/>
      <c r="N177" s="899"/>
      <c r="O177" s="899"/>
      <c r="P177" s="899"/>
      <c r="Q177" s="899"/>
      <c r="R177" s="899"/>
      <c r="S177" s="899"/>
      <c r="T177" s="899"/>
      <c r="U177" s="899"/>
      <c r="V177" s="899"/>
      <c r="W177" s="899"/>
      <c r="X177" s="899"/>
      <c r="Y177" s="899"/>
      <c r="Z177" s="899"/>
      <c r="AA177" s="899"/>
      <c r="AB177" s="899"/>
      <c r="AC177" s="899"/>
      <c r="AD177" s="899"/>
      <c r="AE177" s="899"/>
      <c r="AF177" s="899"/>
      <c r="AG177" s="899"/>
      <c r="AH177" s="899"/>
      <c r="AI177" s="899"/>
      <c r="AJ177" s="899"/>
      <c r="AK177" s="899"/>
      <c r="AL177" s="899"/>
      <c r="AM177" s="899"/>
      <c r="AN177" s="622"/>
    </row>
    <row r="178" spans="2:82" s="311" customFormat="1" ht="12.95" hidden="1" customHeight="1">
      <c r="B178" s="898"/>
      <c r="C178" s="2533"/>
      <c r="D178" s="2534"/>
      <c r="E178" s="2534"/>
      <c r="F178" s="2534"/>
      <c r="G178" s="2534"/>
      <c r="H178" s="2534"/>
      <c r="I178" s="2534"/>
      <c r="J178" s="2534"/>
      <c r="K178" s="2534"/>
      <c r="L178" s="2534"/>
      <c r="M178" s="2534"/>
      <c r="N178" s="2534"/>
      <c r="O178" s="2534"/>
      <c r="P178" s="2534"/>
      <c r="Q178" s="2534"/>
      <c r="R178" s="2534"/>
      <c r="S178" s="2534"/>
      <c r="T178" s="2535"/>
      <c r="U178" s="899"/>
      <c r="V178" s="2533"/>
      <c r="W178" s="2534"/>
      <c r="X178" s="2534"/>
      <c r="Y178" s="2534"/>
      <c r="Z178" s="2534"/>
      <c r="AA178" s="2534"/>
      <c r="AB178" s="2534"/>
      <c r="AC178" s="2534"/>
      <c r="AD178" s="2534"/>
      <c r="AE178" s="2534"/>
      <c r="AF178" s="2534"/>
      <c r="AG178" s="2534"/>
      <c r="AH178" s="2534"/>
      <c r="AI178" s="2534"/>
      <c r="AJ178" s="2534"/>
      <c r="AK178" s="2534"/>
      <c r="AL178" s="2534"/>
      <c r="AM178" s="2535"/>
      <c r="AN178" s="622"/>
    </row>
    <row r="179" spans="2:82" s="311" customFormat="1" ht="12.95" hidden="1" customHeight="1">
      <c r="B179" s="898"/>
      <c r="C179" s="2536"/>
      <c r="D179" s="2537"/>
      <c r="E179" s="2537"/>
      <c r="F179" s="2537"/>
      <c r="G179" s="2537"/>
      <c r="H179" s="2537"/>
      <c r="I179" s="2537"/>
      <c r="J179" s="2537"/>
      <c r="K179" s="2537"/>
      <c r="L179" s="2537"/>
      <c r="M179" s="2537"/>
      <c r="N179" s="2537"/>
      <c r="O179" s="2537"/>
      <c r="P179" s="2537"/>
      <c r="Q179" s="2537"/>
      <c r="R179" s="2537"/>
      <c r="S179" s="2537"/>
      <c r="T179" s="2538"/>
      <c r="U179" s="899"/>
      <c r="V179" s="2536"/>
      <c r="W179" s="2537"/>
      <c r="X179" s="2537"/>
      <c r="Y179" s="2537"/>
      <c r="Z179" s="2537"/>
      <c r="AA179" s="2537"/>
      <c r="AB179" s="2537"/>
      <c r="AC179" s="2537"/>
      <c r="AD179" s="2537"/>
      <c r="AE179" s="2537"/>
      <c r="AF179" s="2537"/>
      <c r="AG179" s="2537"/>
      <c r="AH179" s="2537"/>
      <c r="AI179" s="2537"/>
      <c r="AJ179" s="2537"/>
      <c r="AK179" s="2537"/>
      <c r="AL179" s="2537"/>
      <c r="AM179" s="2538"/>
      <c r="AN179" s="622"/>
    </row>
    <row r="180" spans="2:82" s="311" customFormat="1" ht="12.95" hidden="1" customHeight="1">
      <c r="B180" s="898"/>
      <c r="C180" s="2536"/>
      <c r="D180" s="2537"/>
      <c r="E180" s="2537"/>
      <c r="F180" s="2537"/>
      <c r="G180" s="2537"/>
      <c r="H180" s="2537"/>
      <c r="I180" s="2537"/>
      <c r="J180" s="2537"/>
      <c r="K180" s="2537"/>
      <c r="L180" s="2537"/>
      <c r="M180" s="2537"/>
      <c r="N180" s="2537"/>
      <c r="O180" s="2537"/>
      <c r="P180" s="2537"/>
      <c r="Q180" s="2537"/>
      <c r="R180" s="2537"/>
      <c r="S180" s="2537"/>
      <c r="T180" s="2538"/>
      <c r="U180" s="899"/>
      <c r="V180" s="2536"/>
      <c r="W180" s="2537"/>
      <c r="X180" s="2537"/>
      <c r="Y180" s="2537"/>
      <c r="Z180" s="2537"/>
      <c r="AA180" s="2537"/>
      <c r="AB180" s="2537"/>
      <c r="AC180" s="2537"/>
      <c r="AD180" s="2537"/>
      <c r="AE180" s="2537"/>
      <c r="AF180" s="2537"/>
      <c r="AG180" s="2537"/>
      <c r="AH180" s="2537"/>
      <c r="AI180" s="2537"/>
      <c r="AJ180" s="2537"/>
      <c r="AK180" s="2537"/>
      <c r="AL180" s="2537"/>
      <c r="AM180" s="2538"/>
      <c r="AN180" s="622"/>
    </row>
    <row r="181" spans="2:82" s="311" customFormat="1" ht="12.95" hidden="1" customHeight="1">
      <c r="B181" s="898"/>
      <c r="C181" s="2536"/>
      <c r="D181" s="2537"/>
      <c r="E181" s="2537"/>
      <c r="F181" s="2537"/>
      <c r="G181" s="2537"/>
      <c r="H181" s="2537"/>
      <c r="I181" s="2537"/>
      <c r="J181" s="2537"/>
      <c r="K181" s="2537"/>
      <c r="L181" s="2537"/>
      <c r="M181" s="2537"/>
      <c r="N181" s="2537"/>
      <c r="O181" s="2537"/>
      <c r="P181" s="2537"/>
      <c r="Q181" s="2537"/>
      <c r="R181" s="2537"/>
      <c r="S181" s="2537"/>
      <c r="T181" s="2538"/>
      <c r="U181" s="899"/>
      <c r="V181" s="2536"/>
      <c r="W181" s="2537"/>
      <c r="X181" s="2537"/>
      <c r="Y181" s="2537"/>
      <c r="Z181" s="2537"/>
      <c r="AA181" s="2537"/>
      <c r="AB181" s="2537"/>
      <c r="AC181" s="2537"/>
      <c r="AD181" s="2537"/>
      <c r="AE181" s="2537"/>
      <c r="AF181" s="2537"/>
      <c r="AG181" s="2537"/>
      <c r="AH181" s="2537"/>
      <c r="AI181" s="2537"/>
      <c r="AJ181" s="2537"/>
      <c r="AK181" s="2537"/>
      <c r="AL181" s="2537"/>
      <c r="AM181" s="2538"/>
      <c r="AN181" s="622"/>
    </row>
    <row r="182" spans="2:82" s="311" customFormat="1" ht="12.95" hidden="1" customHeight="1">
      <c r="B182" s="898"/>
      <c r="C182" s="2536"/>
      <c r="D182" s="2537"/>
      <c r="E182" s="2537"/>
      <c r="F182" s="2537"/>
      <c r="G182" s="2537"/>
      <c r="H182" s="2537"/>
      <c r="I182" s="2537"/>
      <c r="J182" s="2537"/>
      <c r="K182" s="2537"/>
      <c r="L182" s="2537"/>
      <c r="M182" s="2537"/>
      <c r="N182" s="2537"/>
      <c r="O182" s="2537"/>
      <c r="P182" s="2537"/>
      <c r="Q182" s="2537"/>
      <c r="R182" s="2537"/>
      <c r="S182" s="2537"/>
      <c r="T182" s="2538"/>
      <c r="U182" s="899"/>
      <c r="V182" s="2536"/>
      <c r="W182" s="2537"/>
      <c r="X182" s="2537"/>
      <c r="Y182" s="2537"/>
      <c r="Z182" s="2537"/>
      <c r="AA182" s="2537"/>
      <c r="AB182" s="2537"/>
      <c r="AC182" s="2537"/>
      <c r="AD182" s="2537"/>
      <c r="AE182" s="2537"/>
      <c r="AF182" s="2537"/>
      <c r="AG182" s="2537"/>
      <c r="AH182" s="2537"/>
      <c r="AI182" s="2537"/>
      <c r="AJ182" s="2537"/>
      <c r="AK182" s="2537"/>
      <c r="AL182" s="2537"/>
      <c r="AM182" s="2538"/>
      <c r="AN182" s="622"/>
    </row>
    <row r="183" spans="2:82" s="311" customFormat="1" ht="12.95" hidden="1" customHeight="1">
      <c r="B183" s="898"/>
      <c r="C183" s="2536"/>
      <c r="D183" s="2537"/>
      <c r="E183" s="2537"/>
      <c r="F183" s="2537"/>
      <c r="G183" s="2537"/>
      <c r="H183" s="2537"/>
      <c r="I183" s="2537"/>
      <c r="J183" s="2537"/>
      <c r="K183" s="2537"/>
      <c r="L183" s="2537"/>
      <c r="M183" s="2537"/>
      <c r="N183" s="2537"/>
      <c r="O183" s="2537"/>
      <c r="P183" s="2537"/>
      <c r="Q183" s="2537"/>
      <c r="R183" s="2537"/>
      <c r="S183" s="2537"/>
      <c r="T183" s="2538"/>
      <c r="U183" s="899"/>
      <c r="V183" s="2536"/>
      <c r="W183" s="2537"/>
      <c r="X183" s="2537"/>
      <c r="Y183" s="2537"/>
      <c r="Z183" s="2537"/>
      <c r="AA183" s="2537"/>
      <c r="AB183" s="2537"/>
      <c r="AC183" s="2537"/>
      <c r="AD183" s="2537"/>
      <c r="AE183" s="2537"/>
      <c r="AF183" s="2537"/>
      <c r="AG183" s="2537"/>
      <c r="AH183" s="2537"/>
      <c r="AI183" s="2537"/>
      <c r="AJ183" s="2537"/>
      <c r="AK183" s="2537"/>
      <c r="AL183" s="2537"/>
      <c r="AM183" s="2538"/>
      <c r="AN183" s="622"/>
    </row>
    <row r="184" spans="2:82" s="307" customFormat="1" ht="12.95" hidden="1" customHeight="1">
      <c r="B184" s="898"/>
      <c r="C184" s="2536"/>
      <c r="D184" s="2537"/>
      <c r="E184" s="2537"/>
      <c r="F184" s="2537"/>
      <c r="G184" s="2537"/>
      <c r="H184" s="2537"/>
      <c r="I184" s="2537"/>
      <c r="J184" s="2537"/>
      <c r="K184" s="2537"/>
      <c r="L184" s="2537"/>
      <c r="M184" s="2537"/>
      <c r="N184" s="2537"/>
      <c r="O184" s="2537"/>
      <c r="P184" s="2537"/>
      <c r="Q184" s="2537"/>
      <c r="R184" s="2537"/>
      <c r="S184" s="2537"/>
      <c r="T184" s="2538"/>
      <c r="U184" s="899"/>
      <c r="V184" s="2536"/>
      <c r="W184" s="2537"/>
      <c r="X184" s="2537"/>
      <c r="Y184" s="2537"/>
      <c r="Z184" s="2537"/>
      <c r="AA184" s="2537"/>
      <c r="AB184" s="2537"/>
      <c r="AC184" s="2537"/>
      <c r="AD184" s="2537"/>
      <c r="AE184" s="2537"/>
      <c r="AF184" s="2537"/>
      <c r="AG184" s="2537"/>
      <c r="AH184" s="2537"/>
      <c r="AI184" s="2537"/>
      <c r="AJ184" s="2537"/>
      <c r="AK184" s="2537"/>
      <c r="AL184" s="2537"/>
      <c r="AM184" s="2538"/>
      <c r="AN184" s="903"/>
      <c r="BM184" s="2506"/>
      <c r="BN184" s="2507"/>
      <c r="BO184" s="2507"/>
      <c r="BP184" s="2507"/>
      <c r="BQ184" s="2507"/>
      <c r="BR184" s="2507"/>
      <c r="BS184" s="2507"/>
      <c r="BT184" s="2507"/>
      <c r="BU184" s="2507"/>
      <c r="BV184" s="2507"/>
      <c r="BW184" s="2507"/>
      <c r="BX184" s="2507"/>
      <c r="BY184" s="2507"/>
      <c r="BZ184" s="2507"/>
      <c r="CA184" s="2507"/>
      <c r="CB184" s="2507"/>
      <c r="CC184" s="2507"/>
      <c r="CD184" s="2508"/>
    </row>
    <row r="185" spans="2:82" s="311" customFormat="1" ht="12.95" hidden="1" customHeight="1">
      <c r="B185" s="898"/>
      <c r="C185" s="2536"/>
      <c r="D185" s="2537"/>
      <c r="E185" s="2537"/>
      <c r="F185" s="2537"/>
      <c r="G185" s="2537"/>
      <c r="H185" s="2537"/>
      <c r="I185" s="2537"/>
      <c r="J185" s="2537"/>
      <c r="K185" s="2537"/>
      <c r="L185" s="2537"/>
      <c r="M185" s="2537"/>
      <c r="N185" s="2537"/>
      <c r="O185" s="2537"/>
      <c r="P185" s="2537"/>
      <c r="Q185" s="2537"/>
      <c r="R185" s="2537"/>
      <c r="S185" s="2537"/>
      <c r="T185" s="2538"/>
      <c r="U185" s="899"/>
      <c r="V185" s="2536"/>
      <c r="W185" s="2537"/>
      <c r="X185" s="2537"/>
      <c r="Y185" s="2537"/>
      <c r="Z185" s="2537"/>
      <c r="AA185" s="2537"/>
      <c r="AB185" s="2537"/>
      <c r="AC185" s="2537"/>
      <c r="AD185" s="2537"/>
      <c r="AE185" s="2537"/>
      <c r="AF185" s="2537"/>
      <c r="AG185" s="2537"/>
      <c r="AH185" s="2537"/>
      <c r="AI185" s="2537"/>
      <c r="AJ185" s="2537"/>
      <c r="AK185" s="2537"/>
      <c r="AL185" s="2537"/>
      <c r="AM185" s="2538"/>
      <c r="AN185" s="622"/>
      <c r="BM185" s="2506"/>
      <c r="BN185" s="2507"/>
      <c r="BO185" s="2507"/>
      <c r="BP185" s="2507"/>
      <c r="BQ185" s="2507"/>
      <c r="BR185" s="2507"/>
      <c r="BS185" s="2507"/>
      <c r="BT185" s="2507"/>
      <c r="BU185" s="2507"/>
      <c r="BV185" s="2507"/>
      <c r="BW185" s="2507"/>
      <c r="BX185" s="2507"/>
      <c r="BY185" s="2507"/>
      <c r="BZ185" s="2507"/>
      <c r="CA185" s="2507"/>
      <c r="CB185" s="2507"/>
      <c r="CC185" s="2507"/>
      <c r="CD185" s="2508"/>
    </row>
    <row r="186" spans="2:82" s="311" customFormat="1" ht="12.95" hidden="1" customHeight="1">
      <c r="B186" s="898"/>
      <c r="C186" s="2536"/>
      <c r="D186" s="2537"/>
      <c r="E186" s="2537"/>
      <c r="F186" s="2537"/>
      <c r="G186" s="2537"/>
      <c r="H186" s="2537"/>
      <c r="I186" s="2537"/>
      <c r="J186" s="2537"/>
      <c r="K186" s="2537"/>
      <c r="L186" s="2537"/>
      <c r="M186" s="2537"/>
      <c r="N186" s="2537"/>
      <c r="O186" s="2537"/>
      <c r="P186" s="2537"/>
      <c r="Q186" s="2537"/>
      <c r="R186" s="2537"/>
      <c r="S186" s="2537"/>
      <c r="T186" s="2538"/>
      <c r="U186" s="899"/>
      <c r="V186" s="2536"/>
      <c r="W186" s="2537"/>
      <c r="X186" s="2537"/>
      <c r="Y186" s="2537"/>
      <c r="Z186" s="2537"/>
      <c r="AA186" s="2537"/>
      <c r="AB186" s="2537"/>
      <c r="AC186" s="2537"/>
      <c r="AD186" s="2537"/>
      <c r="AE186" s="2537"/>
      <c r="AF186" s="2537"/>
      <c r="AG186" s="2537"/>
      <c r="AH186" s="2537"/>
      <c r="AI186" s="2537"/>
      <c r="AJ186" s="2537"/>
      <c r="AK186" s="2537"/>
      <c r="AL186" s="2537"/>
      <c r="AM186" s="2538"/>
      <c r="AN186" s="622"/>
      <c r="BM186" s="2506"/>
      <c r="BN186" s="2507"/>
      <c r="BO186" s="2507"/>
      <c r="BP186" s="2507"/>
      <c r="BQ186" s="2507"/>
      <c r="BR186" s="2507"/>
      <c r="BS186" s="2507"/>
      <c r="BT186" s="2507"/>
      <c r="BU186" s="2507"/>
      <c r="BV186" s="2507"/>
      <c r="BW186" s="2507"/>
      <c r="BX186" s="2507"/>
      <c r="BY186" s="2507"/>
      <c r="BZ186" s="2507"/>
      <c r="CA186" s="2507"/>
      <c r="CB186" s="2507"/>
      <c r="CC186" s="2507"/>
      <c r="CD186" s="2508"/>
    </row>
    <row r="187" spans="2:82" s="311" customFormat="1" ht="12.95" hidden="1" customHeight="1">
      <c r="B187" s="898"/>
      <c r="C187" s="2536"/>
      <c r="D187" s="2537"/>
      <c r="E187" s="2537"/>
      <c r="F187" s="2537"/>
      <c r="G187" s="2537"/>
      <c r="H187" s="2537"/>
      <c r="I187" s="2537"/>
      <c r="J187" s="2537"/>
      <c r="K187" s="2537"/>
      <c r="L187" s="2537"/>
      <c r="M187" s="2537"/>
      <c r="N187" s="2537"/>
      <c r="O187" s="2537"/>
      <c r="P187" s="2537"/>
      <c r="Q187" s="2537"/>
      <c r="R187" s="2537"/>
      <c r="S187" s="2537"/>
      <c r="T187" s="2538"/>
      <c r="U187" s="899"/>
      <c r="V187" s="2536"/>
      <c r="W187" s="2537"/>
      <c r="X187" s="2537"/>
      <c r="Y187" s="2537"/>
      <c r="Z187" s="2537"/>
      <c r="AA187" s="2537"/>
      <c r="AB187" s="2537"/>
      <c r="AC187" s="2537"/>
      <c r="AD187" s="2537"/>
      <c r="AE187" s="2537"/>
      <c r="AF187" s="2537"/>
      <c r="AG187" s="2537"/>
      <c r="AH187" s="2537"/>
      <c r="AI187" s="2537"/>
      <c r="AJ187" s="2537"/>
      <c r="AK187" s="2537"/>
      <c r="AL187" s="2537"/>
      <c r="AM187" s="2538"/>
      <c r="AN187" s="622"/>
      <c r="BM187" s="2506"/>
      <c r="BN187" s="2507"/>
      <c r="BO187" s="2507"/>
      <c r="BP187" s="2507"/>
      <c r="BQ187" s="2507"/>
      <c r="BR187" s="2507"/>
      <c r="BS187" s="2507"/>
      <c r="BT187" s="2507"/>
      <c r="BU187" s="2507"/>
      <c r="BV187" s="2507"/>
      <c r="BW187" s="2507"/>
      <c r="BX187" s="2507"/>
      <c r="BY187" s="2507"/>
      <c r="BZ187" s="2507"/>
      <c r="CA187" s="2507"/>
      <c r="CB187" s="2507"/>
      <c r="CC187" s="2507"/>
      <c r="CD187" s="2508"/>
    </row>
    <row r="188" spans="2:82" s="311" customFormat="1" ht="12.95" hidden="1" customHeight="1">
      <c r="B188" s="898"/>
      <c r="C188" s="2536"/>
      <c r="D188" s="2537"/>
      <c r="E188" s="2537"/>
      <c r="F188" s="2537"/>
      <c r="G188" s="2537"/>
      <c r="H188" s="2537"/>
      <c r="I188" s="2537"/>
      <c r="J188" s="2537"/>
      <c r="K188" s="2537"/>
      <c r="L188" s="2537"/>
      <c r="M188" s="2537"/>
      <c r="N188" s="2537"/>
      <c r="O188" s="2537"/>
      <c r="P188" s="2537"/>
      <c r="Q188" s="2537"/>
      <c r="R188" s="2537"/>
      <c r="S188" s="2537"/>
      <c r="T188" s="2538"/>
      <c r="U188" s="899"/>
      <c r="V188" s="2536"/>
      <c r="W188" s="2537"/>
      <c r="X188" s="2537"/>
      <c r="Y188" s="2537"/>
      <c r="Z188" s="2537"/>
      <c r="AA188" s="2537"/>
      <c r="AB188" s="2537"/>
      <c r="AC188" s="2537"/>
      <c r="AD188" s="2537"/>
      <c r="AE188" s="2537"/>
      <c r="AF188" s="2537"/>
      <c r="AG188" s="2537"/>
      <c r="AH188" s="2537"/>
      <c r="AI188" s="2537"/>
      <c r="AJ188" s="2537"/>
      <c r="AK188" s="2537"/>
      <c r="AL188" s="2537"/>
      <c r="AM188" s="2538"/>
      <c r="AN188" s="622"/>
      <c r="BM188" s="2506"/>
      <c r="BN188" s="2507"/>
      <c r="BO188" s="2507"/>
      <c r="BP188" s="2507"/>
      <c r="BQ188" s="2507"/>
      <c r="BR188" s="2507"/>
      <c r="BS188" s="2507"/>
      <c r="BT188" s="2507"/>
      <c r="BU188" s="2507"/>
      <c r="BV188" s="2507"/>
      <c r="BW188" s="2507"/>
      <c r="BX188" s="2507"/>
      <c r="BY188" s="2507"/>
      <c r="BZ188" s="2507"/>
      <c r="CA188" s="2507"/>
      <c r="CB188" s="2507"/>
      <c r="CC188" s="2507"/>
      <c r="CD188" s="2508"/>
    </row>
    <row r="189" spans="2:82" s="311" customFormat="1" ht="12.95" hidden="1" customHeight="1">
      <c r="B189" s="898"/>
      <c r="C189" s="2536"/>
      <c r="D189" s="2537"/>
      <c r="E189" s="2537"/>
      <c r="F189" s="2537"/>
      <c r="G189" s="2537"/>
      <c r="H189" s="2537"/>
      <c r="I189" s="2537"/>
      <c r="J189" s="2537"/>
      <c r="K189" s="2537"/>
      <c r="L189" s="2537"/>
      <c r="M189" s="2537"/>
      <c r="N189" s="2537"/>
      <c r="O189" s="2537"/>
      <c r="P189" s="2537"/>
      <c r="Q189" s="2537"/>
      <c r="R189" s="2537"/>
      <c r="S189" s="2537"/>
      <c r="T189" s="2538"/>
      <c r="U189" s="899"/>
      <c r="V189" s="2536"/>
      <c r="W189" s="2537"/>
      <c r="X189" s="2537"/>
      <c r="Y189" s="2537"/>
      <c r="Z189" s="2537"/>
      <c r="AA189" s="2537"/>
      <c r="AB189" s="2537"/>
      <c r="AC189" s="2537"/>
      <c r="AD189" s="2537"/>
      <c r="AE189" s="2537"/>
      <c r="AF189" s="2537"/>
      <c r="AG189" s="2537"/>
      <c r="AH189" s="2537"/>
      <c r="AI189" s="2537"/>
      <c r="AJ189" s="2537"/>
      <c r="AK189" s="2537"/>
      <c r="AL189" s="2537"/>
      <c r="AM189" s="2538"/>
      <c r="AN189" s="622"/>
      <c r="BM189" s="2506"/>
      <c r="BN189" s="2507"/>
      <c r="BO189" s="2507"/>
      <c r="BP189" s="2507"/>
      <c r="BQ189" s="2507"/>
      <c r="BR189" s="2507"/>
      <c r="BS189" s="2507"/>
      <c r="BT189" s="2507"/>
      <c r="BU189" s="2507"/>
      <c r="BV189" s="2507"/>
      <c r="BW189" s="2507"/>
      <c r="BX189" s="2507"/>
      <c r="BY189" s="2507"/>
      <c r="BZ189" s="2507"/>
      <c r="CA189" s="2507"/>
      <c r="CB189" s="2507"/>
      <c r="CC189" s="2507"/>
      <c r="CD189" s="2508"/>
    </row>
    <row r="190" spans="2:82" s="311" customFormat="1" ht="12.95" hidden="1" customHeight="1">
      <c r="B190" s="898"/>
      <c r="C190" s="2536"/>
      <c r="D190" s="2537"/>
      <c r="E190" s="2537"/>
      <c r="F190" s="2537"/>
      <c r="G190" s="2537"/>
      <c r="H190" s="2537"/>
      <c r="I190" s="2537"/>
      <c r="J190" s="2537"/>
      <c r="K190" s="2537"/>
      <c r="L190" s="2537"/>
      <c r="M190" s="2537"/>
      <c r="N190" s="2537"/>
      <c r="O190" s="2537"/>
      <c r="P190" s="2537"/>
      <c r="Q190" s="2537"/>
      <c r="R190" s="2537"/>
      <c r="S190" s="2537"/>
      <c r="T190" s="2538"/>
      <c r="U190" s="899"/>
      <c r="V190" s="2536"/>
      <c r="W190" s="2537"/>
      <c r="X190" s="2537"/>
      <c r="Y190" s="2537"/>
      <c r="Z190" s="2537"/>
      <c r="AA190" s="2537"/>
      <c r="AB190" s="2537"/>
      <c r="AC190" s="2537"/>
      <c r="AD190" s="2537"/>
      <c r="AE190" s="2537"/>
      <c r="AF190" s="2537"/>
      <c r="AG190" s="2537"/>
      <c r="AH190" s="2537"/>
      <c r="AI190" s="2537"/>
      <c r="AJ190" s="2537"/>
      <c r="AK190" s="2537"/>
      <c r="AL190" s="2537"/>
      <c r="AM190" s="2538"/>
      <c r="AN190" s="622"/>
      <c r="BM190" s="2506"/>
      <c r="BN190" s="2507"/>
      <c r="BO190" s="2507"/>
      <c r="BP190" s="2507"/>
      <c r="BQ190" s="2507"/>
      <c r="BR190" s="2507"/>
      <c r="BS190" s="2507"/>
      <c r="BT190" s="2507"/>
      <c r="BU190" s="2507"/>
      <c r="BV190" s="2507"/>
      <c r="BW190" s="2507"/>
      <c r="BX190" s="2507"/>
      <c r="BY190" s="2507"/>
      <c r="BZ190" s="2507"/>
      <c r="CA190" s="2507"/>
      <c r="CB190" s="2507"/>
      <c r="CC190" s="2507"/>
      <c r="CD190" s="2508"/>
    </row>
    <row r="191" spans="2:82" s="311" customFormat="1" ht="12.95" hidden="1" customHeight="1">
      <c r="B191" s="898"/>
      <c r="C191" s="2536"/>
      <c r="D191" s="2537"/>
      <c r="E191" s="2537"/>
      <c r="F191" s="2537"/>
      <c r="G191" s="2537"/>
      <c r="H191" s="2537"/>
      <c r="I191" s="2537"/>
      <c r="J191" s="2537"/>
      <c r="K191" s="2537"/>
      <c r="L191" s="2537"/>
      <c r="M191" s="2537"/>
      <c r="N191" s="2537"/>
      <c r="O191" s="2537"/>
      <c r="P191" s="2537"/>
      <c r="Q191" s="2537"/>
      <c r="R191" s="2537"/>
      <c r="S191" s="2537"/>
      <c r="T191" s="2538"/>
      <c r="U191" s="899"/>
      <c r="V191" s="2536"/>
      <c r="W191" s="2537"/>
      <c r="X191" s="2537"/>
      <c r="Y191" s="2537"/>
      <c r="Z191" s="2537"/>
      <c r="AA191" s="2537"/>
      <c r="AB191" s="2537"/>
      <c r="AC191" s="2537"/>
      <c r="AD191" s="2537"/>
      <c r="AE191" s="2537"/>
      <c r="AF191" s="2537"/>
      <c r="AG191" s="2537"/>
      <c r="AH191" s="2537"/>
      <c r="AI191" s="2537"/>
      <c r="AJ191" s="2537"/>
      <c r="AK191" s="2537"/>
      <c r="AL191" s="2537"/>
      <c r="AM191" s="2538"/>
      <c r="AN191" s="622"/>
      <c r="BM191" s="2506"/>
      <c r="BN191" s="2507"/>
      <c r="BO191" s="2507"/>
      <c r="BP191" s="2507"/>
      <c r="BQ191" s="2507"/>
      <c r="BR191" s="2507"/>
      <c r="BS191" s="2507"/>
      <c r="BT191" s="2507"/>
      <c r="BU191" s="2507"/>
      <c r="BV191" s="2507"/>
      <c r="BW191" s="2507"/>
      <c r="BX191" s="2507"/>
      <c r="BY191" s="2507"/>
      <c r="BZ191" s="2507"/>
      <c r="CA191" s="2507"/>
      <c r="CB191" s="2507"/>
      <c r="CC191" s="2507"/>
      <c r="CD191" s="2508"/>
    </row>
    <row r="192" spans="2:82" s="311" customFormat="1" ht="15" hidden="1" customHeight="1">
      <c r="B192" s="898"/>
      <c r="C192" s="2539"/>
      <c r="D192" s="2540"/>
      <c r="E192" s="2540"/>
      <c r="F192" s="2540"/>
      <c r="G192" s="2540"/>
      <c r="H192" s="2540"/>
      <c r="I192" s="2540"/>
      <c r="J192" s="2540"/>
      <c r="K192" s="2540"/>
      <c r="L192" s="2540"/>
      <c r="M192" s="2540"/>
      <c r="N192" s="2540"/>
      <c r="O192" s="2540"/>
      <c r="P192" s="2540"/>
      <c r="Q192" s="2540"/>
      <c r="R192" s="2540"/>
      <c r="S192" s="2540"/>
      <c r="T192" s="2541"/>
      <c r="U192" s="899"/>
      <c r="V192" s="2539"/>
      <c r="W192" s="2540"/>
      <c r="X192" s="2540"/>
      <c r="Y192" s="2540"/>
      <c r="Z192" s="2540"/>
      <c r="AA192" s="2540"/>
      <c r="AB192" s="2540"/>
      <c r="AC192" s="2540"/>
      <c r="AD192" s="2540"/>
      <c r="AE192" s="2540"/>
      <c r="AF192" s="2540"/>
      <c r="AG192" s="2540"/>
      <c r="AH192" s="2540"/>
      <c r="AI192" s="2540"/>
      <c r="AJ192" s="2540"/>
      <c r="AK192" s="2540"/>
      <c r="AL192" s="2540"/>
      <c r="AM192" s="2541"/>
      <c r="AN192" s="622"/>
      <c r="BM192" s="2506"/>
      <c r="BN192" s="2507"/>
      <c r="BO192" s="2507"/>
      <c r="BP192" s="2507"/>
      <c r="BQ192" s="2507"/>
      <c r="BR192" s="2507"/>
      <c r="BS192" s="2507"/>
      <c r="BT192" s="2507"/>
      <c r="BU192" s="2507"/>
      <c r="BV192" s="2507"/>
      <c r="BW192" s="2507"/>
      <c r="BX192" s="2507"/>
      <c r="BY192" s="2507"/>
      <c r="BZ192" s="2507"/>
      <c r="CA192" s="2507"/>
      <c r="CB192" s="2507"/>
      <c r="CC192" s="2507"/>
      <c r="CD192" s="2508"/>
    </row>
    <row r="193" spans="2:82" s="311" customFormat="1" ht="9.9499999999999993" hidden="1" customHeight="1">
      <c r="B193" s="898"/>
      <c r="C193" s="2509" t="s">
        <v>2349</v>
      </c>
      <c r="D193" s="2510"/>
      <c r="E193" s="2510"/>
      <c r="F193" s="2510"/>
      <c r="G193" s="2510"/>
      <c r="H193" s="2510"/>
      <c r="I193" s="2510"/>
      <c r="J193" s="2510"/>
      <c r="K193" s="2510"/>
      <c r="L193" s="2510"/>
      <c r="M193" s="2510"/>
      <c r="N193" s="2510"/>
      <c r="O193" s="2510"/>
      <c r="P193" s="2510"/>
      <c r="Q193" s="2510"/>
      <c r="R193" s="2510"/>
      <c r="S193" s="2510"/>
      <c r="T193" s="2511"/>
      <c r="U193" s="899"/>
      <c r="V193" s="2509" t="s">
        <v>2348</v>
      </c>
      <c r="W193" s="2510"/>
      <c r="X193" s="2510"/>
      <c r="Y193" s="2510"/>
      <c r="Z193" s="2510"/>
      <c r="AA193" s="2510"/>
      <c r="AB193" s="2510"/>
      <c r="AC193" s="2510"/>
      <c r="AD193" s="2510"/>
      <c r="AE193" s="2510"/>
      <c r="AF193" s="2510"/>
      <c r="AG193" s="2510"/>
      <c r="AH193" s="2510"/>
      <c r="AI193" s="2510"/>
      <c r="AJ193" s="2510"/>
      <c r="AK193" s="2510"/>
      <c r="AL193" s="2510"/>
      <c r="AM193" s="2511"/>
      <c r="AN193" s="622"/>
      <c r="BM193" s="2506"/>
      <c r="BN193" s="2507"/>
      <c r="BO193" s="2507"/>
      <c r="BP193" s="2507"/>
      <c r="BQ193" s="2507"/>
      <c r="BR193" s="2507"/>
      <c r="BS193" s="2507"/>
      <c r="BT193" s="2507"/>
      <c r="BU193" s="2507"/>
      <c r="BV193" s="2507"/>
      <c r="BW193" s="2507"/>
      <c r="BX193" s="2507"/>
      <c r="BY193" s="2507"/>
      <c r="BZ193" s="2507"/>
      <c r="CA193" s="2507"/>
      <c r="CB193" s="2507"/>
      <c r="CC193" s="2507"/>
      <c r="CD193" s="2508"/>
    </row>
    <row r="194" spans="2:82" ht="9.9499999999999993" hidden="1" customHeight="1">
      <c r="B194" s="898"/>
      <c r="C194" s="2509"/>
      <c r="D194" s="2510"/>
      <c r="E194" s="2510"/>
      <c r="F194" s="2510"/>
      <c r="G194" s="2510"/>
      <c r="H194" s="2510"/>
      <c r="I194" s="2510"/>
      <c r="J194" s="2510"/>
      <c r="K194" s="2510"/>
      <c r="L194" s="2510"/>
      <c r="M194" s="2510"/>
      <c r="N194" s="2510"/>
      <c r="O194" s="2510"/>
      <c r="P194" s="2510"/>
      <c r="Q194" s="2510"/>
      <c r="R194" s="2510"/>
      <c r="S194" s="2510"/>
      <c r="T194" s="2511"/>
      <c r="U194" s="899"/>
      <c r="V194" s="2509"/>
      <c r="W194" s="2510"/>
      <c r="X194" s="2510"/>
      <c r="Y194" s="2510"/>
      <c r="Z194" s="2510"/>
      <c r="AA194" s="2510"/>
      <c r="AB194" s="2510"/>
      <c r="AC194" s="2510"/>
      <c r="AD194" s="2510"/>
      <c r="AE194" s="2510"/>
      <c r="AF194" s="2510"/>
      <c r="AG194" s="2510"/>
      <c r="AH194" s="2510"/>
      <c r="AI194" s="2510"/>
      <c r="AJ194" s="2510"/>
      <c r="AK194" s="2510"/>
      <c r="AL194" s="2510"/>
      <c r="AM194" s="2511"/>
      <c r="AN194" s="901"/>
      <c r="BM194" s="2506"/>
      <c r="BN194" s="2507"/>
      <c r="BO194" s="2507"/>
      <c r="BP194" s="2507"/>
      <c r="BQ194" s="2507"/>
      <c r="BR194" s="2507"/>
      <c r="BS194" s="2507"/>
      <c r="BT194" s="2507"/>
      <c r="BU194" s="2507"/>
      <c r="BV194" s="2507"/>
      <c r="BW194" s="2507"/>
      <c r="BX194" s="2507"/>
      <c r="BY194" s="2507"/>
      <c r="BZ194" s="2507"/>
      <c r="CA194" s="2507"/>
      <c r="CB194" s="2507"/>
      <c r="CC194" s="2507"/>
      <c r="CD194" s="2508"/>
    </row>
    <row r="195" spans="2:82" s="307" customFormat="1" ht="9.9499999999999993" hidden="1" customHeight="1">
      <c r="B195" s="898"/>
      <c r="C195" s="2509"/>
      <c r="D195" s="2510"/>
      <c r="E195" s="2510"/>
      <c r="F195" s="2510"/>
      <c r="G195" s="2510"/>
      <c r="H195" s="2510"/>
      <c r="I195" s="2510"/>
      <c r="J195" s="2510"/>
      <c r="K195" s="2510"/>
      <c r="L195" s="2510"/>
      <c r="M195" s="2510"/>
      <c r="N195" s="2510"/>
      <c r="O195" s="2510"/>
      <c r="P195" s="2510"/>
      <c r="Q195" s="2510"/>
      <c r="R195" s="2510"/>
      <c r="S195" s="2510"/>
      <c r="T195" s="2511"/>
      <c r="U195" s="899"/>
      <c r="V195" s="2509"/>
      <c r="W195" s="2510"/>
      <c r="X195" s="2510"/>
      <c r="Y195" s="2510"/>
      <c r="Z195" s="2510"/>
      <c r="AA195" s="2510"/>
      <c r="AB195" s="2510"/>
      <c r="AC195" s="2510"/>
      <c r="AD195" s="2510"/>
      <c r="AE195" s="2510"/>
      <c r="AF195" s="2510"/>
      <c r="AG195" s="2510"/>
      <c r="AH195" s="2510"/>
      <c r="AI195" s="2510"/>
      <c r="AJ195" s="2510"/>
      <c r="AK195" s="2510"/>
      <c r="AL195" s="2510"/>
      <c r="AM195" s="2511"/>
      <c r="AN195" s="903"/>
      <c r="BM195" s="2506"/>
      <c r="BN195" s="2507"/>
      <c r="BO195" s="2507"/>
      <c r="BP195" s="2507"/>
      <c r="BQ195" s="2507"/>
      <c r="BR195" s="2507"/>
      <c r="BS195" s="2507"/>
      <c r="BT195" s="2507"/>
      <c r="BU195" s="2507"/>
      <c r="BV195" s="2507"/>
      <c r="BW195" s="2507"/>
      <c r="BX195" s="2507"/>
      <c r="BY195" s="2507"/>
      <c r="BZ195" s="2507"/>
      <c r="CA195" s="2507"/>
      <c r="CB195" s="2507"/>
      <c r="CC195" s="2507"/>
      <c r="CD195" s="2508"/>
    </row>
    <row r="196" spans="2:82" s="311" customFormat="1" ht="6.75" hidden="1" customHeight="1" thickBot="1">
      <c r="B196" s="907"/>
      <c r="C196" s="908"/>
      <c r="D196" s="908"/>
      <c r="E196" s="908"/>
      <c r="F196" s="908"/>
      <c r="G196" s="908"/>
      <c r="H196" s="908"/>
      <c r="I196" s="908"/>
      <c r="J196" s="908"/>
      <c r="K196" s="908"/>
      <c r="L196" s="908"/>
      <c r="M196" s="908"/>
      <c r="N196" s="908"/>
      <c r="O196" s="908"/>
      <c r="P196" s="908"/>
      <c r="Q196" s="908"/>
      <c r="R196" s="908"/>
      <c r="S196" s="908"/>
      <c r="T196" s="908"/>
      <c r="U196" s="908"/>
      <c r="V196" s="908"/>
      <c r="W196" s="908"/>
      <c r="X196" s="908"/>
      <c r="Y196" s="908"/>
      <c r="Z196" s="908"/>
      <c r="AA196" s="908"/>
      <c r="AB196" s="908"/>
      <c r="AC196" s="908"/>
      <c r="AD196" s="908"/>
      <c r="AE196" s="908"/>
      <c r="AF196" s="908"/>
      <c r="AG196" s="908"/>
      <c r="AH196" s="908"/>
      <c r="AI196" s="908"/>
      <c r="AJ196" s="908"/>
      <c r="AK196" s="908"/>
      <c r="AL196" s="908"/>
      <c r="AM196" s="908"/>
      <c r="AN196" s="909"/>
      <c r="BM196" s="2506"/>
      <c r="BN196" s="2507"/>
      <c r="BO196" s="2507"/>
      <c r="BP196" s="2507"/>
      <c r="BQ196" s="2507"/>
      <c r="BR196" s="2507"/>
      <c r="BS196" s="2507"/>
      <c r="BT196" s="2507"/>
      <c r="BU196" s="2507"/>
      <c r="BV196" s="2507"/>
      <c r="BW196" s="2507"/>
      <c r="BX196" s="2507"/>
      <c r="BY196" s="2507"/>
      <c r="BZ196" s="2507"/>
      <c r="CA196" s="2507"/>
      <c r="CB196" s="2507"/>
      <c r="CC196" s="2507"/>
      <c r="CD196" s="2508"/>
    </row>
    <row r="197" spans="2:82" s="319" customFormat="1" ht="17.25" hidden="1" customHeight="1" thickBot="1">
      <c r="AI197" s="819"/>
      <c r="AK197" s="819"/>
      <c r="AL197" s="820"/>
      <c r="AM197" s="820"/>
      <c r="AN197" s="384" t="str">
        <f>CONCATENATE("Hal. - ",AP197,"  dari  ",AS197)</f>
        <v>Hal. - 11  dari  10</v>
      </c>
      <c r="AO197" s="386"/>
      <c r="AP197" s="1881">
        <f>+AP131+1</f>
        <v>11</v>
      </c>
      <c r="AQ197" s="1882"/>
      <c r="AR197" s="387" t="s">
        <v>3</v>
      </c>
      <c r="AS197" s="1881">
        <f>'Surat-01'!$AW$55</f>
        <v>10</v>
      </c>
      <c r="AT197" s="1882"/>
      <c r="BM197" s="2506"/>
      <c r="BN197" s="2507"/>
      <c r="BO197" s="2507"/>
      <c r="BP197" s="2507"/>
      <c r="BQ197" s="2507"/>
      <c r="BR197" s="2507"/>
      <c r="BS197" s="2507"/>
      <c r="BT197" s="2507"/>
      <c r="BU197" s="2507"/>
      <c r="BV197" s="2507"/>
      <c r="BW197" s="2507"/>
      <c r="BX197" s="2507"/>
      <c r="BY197" s="2507"/>
      <c r="BZ197" s="2507"/>
      <c r="CA197" s="2507"/>
      <c r="CB197" s="2507"/>
      <c r="CC197" s="2507"/>
      <c r="CD197" s="2508"/>
    </row>
    <row r="198" spans="2:82" ht="12.95" hidden="1" customHeight="1">
      <c r="AH198" s="365"/>
      <c r="AI198" s="365"/>
      <c r="AJ198" s="307"/>
    </row>
    <row r="206" spans="2:82" s="307" customFormat="1" ht="12.95" customHeight="1"/>
  </sheetData>
  <sheetProtection formatCells="0" formatColumns="0" formatRows="0" insertColumns="0" insertRows="0" insertHyperlinks="0" deleteColumns="0" deleteRows="0" sort="0" autoFilter="0" pivotTables="0"/>
  <protectedRanges>
    <protectedRange sqref="I46 V46:W46 Y5 AL5 J5 V111:W111 AL70 Y70 I111 V177:W177 AL136 J136 Y136 I177 J70" name="Range2_1_4_10_1"/>
  </protectedRanges>
  <mergeCells count="46">
    <mergeCell ref="BM184:CD197"/>
    <mergeCell ref="C193:T195"/>
    <mergeCell ref="V193:AM195"/>
    <mergeCell ref="AP197:AQ197"/>
    <mergeCell ref="AS197:AT197"/>
    <mergeCell ref="C159:T173"/>
    <mergeCell ref="V159:AM173"/>
    <mergeCell ref="C174:T176"/>
    <mergeCell ref="V174:AM176"/>
    <mergeCell ref="C178:T192"/>
    <mergeCell ref="V178:AM192"/>
    <mergeCell ref="B132:J133"/>
    <mergeCell ref="B135:J137"/>
    <mergeCell ref="L136:AM137"/>
    <mergeCell ref="C140:T154"/>
    <mergeCell ref="V140:AM154"/>
    <mergeCell ref="C155:T157"/>
    <mergeCell ref="V155:AM157"/>
    <mergeCell ref="C24:T26"/>
    <mergeCell ref="V24:AM26"/>
    <mergeCell ref="M43:AD45"/>
    <mergeCell ref="B2:J3"/>
    <mergeCell ref="B4:J6"/>
    <mergeCell ref="C9:T23"/>
    <mergeCell ref="V9:AM23"/>
    <mergeCell ref="M28:AD42"/>
    <mergeCell ref="C112:T126"/>
    <mergeCell ref="V112:AM126"/>
    <mergeCell ref="C127:T129"/>
    <mergeCell ref="V127:AM129"/>
    <mergeCell ref="AP66:AQ66"/>
    <mergeCell ref="AS66:AT66"/>
    <mergeCell ref="B67:J68"/>
    <mergeCell ref="C74:T88"/>
    <mergeCell ref="V74:AM88"/>
    <mergeCell ref="B69:J71"/>
    <mergeCell ref="AQ38:BH40"/>
    <mergeCell ref="BM118:CD131"/>
    <mergeCell ref="AP131:AQ131"/>
    <mergeCell ref="AS131:AT131"/>
    <mergeCell ref="C89:T91"/>
    <mergeCell ref="V89:AM91"/>
    <mergeCell ref="C93:T107"/>
    <mergeCell ref="V93:AM107"/>
    <mergeCell ref="C108:T110"/>
    <mergeCell ref="V108:AM110"/>
  </mergeCells>
  <dataValidations disablePrompts="1" count="1">
    <dataValidation operator="lessThan" allowBlank="1" showInputMessage="1" showErrorMessage="1" sqref="AK131:AN131 AP131 AI66 AS131 AP66 AK66:AN66 AS66 AI131 AK197:AN197 AP197 AS197 AI197"/>
  </dataValidations>
  <pageMargins left="1.06" right="0" top="1.2" bottom="0.31496062992126" header="0.31496062992126" footer="0"/>
  <pageSetup paperSize="9" scale="90" orientation="portrait" r:id="rId1"/>
  <headerFooter alignWithMargins="0"/>
  <rowBreaks count="3" manualBreakCount="3">
    <brk id="66" min="1" max="39" man="1"/>
    <brk id="131" min="1" max="39" man="1"/>
    <brk id="197" min="1" max="39"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sheetPr>
  <dimension ref="B2:BS77"/>
  <sheetViews>
    <sheetView showGridLines="0" view="pageBreakPreview" topLeftCell="B1" zoomScaleSheetLayoutView="100" workbookViewId="0">
      <selection activeCell="V14" sqref="V14:AG14"/>
    </sheetView>
  </sheetViews>
  <sheetFormatPr defaultColWidth="2.7109375" defaultRowHeight="12.95" customHeight="1"/>
  <cols>
    <col min="1" max="1" width="5.7109375" style="745" customWidth="1"/>
    <col min="2" max="2" width="12.42578125" style="745" customWidth="1"/>
    <col min="3" max="3" width="1.7109375" style="745" customWidth="1"/>
    <col min="4" max="13" width="2.7109375" style="745"/>
    <col min="14" max="14" width="2.7109375" style="745" customWidth="1"/>
    <col min="15" max="18" width="2.7109375" style="745"/>
    <col min="19" max="19" width="3.7109375" style="745" customWidth="1"/>
    <col min="20" max="21" width="2" style="745" customWidth="1"/>
    <col min="22" max="36" width="2.7109375" style="745"/>
    <col min="37" max="37" width="2.7109375" style="745" customWidth="1"/>
    <col min="38" max="38" width="2.7109375" style="745"/>
    <col min="39" max="39" width="2.7109375" style="745" customWidth="1"/>
    <col min="40" max="40" width="1.7109375" style="745" customWidth="1"/>
    <col min="41" max="16384" width="2.7109375" style="745"/>
  </cols>
  <sheetData>
    <row r="2" spans="3:61" ht="65.099999999999994" customHeight="1"/>
    <row r="3" spans="3:61" ht="8.1" customHeight="1">
      <c r="C3" s="2545" t="s">
        <v>2341</v>
      </c>
      <c r="D3" s="2546"/>
      <c r="E3" s="2546"/>
      <c r="F3" s="2546"/>
      <c r="G3" s="2546"/>
      <c r="H3" s="2546"/>
      <c r="I3" s="2546"/>
      <c r="J3" s="2546"/>
      <c r="K3" s="2546"/>
      <c r="L3" s="2547"/>
      <c r="M3" s="910"/>
      <c r="N3" s="910"/>
      <c r="O3" s="910"/>
      <c r="P3" s="910"/>
      <c r="Q3" s="910"/>
      <c r="R3" s="910"/>
      <c r="S3" s="910"/>
      <c r="T3" s="910"/>
      <c r="U3" s="910"/>
      <c r="V3" s="910"/>
      <c r="W3" s="910"/>
      <c r="X3" s="910"/>
      <c r="Y3" s="910"/>
      <c r="Z3" s="910"/>
      <c r="AA3" s="910"/>
      <c r="AB3" s="910"/>
      <c r="AC3" s="910"/>
      <c r="AD3" s="910"/>
      <c r="AE3" s="910"/>
      <c r="AF3" s="910"/>
      <c r="AG3" s="910"/>
      <c r="AH3" s="910"/>
      <c r="AI3" s="910"/>
      <c r="AJ3" s="910"/>
      <c r="AK3" s="910"/>
      <c r="AL3" s="910"/>
      <c r="AM3" s="910"/>
      <c r="AN3" s="911"/>
    </row>
    <row r="4" spans="3:61" ht="12.95" customHeight="1">
      <c r="C4" s="2548"/>
      <c r="D4" s="2549"/>
      <c r="E4" s="2549"/>
      <c r="F4" s="2549"/>
      <c r="G4" s="2549"/>
      <c r="H4" s="2549"/>
      <c r="I4" s="2549"/>
      <c r="J4" s="2549"/>
      <c r="K4" s="2549"/>
      <c r="L4" s="2550"/>
      <c r="M4" s="912" t="s">
        <v>2196</v>
      </c>
      <c r="N4" s="726" t="str">
        <f>+Entry!$B$16</f>
        <v>Calon Debitur</v>
      </c>
      <c r="O4" s="748"/>
      <c r="P4" s="748"/>
      <c r="Q4" s="748"/>
      <c r="R4" s="742" t="s">
        <v>5</v>
      </c>
      <c r="S4" s="913" t="str">
        <f>+Entry!$L$16</f>
        <v>PT. XYZ</v>
      </c>
      <c r="Y4" s="748"/>
      <c r="Z4" s="748"/>
      <c r="AA4" s="748"/>
      <c r="AB4" s="748"/>
      <c r="AC4" s="748"/>
      <c r="AD4" s="748"/>
      <c r="AE4" s="748"/>
      <c r="AF4" s="748"/>
      <c r="AG4" s="748"/>
      <c r="AH4" s="748"/>
      <c r="AI4" s="748"/>
      <c r="AJ4" s="748"/>
      <c r="AK4" s="748"/>
      <c r="AL4" s="748"/>
      <c r="AM4" s="748"/>
      <c r="AN4" s="746"/>
    </row>
    <row r="5" spans="3:61" s="914" customFormat="1" ht="14.1" customHeight="1">
      <c r="C5" s="2551" t="s">
        <v>2342</v>
      </c>
      <c r="D5" s="2552"/>
      <c r="E5" s="2552"/>
      <c r="F5" s="2552"/>
      <c r="G5" s="2552"/>
      <c r="H5" s="2552"/>
      <c r="I5" s="2552"/>
      <c r="J5" s="2552"/>
      <c r="K5" s="2552"/>
      <c r="L5" s="2553"/>
      <c r="W5" s="748"/>
      <c r="X5" s="748"/>
      <c r="Y5" s="748"/>
      <c r="Z5" s="748"/>
      <c r="AA5" s="748"/>
      <c r="AB5" s="748"/>
      <c r="AC5" s="748"/>
      <c r="AD5" s="748"/>
      <c r="AE5" s="748"/>
      <c r="AF5" s="748"/>
      <c r="AG5" s="748"/>
      <c r="AH5" s="748"/>
      <c r="AI5" s="748"/>
      <c r="AJ5" s="748"/>
      <c r="AK5" s="748"/>
      <c r="AL5" s="748"/>
      <c r="AM5" s="748"/>
      <c r="AN5" s="915"/>
    </row>
    <row r="6" spans="3:61" ht="14.1" customHeight="1">
      <c r="C6" s="2551"/>
      <c r="D6" s="2552"/>
      <c r="E6" s="2552"/>
      <c r="F6" s="2552"/>
      <c r="G6" s="2552"/>
      <c r="H6" s="2552"/>
      <c r="I6" s="2552"/>
      <c r="J6" s="2552"/>
      <c r="K6" s="2552"/>
      <c r="L6" s="2553"/>
      <c r="M6" s="912" t="s">
        <v>2196</v>
      </c>
      <c r="N6" s="726" t="str">
        <f>Foto!L5</f>
        <v>No. Laporan</v>
      </c>
      <c r="O6" s="748"/>
      <c r="P6" s="748"/>
      <c r="Q6" s="748"/>
      <c r="R6" s="742" t="s">
        <v>5</v>
      </c>
      <c r="S6" s="1113" t="str">
        <f>Foto!R5</f>
        <v>0123-LK/KJPP-ASUS/V/18</v>
      </c>
      <c r="T6" s="1106"/>
      <c r="U6" s="1106"/>
      <c r="V6" s="1106"/>
      <c r="W6" s="1106"/>
      <c r="X6" s="1106"/>
      <c r="Y6" s="1106"/>
      <c r="Z6" s="1106"/>
      <c r="AA6" s="1106"/>
      <c r="AB6" s="1106"/>
      <c r="AC6" s="1106"/>
      <c r="AD6" s="1106"/>
      <c r="AE6" s="1106"/>
      <c r="AF6" s="1106"/>
      <c r="AG6" s="1106"/>
      <c r="AH6" s="1106"/>
      <c r="AI6" s="1106"/>
      <c r="AJ6" s="1106"/>
      <c r="AK6" s="1106"/>
      <c r="AL6" s="1106"/>
      <c r="AM6" s="1106"/>
      <c r="AN6" s="916"/>
      <c r="AO6" s="917"/>
    </row>
    <row r="7" spans="3:61" s="726" customFormat="1" ht="3.75" customHeight="1">
      <c r="C7" s="2551"/>
      <c r="D7" s="2552"/>
      <c r="E7" s="2552"/>
      <c r="F7" s="2552"/>
      <c r="G7" s="2552"/>
      <c r="H7" s="2552"/>
      <c r="I7" s="2552"/>
      <c r="J7" s="2552"/>
      <c r="K7" s="2552"/>
      <c r="L7" s="2553"/>
      <c r="M7" s="748"/>
      <c r="N7" s="1106"/>
      <c r="O7" s="1106"/>
      <c r="P7" s="1106"/>
      <c r="Q7" s="1106"/>
      <c r="R7" s="1106"/>
      <c r="S7" s="1106"/>
      <c r="T7" s="1106"/>
      <c r="U7" s="1106"/>
      <c r="V7" s="1106"/>
      <c r="W7" s="1106"/>
      <c r="X7" s="1106"/>
      <c r="Y7" s="1106"/>
      <c r="Z7" s="1106"/>
      <c r="AA7" s="1106"/>
      <c r="AB7" s="1106"/>
      <c r="AC7" s="1106"/>
      <c r="AD7" s="1106"/>
      <c r="AE7" s="1106"/>
      <c r="AF7" s="1106"/>
      <c r="AG7" s="1106"/>
      <c r="AH7" s="1106"/>
      <c r="AI7" s="1106"/>
      <c r="AJ7" s="1106"/>
      <c r="AK7" s="1106"/>
      <c r="AL7" s="1106"/>
      <c r="AM7" s="1106"/>
      <c r="AN7" s="727"/>
    </row>
    <row r="8" spans="3:61" s="726" customFormat="1" ht="3.95" customHeight="1">
      <c r="C8" s="918"/>
      <c r="D8" s="919"/>
      <c r="E8" s="919"/>
      <c r="F8" s="919"/>
      <c r="G8" s="919"/>
      <c r="H8" s="919"/>
      <c r="I8" s="919"/>
      <c r="J8" s="919"/>
      <c r="K8" s="919"/>
      <c r="L8" s="920"/>
      <c r="M8" s="919"/>
      <c r="N8" s="919"/>
      <c r="O8" s="919"/>
      <c r="P8" s="919"/>
      <c r="Q8" s="919"/>
      <c r="R8" s="919"/>
      <c r="S8" s="919"/>
      <c r="T8" s="919"/>
      <c r="U8" s="919"/>
      <c r="V8" s="919"/>
      <c r="W8" s="919"/>
      <c r="X8" s="919"/>
      <c r="Y8" s="919"/>
      <c r="Z8" s="919"/>
      <c r="AA8" s="919"/>
      <c r="AB8" s="919"/>
      <c r="AC8" s="919"/>
      <c r="AD8" s="919"/>
      <c r="AE8" s="919"/>
      <c r="AF8" s="919"/>
      <c r="AG8" s="919"/>
      <c r="AH8" s="919"/>
      <c r="AI8" s="919"/>
      <c r="AJ8" s="919"/>
      <c r="AK8" s="919"/>
      <c r="AL8" s="919"/>
      <c r="AM8" s="919"/>
      <c r="AN8" s="921"/>
    </row>
    <row r="9" spans="3:61" s="726" customFormat="1" ht="9.9499999999999993" customHeight="1">
      <c r="C9" s="898"/>
      <c r="D9" s="899"/>
      <c r="E9" s="899"/>
      <c r="F9" s="899"/>
      <c r="G9" s="899"/>
      <c r="H9" s="899"/>
      <c r="I9" s="899"/>
      <c r="J9" s="899"/>
      <c r="K9" s="899"/>
      <c r="L9" s="899"/>
      <c r="M9" s="899"/>
      <c r="N9" s="899"/>
      <c r="O9" s="899"/>
      <c r="P9" s="899"/>
      <c r="Q9" s="899"/>
      <c r="R9" s="899"/>
      <c r="S9" s="899"/>
      <c r="T9" s="899"/>
      <c r="U9" s="899"/>
      <c r="V9" s="899"/>
      <c r="W9" s="899"/>
      <c r="X9" s="899"/>
      <c r="Y9" s="899"/>
      <c r="Z9" s="899"/>
      <c r="AA9" s="899"/>
      <c r="AB9" s="899"/>
      <c r="AC9" s="899"/>
      <c r="AD9" s="899"/>
      <c r="AE9" s="899"/>
      <c r="AF9" s="899"/>
      <c r="AG9" s="899"/>
      <c r="AH9" s="899"/>
      <c r="AI9" s="899"/>
      <c r="AJ9" s="899"/>
      <c r="AK9" s="899"/>
      <c r="AL9" s="899"/>
      <c r="AM9" s="899"/>
      <c r="AN9" s="627"/>
    </row>
    <row r="10" spans="3:61" ht="14.1" customHeight="1">
      <c r="C10" s="898"/>
      <c r="D10" s="922" t="s">
        <v>2196</v>
      </c>
      <c r="E10" s="923" t="s">
        <v>2457</v>
      </c>
      <c r="F10" s="900"/>
      <c r="G10" s="900"/>
      <c r="H10" s="900"/>
      <c r="I10" s="900"/>
      <c r="J10" s="900"/>
      <c r="K10" s="900"/>
      <c r="L10" s="900"/>
      <c r="M10" s="900"/>
      <c r="N10" s="900"/>
      <c r="O10" s="900"/>
      <c r="P10" s="900"/>
      <c r="Q10" s="900"/>
      <c r="R10" s="900"/>
      <c r="S10" s="900"/>
      <c r="T10" s="900"/>
      <c r="U10" s="900"/>
      <c r="V10" s="900"/>
      <c r="W10" s="900"/>
      <c r="X10" s="900"/>
      <c r="Y10" s="900"/>
      <c r="Z10" s="900"/>
      <c r="AA10" s="900"/>
      <c r="AB10" s="900"/>
      <c r="AC10" s="900"/>
      <c r="AD10" s="900"/>
      <c r="AE10" s="900"/>
      <c r="AF10" s="900"/>
      <c r="AG10" s="900"/>
      <c r="AH10" s="900"/>
      <c r="AI10" s="900"/>
      <c r="AJ10" s="900"/>
      <c r="AK10" s="900"/>
      <c r="AL10" s="924"/>
      <c r="AM10" s="922"/>
      <c r="AN10" s="901"/>
    </row>
    <row r="11" spans="3:61" s="545" customFormat="1" ht="2.1" customHeight="1">
      <c r="C11" s="898"/>
      <c r="F11" s="900"/>
      <c r="G11" s="900"/>
      <c r="H11" s="900"/>
      <c r="I11" s="900"/>
      <c r="J11" s="900"/>
      <c r="K11" s="900"/>
      <c r="L11" s="900"/>
      <c r="M11" s="900"/>
      <c r="N11" s="900"/>
      <c r="O11" s="900"/>
      <c r="P11" s="900"/>
      <c r="Q11" s="900"/>
      <c r="R11" s="900"/>
      <c r="S11" s="900"/>
      <c r="T11" s="900"/>
      <c r="U11" s="900"/>
      <c r="V11" s="900"/>
      <c r="W11" s="900"/>
      <c r="X11" s="900"/>
      <c r="Y11" s="900"/>
      <c r="Z11" s="900"/>
      <c r="AA11" s="900"/>
      <c r="AB11" s="900"/>
      <c r="AC11" s="900"/>
      <c r="AD11" s="900"/>
      <c r="AE11" s="900"/>
      <c r="AF11" s="900"/>
      <c r="AG11" s="900"/>
      <c r="AH11" s="900"/>
      <c r="AI11" s="900"/>
      <c r="AJ11" s="900"/>
      <c r="AK11" s="900"/>
      <c r="AL11" s="900"/>
      <c r="AM11" s="900"/>
      <c r="AN11" s="902"/>
    </row>
    <row r="12" spans="3:61" s="914" customFormat="1" ht="12.95" customHeight="1">
      <c r="C12" s="898"/>
      <c r="D12" s="925"/>
      <c r="E12" s="926"/>
      <c r="F12" s="926"/>
      <c r="G12" s="926"/>
      <c r="H12" s="926"/>
      <c r="I12" s="926"/>
      <c r="J12" s="926"/>
      <c r="K12" s="926"/>
      <c r="L12" s="926"/>
      <c r="M12" s="926"/>
      <c r="N12" s="926"/>
      <c r="O12" s="926"/>
      <c r="P12" s="926"/>
      <c r="Q12" s="926"/>
      <c r="R12" s="926"/>
      <c r="S12" s="926"/>
      <c r="T12" s="926"/>
      <c r="U12" s="926"/>
      <c r="V12" s="926"/>
      <c r="W12" s="926"/>
      <c r="X12" s="926"/>
      <c r="Y12" s="926"/>
      <c r="Z12" s="926"/>
      <c r="AA12" s="926"/>
      <c r="AB12" s="926"/>
      <c r="AC12" s="926"/>
      <c r="AD12" s="926"/>
      <c r="AE12" s="926"/>
      <c r="AF12" s="926"/>
      <c r="AG12" s="926"/>
      <c r="AH12" s="926"/>
      <c r="AI12" s="926"/>
      <c r="AJ12" s="926"/>
      <c r="AK12" s="926"/>
      <c r="AL12" s="926"/>
      <c r="AM12" s="927"/>
      <c r="AN12" s="903"/>
    </row>
    <row r="13" spans="3:61" s="930" customFormat="1" ht="12.95" customHeight="1">
      <c r="C13" s="898"/>
      <c r="D13" s="928"/>
      <c r="E13" s="900"/>
      <c r="F13" s="900"/>
      <c r="G13" s="900"/>
      <c r="H13" s="900"/>
      <c r="I13" s="900"/>
      <c r="J13" s="900"/>
      <c r="K13" s="900"/>
      <c r="L13" s="900"/>
      <c r="M13" s="900"/>
      <c r="N13" s="900"/>
      <c r="O13" s="900"/>
      <c r="P13" s="900"/>
      <c r="Q13" s="900"/>
      <c r="R13" s="900"/>
      <c r="S13" s="900"/>
      <c r="T13" s="900"/>
      <c r="U13" s="900"/>
      <c r="V13" s="900"/>
      <c r="W13" s="900"/>
      <c r="X13" s="900"/>
      <c r="Y13" s="900"/>
      <c r="Z13" s="900"/>
      <c r="AA13" s="900"/>
      <c r="AB13" s="900"/>
      <c r="AC13" s="900"/>
      <c r="AD13" s="900"/>
      <c r="AE13" s="900"/>
      <c r="AF13" s="900"/>
      <c r="AG13" s="900"/>
      <c r="AH13" s="900"/>
      <c r="AI13" s="900"/>
      <c r="AJ13" s="900"/>
      <c r="AK13" s="900"/>
      <c r="AL13" s="900"/>
      <c r="AM13" s="929"/>
      <c r="AN13" s="904"/>
    </row>
    <row r="14" spans="3:61" s="931" customFormat="1" ht="12.95" customHeight="1">
      <c r="C14" s="898"/>
      <c r="D14" s="928"/>
      <c r="E14" s="900"/>
      <c r="F14" s="900"/>
      <c r="G14" s="900"/>
      <c r="H14" s="900"/>
      <c r="I14" s="900"/>
      <c r="J14" s="900"/>
      <c r="K14" s="900"/>
      <c r="L14" s="900"/>
      <c r="M14" s="900"/>
      <c r="N14" s="900"/>
      <c r="O14" s="900"/>
      <c r="P14" s="900"/>
      <c r="Q14" s="900"/>
      <c r="R14" s="900"/>
      <c r="S14" s="900"/>
      <c r="T14" s="900"/>
      <c r="U14" s="900"/>
      <c r="V14" s="900"/>
      <c r="W14" s="900"/>
      <c r="X14" s="900"/>
      <c r="Y14" s="900"/>
      <c r="Z14" s="900"/>
      <c r="AA14" s="900"/>
      <c r="AB14" s="900"/>
      <c r="AC14" s="900"/>
      <c r="AD14" s="900"/>
      <c r="AE14" s="900"/>
      <c r="AF14" s="900"/>
      <c r="AG14" s="900"/>
      <c r="AH14" s="900"/>
      <c r="AI14" s="900"/>
      <c r="AJ14" s="900"/>
      <c r="AK14" s="900"/>
      <c r="AL14" s="900"/>
      <c r="AM14" s="929"/>
      <c r="AN14" s="622"/>
    </row>
    <row r="15" spans="3:61" s="931" customFormat="1" ht="12.95" customHeight="1">
      <c r="C15" s="898"/>
      <c r="D15" s="928"/>
      <c r="E15" s="900"/>
      <c r="F15" s="900"/>
      <c r="G15" s="900"/>
      <c r="H15" s="900"/>
      <c r="I15" s="900"/>
      <c r="J15" s="900"/>
      <c r="K15" s="900"/>
      <c r="L15" s="900"/>
      <c r="M15" s="900"/>
      <c r="N15" s="900"/>
      <c r="O15" s="900"/>
      <c r="P15" s="900"/>
      <c r="Q15" s="900"/>
      <c r="R15" s="900"/>
      <c r="S15" s="900"/>
      <c r="T15" s="900"/>
      <c r="U15" s="900"/>
      <c r="V15" s="900"/>
      <c r="W15" s="900"/>
      <c r="X15" s="900"/>
      <c r="Y15" s="900"/>
      <c r="Z15" s="900"/>
      <c r="AA15" s="900"/>
      <c r="AB15" s="900"/>
      <c r="AC15" s="900"/>
      <c r="AD15" s="900"/>
      <c r="AE15" s="900"/>
      <c r="AF15" s="900"/>
      <c r="AG15" s="900"/>
      <c r="AH15" s="900"/>
      <c r="AI15" s="900"/>
      <c r="AJ15" s="900"/>
      <c r="AK15" s="900"/>
      <c r="AL15" s="900"/>
      <c r="AM15" s="929"/>
      <c r="AN15" s="622"/>
      <c r="AP15" s="308"/>
      <c r="AQ15" s="308"/>
      <c r="AR15" s="308"/>
      <c r="AS15" s="308"/>
      <c r="AT15" s="308"/>
      <c r="AU15" s="308"/>
      <c r="AV15" s="308"/>
      <c r="AW15" s="308"/>
      <c r="AX15" s="308"/>
      <c r="AY15" s="308"/>
      <c r="AZ15" s="308"/>
      <c r="BA15" s="308"/>
      <c r="BB15" s="308"/>
      <c r="BC15" s="308"/>
      <c r="BD15" s="308"/>
      <c r="BE15" s="308"/>
      <c r="BF15" s="308"/>
      <c r="BG15" s="308"/>
      <c r="BH15" s="308"/>
      <c r="BI15" s="308"/>
    </row>
    <row r="16" spans="3:61" s="931" customFormat="1" ht="12.95" customHeight="1">
      <c r="C16" s="898"/>
      <c r="D16" s="928"/>
      <c r="E16" s="900"/>
      <c r="F16" s="900"/>
      <c r="G16" s="900"/>
      <c r="H16" s="900"/>
      <c r="I16" s="900"/>
      <c r="J16" s="900"/>
      <c r="K16" s="900"/>
      <c r="L16" s="900"/>
      <c r="M16" s="900"/>
      <c r="N16" s="900"/>
      <c r="O16" s="900"/>
      <c r="P16" s="900"/>
      <c r="Q16" s="900"/>
      <c r="R16" s="900"/>
      <c r="S16" s="900"/>
      <c r="T16" s="900"/>
      <c r="U16" s="900"/>
      <c r="V16" s="900"/>
      <c r="W16" s="900"/>
      <c r="X16" s="900"/>
      <c r="Y16" s="900"/>
      <c r="Z16" s="900"/>
      <c r="AA16" s="900"/>
      <c r="AB16" s="900"/>
      <c r="AC16" s="900"/>
      <c r="AF16" s="900"/>
      <c r="AG16" s="900"/>
      <c r="AH16" s="900"/>
      <c r="AI16" s="900"/>
      <c r="AJ16" s="900"/>
      <c r="AK16" s="900"/>
      <c r="AL16" s="900"/>
      <c r="AM16" s="929"/>
      <c r="AN16" s="622"/>
      <c r="AP16" s="308"/>
      <c r="AQ16" s="308"/>
      <c r="AR16" s="308"/>
      <c r="AS16" s="308"/>
      <c r="AT16" s="308"/>
      <c r="AU16" s="308"/>
      <c r="AV16" s="308"/>
      <c r="AW16" s="308"/>
      <c r="AX16" s="308"/>
      <c r="AY16" s="308"/>
      <c r="AZ16" s="308"/>
      <c r="BA16" s="308"/>
      <c r="BB16" s="308"/>
      <c r="BC16" s="308"/>
      <c r="BD16" s="308"/>
      <c r="BE16" s="308"/>
      <c r="BF16" s="308"/>
      <c r="BG16" s="308"/>
      <c r="BH16" s="308"/>
      <c r="BI16" s="308"/>
    </row>
    <row r="17" spans="3:61" s="931" customFormat="1" ht="12.95" customHeight="1">
      <c r="C17" s="898"/>
      <c r="D17" s="928"/>
      <c r="E17" s="900"/>
      <c r="F17" s="900"/>
      <c r="G17" s="900"/>
      <c r="H17" s="900"/>
      <c r="I17" s="900"/>
      <c r="J17" s="900"/>
      <c r="K17" s="900"/>
      <c r="L17" s="900"/>
      <c r="M17" s="900"/>
      <c r="N17" s="900"/>
      <c r="O17" s="900"/>
      <c r="P17" s="900"/>
      <c r="Q17" s="900"/>
      <c r="R17" s="900"/>
      <c r="S17" s="900"/>
      <c r="T17" s="900"/>
      <c r="U17" s="900"/>
      <c r="V17" s="900"/>
      <c r="W17" s="900"/>
      <c r="X17" s="900"/>
      <c r="Y17" s="900"/>
      <c r="Z17" s="900"/>
      <c r="AA17" s="900"/>
      <c r="AB17" s="900"/>
      <c r="AC17" s="900"/>
      <c r="AF17" s="900"/>
      <c r="AG17" s="900"/>
      <c r="AH17" s="900"/>
      <c r="AI17" s="900"/>
      <c r="AJ17" s="900"/>
      <c r="AK17" s="900"/>
      <c r="AL17" s="900"/>
      <c r="AM17" s="929"/>
      <c r="AN17" s="622"/>
      <c r="AP17" s="308"/>
      <c r="AQ17" s="308"/>
      <c r="AR17" s="308"/>
      <c r="AS17" s="308"/>
      <c r="AT17" s="308"/>
      <c r="AU17" s="308"/>
      <c r="AV17" s="308"/>
      <c r="AW17" s="308"/>
      <c r="AX17" s="308"/>
      <c r="AY17" s="308"/>
      <c r="AZ17" s="308"/>
      <c r="BA17" s="308"/>
      <c r="BB17" s="308"/>
      <c r="BC17" s="308"/>
      <c r="BD17" s="308"/>
      <c r="BE17" s="308"/>
      <c r="BF17" s="308"/>
      <c r="BG17" s="308"/>
      <c r="BH17" s="308"/>
      <c r="BI17" s="308"/>
    </row>
    <row r="18" spans="3:61" s="932" customFormat="1" ht="12.95" customHeight="1">
      <c r="C18" s="898"/>
      <c r="D18" s="928"/>
      <c r="E18" s="900"/>
      <c r="F18" s="900"/>
      <c r="G18" s="900"/>
      <c r="H18" s="900"/>
      <c r="I18" s="900"/>
      <c r="J18" s="900"/>
      <c r="K18" s="900"/>
      <c r="L18" s="900"/>
      <c r="M18" s="900"/>
      <c r="N18" s="900"/>
      <c r="O18" s="900"/>
      <c r="P18" s="900"/>
      <c r="Q18" s="900"/>
      <c r="R18" s="900"/>
      <c r="S18" s="900"/>
      <c r="T18" s="900"/>
      <c r="U18" s="900"/>
      <c r="V18" s="900"/>
      <c r="W18" s="900"/>
      <c r="X18" s="900"/>
      <c r="Y18" s="900"/>
      <c r="Z18" s="900"/>
      <c r="AA18" s="900"/>
      <c r="AB18" s="900"/>
      <c r="AC18" s="900"/>
      <c r="AD18" s="900"/>
      <c r="AE18" s="900"/>
      <c r="AF18" s="900"/>
      <c r="AG18" s="900"/>
      <c r="AH18" s="900"/>
      <c r="AI18" s="900"/>
      <c r="AJ18" s="900"/>
      <c r="AK18" s="900"/>
      <c r="AL18" s="900"/>
      <c r="AM18" s="929"/>
      <c r="AN18" s="906"/>
      <c r="AP18" s="308"/>
      <c r="AQ18" s="308"/>
      <c r="AR18" s="308"/>
      <c r="AS18" s="308"/>
      <c r="AT18" s="308"/>
      <c r="AU18" s="308"/>
      <c r="AV18" s="308"/>
      <c r="AW18" s="308"/>
      <c r="AX18" s="308"/>
      <c r="AY18" s="308"/>
      <c r="AZ18" s="308"/>
      <c r="BA18" s="308"/>
      <c r="BB18" s="308"/>
      <c r="BC18" s="308"/>
      <c r="BD18" s="308"/>
      <c r="BE18" s="308"/>
      <c r="BF18" s="308"/>
      <c r="BG18" s="308"/>
      <c r="BH18" s="308"/>
      <c r="BI18" s="308"/>
    </row>
    <row r="19" spans="3:61" s="931" customFormat="1" ht="12.75" customHeight="1">
      <c r="C19" s="898"/>
      <c r="D19" s="928"/>
      <c r="E19" s="900"/>
      <c r="F19" s="900"/>
      <c r="G19" s="900"/>
      <c r="H19" s="900"/>
      <c r="I19" s="900"/>
      <c r="J19" s="900"/>
      <c r="K19" s="900"/>
      <c r="L19" s="900"/>
      <c r="M19" s="900"/>
      <c r="N19" s="900"/>
      <c r="O19" s="900"/>
      <c r="P19" s="900"/>
      <c r="Q19" s="900"/>
      <c r="R19" s="900"/>
      <c r="S19" s="900"/>
      <c r="T19" s="900"/>
      <c r="U19" s="900"/>
      <c r="V19" s="900"/>
      <c r="W19" s="900"/>
      <c r="X19" s="900"/>
      <c r="Y19" s="900"/>
      <c r="Z19" s="900"/>
      <c r="AA19" s="900"/>
      <c r="AB19" s="900"/>
      <c r="AC19" s="900"/>
      <c r="AD19" s="900"/>
      <c r="AE19" s="900"/>
      <c r="AF19" s="900"/>
      <c r="AG19" s="900"/>
      <c r="AH19" s="900"/>
      <c r="AI19" s="900"/>
      <c r="AJ19" s="900"/>
      <c r="AK19" s="900"/>
      <c r="AL19" s="900"/>
      <c r="AM19" s="929"/>
      <c r="AN19" s="622"/>
      <c r="AP19" s="308"/>
      <c r="AQ19" s="308"/>
      <c r="AR19" s="308"/>
      <c r="AS19" s="308"/>
      <c r="AT19" s="308"/>
      <c r="AU19" s="308"/>
      <c r="AV19" s="308"/>
      <c r="AW19" s="308"/>
      <c r="AX19" s="308"/>
      <c r="AY19" s="549"/>
      <c r="AZ19" s="308"/>
      <c r="BA19" s="308"/>
      <c r="BB19" s="308"/>
      <c r="BC19" s="308"/>
      <c r="BD19" s="308"/>
      <c r="BE19" s="308"/>
      <c r="BF19" s="308"/>
      <c r="BG19" s="308"/>
      <c r="BH19" s="308"/>
      <c r="BI19" s="308"/>
    </row>
    <row r="20" spans="3:61" s="914" customFormat="1" ht="12.95" customHeight="1">
      <c r="C20" s="898"/>
      <c r="D20" s="928"/>
      <c r="E20" s="900"/>
      <c r="F20" s="900"/>
      <c r="G20" s="900"/>
      <c r="H20" s="900"/>
      <c r="I20" s="900"/>
      <c r="J20" s="900"/>
      <c r="K20" s="900"/>
      <c r="L20" s="900"/>
      <c r="M20" s="900"/>
      <c r="N20" s="900"/>
      <c r="O20" s="900"/>
      <c r="P20" s="900"/>
      <c r="Q20" s="900"/>
      <c r="R20" s="900"/>
      <c r="S20" s="900"/>
      <c r="T20" s="900"/>
      <c r="U20" s="900"/>
      <c r="V20" s="900"/>
      <c r="W20" s="900"/>
      <c r="X20" s="900"/>
      <c r="Y20" s="900"/>
      <c r="Z20" s="900"/>
      <c r="AA20" s="900"/>
      <c r="AB20" s="900"/>
      <c r="AC20" s="900"/>
      <c r="AD20" s="900"/>
      <c r="AE20" s="900"/>
      <c r="AF20" s="900"/>
      <c r="AG20" s="900"/>
      <c r="AH20" s="900" t="s">
        <v>1858</v>
      </c>
      <c r="AI20" s="900"/>
      <c r="AJ20" s="900"/>
      <c r="AK20" s="900"/>
      <c r="AL20" s="900"/>
      <c r="AM20" s="929"/>
      <c r="AN20" s="903"/>
      <c r="AP20" s="308"/>
      <c r="AQ20" s="308"/>
      <c r="AR20" s="308"/>
      <c r="AS20" s="308"/>
      <c r="AT20" s="308"/>
      <c r="AU20" s="308"/>
      <c r="AV20" s="308"/>
      <c r="AW20" s="308"/>
      <c r="AX20" s="308"/>
      <c r="AY20" s="308"/>
      <c r="AZ20" s="308"/>
      <c r="BA20" s="308"/>
      <c r="BB20" s="308"/>
      <c r="BC20" s="308"/>
      <c r="BD20" s="308"/>
      <c r="BE20" s="308"/>
      <c r="BF20" s="308"/>
      <c r="BG20" s="308"/>
      <c r="BH20" s="308"/>
      <c r="BI20" s="308"/>
    </row>
    <row r="21" spans="3:61" s="931" customFormat="1" ht="12.95" customHeight="1">
      <c r="C21" s="898"/>
      <c r="D21" s="928"/>
      <c r="E21" s="900"/>
      <c r="F21" s="900"/>
      <c r="G21" s="900"/>
      <c r="H21" s="900"/>
      <c r="I21" s="900"/>
      <c r="J21" s="900"/>
      <c r="K21" s="900"/>
      <c r="L21" s="900"/>
      <c r="M21" s="900"/>
      <c r="N21" s="900"/>
      <c r="O21" s="900"/>
      <c r="P21" s="900"/>
      <c r="Q21" s="900"/>
      <c r="R21" s="900"/>
      <c r="S21" s="900"/>
      <c r="T21" s="900"/>
      <c r="U21" s="900"/>
      <c r="V21" s="900"/>
      <c r="W21" s="900"/>
      <c r="X21" s="900"/>
      <c r="Y21" s="900"/>
      <c r="Z21" s="900"/>
      <c r="AA21" s="900"/>
      <c r="AB21" s="900"/>
      <c r="AC21" s="900"/>
      <c r="AD21" s="900"/>
      <c r="AE21" s="900"/>
      <c r="AF21" s="900"/>
      <c r="AG21" s="900"/>
      <c r="AH21" s="900"/>
      <c r="AI21" s="900"/>
      <c r="AJ21" s="900"/>
      <c r="AK21" s="900"/>
      <c r="AL21" s="900"/>
      <c r="AM21" s="929"/>
      <c r="AN21" s="622"/>
      <c r="AP21" s="308"/>
      <c r="AQ21" s="308"/>
      <c r="AR21" s="308"/>
      <c r="AS21" s="308"/>
      <c r="AT21" s="308"/>
      <c r="AU21" s="308"/>
      <c r="AV21" s="308"/>
      <c r="AW21" s="308"/>
      <c r="AX21" s="308"/>
      <c r="AY21" s="308"/>
      <c r="AZ21" s="308"/>
      <c r="BA21" s="308"/>
      <c r="BB21" s="308"/>
      <c r="BC21" s="308"/>
      <c r="BD21" s="308"/>
      <c r="BE21" s="308"/>
      <c r="BF21" s="308"/>
      <c r="BG21" s="308"/>
      <c r="BH21" s="308"/>
      <c r="BI21" s="308"/>
    </row>
    <row r="22" spans="3:61" s="931" customFormat="1" ht="12.95" customHeight="1">
      <c r="C22" s="898"/>
      <c r="D22" s="928"/>
      <c r="E22" s="900"/>
      <c r="F22" s="900"/>
      <c r="G22" s="900"/>
      <c r="H22" s="900"/>
      <c r="I22" s="900"/>
      <c r="J22" s="900"/>
      <c r="K22" s="900"/>
      <c r="L22" s="900"/>
      <c r="M22" s="900"/>
      <c r="N22" s="900"/>
      <c r="O22" s="900"/>
      <c r="P22" s="900"/>
      <c r="Q22" s="900"/>
      <c r="R22" s="900"/>
      <c r="S22" s="900"/>
      <c r="T22" s="900"/>
      <c r="U22" s="900"/>
      <c r="V22" s="900"/>
      <c r="W22" s="900"/>
      <c r="X22" s="900"/>
      <c r="Y22" s="900"/>
      <c r="Z22" s="900"/>
      <c r="AA22" s="900"/>
      <c r="AB22" s="900"/>
      <c r="AC22" s="900"/>
      <c r="AD22" s="900"/>
      <c r="AE22" s="900"/>
      <c r="AF22" s="900"/>
      <c r="AG22" s="900"/>
      <c r="AH22" s="900"/>
      <c r="AI22" s="900"/>
      <c r="AJ22" s="900"/>
      <c r="AK22" s="900"/>
      <c r="AL22" s="900"/>
      <c r="AM22" s="929"/>
      <c r="AN22" s="622"/>
      <c r="AP22" s="308"/>
      <c r="AQ22" s="308"/>
      <c r="AR22" s="308"/>
      <c r="AS22" s="308"/>
      <c r="AT22" s="308"/>
      <c r="AU22" s="308"/>
      <c r="AV22" s="308"/>
      <c r="AW22" s="308"/>
      <c r="AX22" s="308"/>
      <c r="AY22" s="308"/>
      <c r="AZ22" s="308"/>
      <c r="BA22" s="308"/>
      <c r="BB22" s="308"/>
      <c r="BC22" s="308"/>
      <c r="BD22" s="308"/>
      <c r="BE22" s="308"/>
      <c r="BF22" s="308"/>
      <c r="BG22" s="308"/>
      <c r="BH22" s="308"/>
      <c r="BI22" s="308"/>
    </row>
    <row r="23" spans="3:61" s="931" customFormat="1" ht="12.95" customHeight="1">
      <c r="C23" s="898"/>
      <c r="D23" s="928"/>
      <c r="E23" s="900"/>
      <c r="F23" s="900"/>
      <c r="G23" s="900"/>
      <c r="H23" s="900"/>
      <c r="I23" s="900"/>
      <c r="J23" s="900"/>
      <c r="K23" s="900"/>
      <c r="L23" s="900"/>
      <c r="M23" s="900"/>
      <c r="N23" s="900"/>
      <c r="O23" s="900"/>
      <c r="P23" s="900"/>
      <c r="Q23" s="900"/>
      <c r="R23" s="900"/>
      <c r="S23" s="900"/>
      <c r="T23" s="900"/>
      <c r="U23" s="900"/>
      <c r="V23" s="900"/>
      <c r="W23" s="900"/>
      <c r="X23" s="900"/>
      <c r="Y23" s="900"/>
      <c r="Z23" s="900"/>
      <c r="AA23" s="900"/>
      <c r="AB23" s="900"/>
      <c r="AC23" s="900"/>
      <c r="AD23" s="900"/>
      <c r="AE23" s="900"/>
      <c r="AF23" s="900"/>
      <c r="AG23" s="900"/>
      <c r="AH23" s="900"/>
      <c r="AI23" s="900"/>
      <c r="AJ23" s="900"/>
      <c r="AK23" s="900"/>
      <c r="AL23" s="900"/>
      <c r="AM23" s="929"/>
      <c r="AN23" s="622"/>
      <c r="AP23" s="308"/>
      <c r="AQ23" s="308"/>
      <c r="AR23" s="308"/>
      <c r="AS23" s="308"/>
      <c r="AT23" s="308"/>
      <c r="AU23" s="308"/>
      <c r="AV23" s="308"/>
      <c r="AW23" s="308"/>
      <c r="AX23" s="308"/>
      <c r="AY23" s="308"/>
      <c r="AZ23" s="308"/>
      <c r="BA23" s="308"/>
      <c r="BB23" s="308"/>
      <c r="BC23" s="308"/>
      <c r="BD23" s="308"/>
      <c r="BE23" s="308"/>
      <c r="BF23" s="308"/>
      <c r="BG23" s="308"/>
      <c r="BH23" s="308"/>
      <c r="BI23" s="308"/>
    </row>
    <row r="24" spans="3:61" s="931" customFormat="1" ht="12.95" customHeight="1">
      <c r="C24" s="898"/>
      <c r="D24" s="928"/>
      <c r="E24" s="900"/>
      <c r="F24" s="900"/>
      <c r="G24" s="900"/>
      <c r="H24" s="900"/>
      <c r="I24" s="900"/>
      <c r="J24" s="900"/>
      <c r="K24" s="900"/>
      <c r="L24" s="900"/>
      <c r="M24" s="900"/>
      <c r="N24" s="900"/>
      <c r="O24" s="900"/>
      <c r="P24" s="900"/>
      <c r="Q24" s="900"/>
      <c r="R24" s="900"/>
      <c r="S24" s="900"/>
      <c r="T24" s="900"/>
      <c r="U24" s="900"/>
      <c r="V24" s="900"/>
      <c r="W24" s="900"/>
      <c r="X24" s="900"/>
      <c r="Y24" s="900"/>
      <c r="Z24" s="900"/>
      <c r="AA24" s="900"/>
      <c r="AB24" s="900"/>
      <c r="AC24" s="900"/>
      <c r="AD24" s="900"/>
      <c r="AE24" s="900"/>
      <c r="AF24" s="900"/>
      <c r="AG24" s="900"/>
      <c r="AH24" s="900"/>
      <c r="AI24" s="900"/>
      <c r="AJ24" s="900"/>
      <c r="AK24" s="900"/>
      <c r="AL24" s="900"/>
      <c r="AM24" s="929"/>
      <c r="AN24" s="622"/>
      <c r="AP24" s="308"/>
      <c r="AQ24" s="308"/>
      <c r="AR24" s="308"/>
      <c r="AS24" s="308"/>
      <c r="AT24" s="308"/>
      <c r="AU24" s="308"/>
      <c r="AV24" s="308"/>
      <c r="AW24" s="308"/>
      <c r="AX24" s="308"/>
      <c r="AY24" s="308"/>
      <c r="AZ24" s="308"/>
      <c r="BA24" s="308"/>
      <c r="BB24" s="308"/>
      <c r="BC24" s="308"/>
      <c r="BD24" s="308"/>
      <c r="BE24" s="308"/>
      <c r="BF24" s="308"/>
      <c r="BG24" s="308"/>
      <c r="BH24" s="308"/>
      <c r="BI24" s="308"/>
    </row>
    <row r="25" spans="3:61" s="931" customFormat="1" ht="12.95" customHeight="1">
      <c r="C25" s="898"/>
      <c r="D25" s="928"/>
      <c r="E25" s="900"/>
      <c r="F25" s="900"/>
      <c r="G25" s="900"/>
      <c r="H25" s="900"/>
      <c r="I25" s="900"/>
      <c r="J25" s="900"/>
      <c r="K25" s="900"/>
      <c r="L25" s="900"/>
      <c r="M25" s="900"/>
      <c r="N25" s="900"/>
      <c r="O25" s="900"/>
      <c r="P25" s="900"/>
      <c r="Q25" s="900"/>
      <c r="R25" s="900"/>
      <c r="S25" s="900"/>
      <c r="T25" s="900"/>
      <c r="U25" s="900"/>
      <c r="V25" s="900"/>
      <c r="W25" s="900"/>
      <c r="X25" s="900"/>
      <c r="Y25" s="900"/>
      <c r="Z25" s="900"/>
      <c r="AA25" s="900"/>
      <c r="AB25" s="900"/>
      <c r="AC25" s="900"/>
      <c r="AD25" s="900"/>
      <c r="AE25" s="900"/>
      <c r="AF25" s="900"/>
      <c r="AG25" s="900"/>
      <c r="AH25" s="900"/>
      <c r="AI25" s="900"/>
      <c r="AJ25" s="900"/>
      <c r="AK25" s="900"/>
      <c r="AL25" s="900"/>
      <c r="AM25" s="929"/>
      <c r="AN25" s="622"/>
      <c r="AP25" s="308"/>
      <c r="AQ25" s="308"/>
      <c r="AR25" s="308"/>
      <c r="AS25" s="308"/>
      <c r="AT25" s="308"/>
      <c r="AU25" s="308"/>
      <c r="AV25" s="308"/>
      <c r="AW25" s="308"/>
      <c r="AX25" s="308"/>
      <c r="AY25" s="308"/>
      <c r="AZ25" s="308"/>
      <c r="BA25" s="308"/>
      <c r="BB25" s="308"/>
      <c r="BC25" s="308"/>
      <c r="BD25" s="308"/>
      <c r="BE25" s="308"/>
      <c r="BF25" s="308"/>
      <c r="BG25" s="308"/>
      <c r="BH25" s="308"/>
      <c r="BI25" s="308"/>
    </row>
    <row r="26" spans="3:61" s="931" customFormat="1" ht="12.95" customHeight="1">
      <c r="C26" s="898"/>
      <c r="D26" s="928"/>
      <c r="E26" s="900"/>
      <c r="F26" s="900"/>
      <c r="G26" s="900"/>
      <c r="H26" s="900"/>
      <c r="I26" s="900"/>
      <c r="J26" s="900"/>
      <c r="K26" s="900"/>
      <c r="L26" s="900"/>
      <c r="M26" s="900"/>
      <c r="N26" s="900"/>
      <c r="O26" s="900"/>
      <c r="P26" s="900"/>
      <c r="Q26" s="900"/>
      <c r="R26" s="900"/>
      <c r="S26" s="900"/>
      <c r="T26" s="900"/>
      <c r="U26" s="900"/>
      <c r="V26" s="900"/>
      <c r="W26" s="900"/>
      <c r="X26" s="900"/>
      <c r="Y26" s="900"/>
      <c r="Z26" s="900"/>
      <c r="AA26" s="900"/>
      <c r="AB26" s="900"/>
      <c r="AC26" s="900"/>
      <c r="AD26" s="900"/>
      <c r="AE26" s="900"/>
      <c r="AF26" s="900"/>
      <c r="AG26" s="900"/>
      <c r="AH26" s="900"/>
      <c r="AI26" s="900"/>
      <c r="AJ26" s="900"/>
      <c r="AK26" s="900"/>
      <c r="AL26" s="900"/>
      <c r="AM26" s="929"/>
      <c r="AN26" s="622"/>
      <c r="AP26" s="308"/>
      <c r="AQ26" s="308"/>
      <c r="AR26" s="308"/>
      <c r="AS26" s="308"/>
      <c r="AT26" s="308"/>
      <c r="AU26" s="308"/>
      <c r="AV26" s="308"/>
      <c r="AW26" s="308"/>
      <c r="AX26" s="308"/>
      <c r="AY26" s="308"/>
      <c r="AZ26" s="308"/>
      <c r="BA26" s="308"/>
      <c r="BB26" s="308"/>
      <c r="BC26" s="308"/>
      <c r="BD26" s="308"/>
      <c r="BE26" s="308"/>
      <c r="BF26" s="308"/>
      <c r="BG26" s="308"/>
      <c r="BH26" s="308"/>
      <c r="BI26" s="308"/>
    </row>
    <row r="27" spans="3:61" s="914" customFormat="1" ht="12.95" customHeight="1">
      <c r="C27" s="898"/>
      <c r="D27" s="928"/>
      <c r="R27" s="933"/>
      <c r="S27" s="933"/>
      <c r="T27" s="933"/>
      <c r="U27" s="933"/>
      <c r="V27" s="933"/>
      <c r="W27" s="933"/>
      <c r="X27" s="933"/>
      <c r="Y27" s="933"/>
      <c r="Z27" s="933"/>
      <c r="AA27" s="933"/>
      <c r="AB27" s="933"/>
      <c r="AC27" s="933"/>
      <c r="AD27" s="933"/>
      <c r="AE27" s="933"/>
      <c r="AF27" s="933"/>
      <c r="AG27" s="933"/>
      <c r="AH27" s="933"/>
      <c r="AI27" s="933"/>
      <c r="AJ27" s="933"/>
      <c r="AK27" s="933"/>
      <c r="AL27" s="933"/>
      <c r="AM27" s="934"/>
      <c r="AN27" s="903"/>
      <c r="AP27" s="308"/>
      <c r="AQ27" s="308"/>
      <c r="AR27" s="308"/>
      <c r="AS27" s="308"/>
      <c r="AT27" s="308"/>
      <c r="AU27" s="308"/>
      <c r="AV27" s="308"/>
      <c r="AW27" s="308"/>
      <c r="AX27" s="308"/>
      <c r="AY27" s="308"/>
      <c r="AZ27" s="308"/>
      <c r="BA27" s="308"/>
      <c r="BB27" s="308"/>
      <c r="BC27" s="308"/>
      <c r="BD27" s="308"/>
      <c r="BE27" s="308"/>
      <c r="BF27" s="308"/>
      <c r="BG27" s="308"/>
      <c r="BH27" s="308"/>
      <c r="BI27" s="308"/>
    </row>
    <row r="28" spans="3:61" s="914" customFormat="1" ht="12.95" customHeight="1">
      <c r="C28" s="898"/>
      <c r="D28" s="935"/>
      <c r="P28" s="933"/>
      <c r="R28" s="933"/>
      <c r="S28" s="933"/>
      <c r="T28" s="933"/>
      <c r="U28" s="933"/>
      <c r="V28" s="933"/>
      <c r="W28" s="933"/>
      <c r="X28" s="933"/>
      <c r="Y28" s="933"/>
      <c r="Z28" s="933"/>
      <c r="AA28" s="933"/>
      <c r="AB28" s="933"/>
      <c r="AF28" s="933"/>
      <c r="AG28" s="933"/>
      <c r="AH28" s="933"/>
      <c r="AI28" s="933"/>
      <c r="AJ28" s="933"/>
      <c r="AK28" s="933"/>
      <c r="AL28" s="933"/>
      <c r="AM28" s="934"/>
      <c r="AN28" s="903"/>
      <c r="AP28" s="308"/>
      <c r="AQ28" s="308"/>
      <c r="AR28" s="308"/>
      <c r="AS28" s="308"/>
      <c r="AT28" s="308"/>
      <c r="AU28" s="308"/>
      <c r="AV28" s="308"/>
      <c r="AW28" s="308"/>
      <c r="AX28" s="308"/>
      <c r="AY28" s="308"/>
      <c r="AZ28" s="308"/>
      <c r="BA28" s="308"/>
      <c r="BB28" s="308"/>
      <c r="BC28" s="308"/>
      <c r="BD28" s="308"/>
      <c r="BE28" s="308"/>
      <c r="BF28" s="308"/>
      <c r="BG28" s="308"/>
      <c r="BH28" s="308"/>
      <c r="BI28" s="308"/>
    </row>
    <row r="29" spans="3:61" s="931" customFormat="1" ht="12.95" customHeight="1">
      <c r="C29" s="898"/>
      <c r="D29" s="936"/>
      <c r="AH29" s="933"/>
      <c r="AI29" s="933"/>
      <c r="AJ29" s="933"/>
      <c r="AK29" s="933"/>
      <c r="AL29" s="933"/>
      <c r="AM29" s="934"/>
      <c r="AN29" s="622"/>
      <c r="AP29" s="308"/>
      <c r="AQ29" s="308"/>
      <c r="AR29" s="308"/>
      <c r="AS29" s="308"/>
      <c r="AT29" s="308"/>
      <c r="AU29" s="308"/>
      <c r="AV29" s="308"/>
      <c r="AW29" s="308"/>
      <c r="AX29" s="308"/>
      <c r="AY29" s="308"/>
      <c r="AZ29" s="308"/>
      <c r="BA29" s="308"/>
      <c r="BB29" s="308"/>
      <c r="BC29" s="308"/>
      <c r="BD29" s="308"/>
      <c r="BE29" s="308"/>
      <c r="BF29" s="308"/>
      <c r="BG29" s="308"/>
      <c r="BH29" s="308"/>
      <c r="BI29" s="308"/>
    </row>
    <row r="30" spans="3:61" s="931" customFormat="1" ht="12.95" customHeight="1">
      <c r="C30" s="898"/>
      <c r="D30" s="936"/>
      <c r="AH30" s="933"/>
      <c r="AI30" s="933"/>
      <c r="AJ30" s="933"/>
      <c r="AK30" s="933"/>
      <c r="AL30" s="933"/>
      <c r="AM30" s="934"/>
      <c r="AN30" s="622"/>
      <c r="AP30" s="308"/>
      <c r="AQ30" s="308"/>
      <c r="AU30" s="308"/>
      <c r="AV30" s="308"/>
      <c r="AW30" s="308"/>
      <c r="AX30" s="308"/>
      <c r="AY30" s="308"/>
      <c r="AZ30" s="308"/>
      <c r="BA30" s="308"/>
      <c r="BB30" s="308"/>
      <c r="BC30" s="308"/>
      <c r="BD30" s="308"/>
      <c r="BE30" s="308"/>
      <c r="BF30" s="308"/>
      <c r="BG30" s="308"/>
      <c r="BH30" s="308"/>
      <c r="BI30" s="308"/>
    </row>
    <row r="31" spans="3:61" s="931" customFormat="1" ht="12.95" customHeight="1">
      <c r="C31" s="898"/>
      <c r="D31" s="938"/>
      <c r="AH31" s="933"/>
      <c r="AI31" s="933"/>
      <c r="AJ31" s="933"/>
      <c r="AK31" s="933"/>
      <c r="AL31" s="933"/>
      <c r="AM31" s="934"/>
      <c r="AN31" s="622"/>
      <c r="AP31" s="308"/>
      <c r="AQ31" s="308"/>
      <c r="AU31" s="308"/>
      <c r="AV31" s="308"/>
      <c r="AW31" s="308"/>
      <c r="AX31" s="308"/>
      <c r="AY31" s="308"/>
      <c r="AZ31" s="308"/>
      <c r="BA31" s="308"/>
      <c r="BB31" s="308"/>
      <c r="BC31" s="308"/>
      <c r="BD31" s="308"/>
      <c r="BE31" s="308"/>
      <c r="BF31" s="308"/>
      <c r="BG31" s="308"/>
      <c r="BH31" s="308"/>
      <c r="BI31" s="308"/>
    </row>
    <row r="32" spans="3:61" s="931" customFormat="1" ht="12.95" customHeight="1">
      <c r="C32" s="898"/>
      <c r="D32" s="941"/>
      <c r="AH32" s="933"/>
      <c r="AI32" s="933"/>
      <c r="AJ32" s="933"/>
      <c r="AK32" s="933"/>
      <c r="AL32" s="933"/>
      <c r="AM32" s="934"/>
      <c r="AN32" s="622"/>
      <c r="AP32" s="308"/>
      <c r="AQ32" s="308"/>
      <c r="AU32" s="308"/>
      <c r="AV32" s="308"/>
      <c r="AW32" s="308"/>
      <c r="AX32" s="308"/>
      <c r="AY32" s="308"/>
      <c r="AZ32" s="308"/>
      <c r="BA32" s="308"/>
      <c r="BB32" s="308"/>
      <c r="BC32" s="308"/>
      <c r="BD32" s="308"/>
      <c r="BE32" s="308"/>
      <c r="BF32" s="308"/>
      <c r="BG32" s="308"/>
      <c r="BH32" s="308"/>
      <c r="BI32" s="308"/>
    </row>
    <row r="33" spans="3:71" s="931" customFormat="1" ht="12.95" customHeight="1">
      <c r="C33" s="898"/>
      <c r="D33" s="941"/>
      <c r="AH33" s="933"/>
      <c r="AI33" s="933"/>
      <c r="AJ33" s="933"/>
      <c r="AK33" s="933"/>
      <c r="AL33" s="933"/>
      <c r="AM33" s="934"/>
      <c r="AN33" s="622"/>
    </row>
    <row r="34" spans="3:71" s="931" customFormat="1" ht="7.5" customHeight="1">
      <c r="C34" s="898"/>
      <c r="D34" s="943"/>
      <c r="E34" s="949"/>
      <c r="F34" s="949"/>
      <c r="G34" s="949"/>
      <c r="H34" s="949"/>
      <c r="I34" s="949"/>
      <c r="J34" s="949"/>
      <c r="K34" s="949"/>
      <c r="L34" s="949"/>
      <c r="M34" s="949"/>
      <c r="N34" s="949"/>
      <c r="O34" s="949"/>
      <c r="P34" s="949"/>
      <c r="Q34" s="949"/>
      <c r="R34" s="949"/>
      <c r="S34" s="949"/>
      <c r="T34" s="949"/>
      <c r="U34" s="949"/>
      <c r="V34" s="949"/>
      <c r="W34" s="949"/>
      <c r="X34" s="949"/>
      <c r="Y34" s="949"/>
      <c r="Z34" s="949"/>
      <c r="AA34" s="949"/>
      <c r="AB34" s="949"/>
      <c r="AC34" s="949"/>
      <c r="AD34" s="949"/>
      <c r="AE34" s="949"/>
      <c r="AF34" s="949"/>
      <c r="AG34" s="949"/>
      <c r="AH34" s="949"/>
      <c r="AI34" s="949"/>
      <c r="AJ34" s="949"/>
      <c r="AK34" s="949"/>
      <c r="AL34" s="949"/>
      <c r="AM34" s="950"/>
      <c r="AN34" s="622"/>
    </row>
    <row r="35" spans="3:71" s="914" customFormat="1" ht="7.5" customHeight="1">
      <c r="C35" s="898"/>
      <c r="D35" s="521"/>
      <c r="E35" s="521"/>
      <c r="F35" s="521"/>
      <c r="G35" s="521"/>
      <c r="H35" s="521"/>
      <c r="I35" s="521"/>
      <c r="J35" s="521"/>
      <c r="K35" s="521"/>
      <c r="L35" s="521"/>
      <c r="M35" s="521"/>
      <c r="N35" s="521"/>
      <c r="O35" s="521"/>
      <c r="P35" s="521"/>
      <c r="Q35" s="521"/>
      <c r="R35" s="521"/>
      <c r="S35" s="521"/>
      <c r="T35" s="521"/>
      <c r="U35" s="521"/>
      <c r="V35" s="521"/>
      <c r="W35" s="521"/>
      <c r="X35" s="521"/>
      <c r="Y35" s="521"/>
      <c r="Z35" s="521"/>
      <c r="AA35" s="521"/>
      <c r="AB35" s="521"/>
      <c r="AC35" s="521"/>
      <c r="AD35" s="521"/>
      <c r="AE35" s="521"/>
      <c r="AF35" s="521"/>
      <c r="AG35" s="521"/>
      <c r="AH35" s="521"/>
      <c r="AI35" s="521"/>
      <c r="AJ35" s="521"/>
      <c r="AK35" s="521"/>
      <c r="AL35" s="521"/>
      <c r="AM35" s="521"/>
      <c r="AN35" s="903"/>
    </row>
    <row r="36" spans="3:71" s="931" customFormat="1" ht="14.1" customHeight="1">
      <c r="C36" s="898"/>
      <c r="D36" s="922" t="s">
        <v>2196</v>
      </c>
      <c r="E36" s="923" t="s">
        <v>2343</v>
      </c>
      <c r="F36" s="900"/>
      <c r="G36" s="900"/>
      <c r="H36" s="900"/>
      <c r="I36" s="900"/>
      <c r="J36" s="900"/>
      <c r="K36" s="900"/>
      <c r="L36" s="900"/>
      <c r="M36" s="900"/>
      <c r="N36" s="900"/>
      <c r="O36" s="900"/>
      <c r="P36" s="900"/>
      <c r="Q36" s="900"/>
      <c r="R36" s="900"/>
      <c r="S36" s="900"/>
      <c r="T36" s="900"/>
      <c r="U36" s="900"/>
      <c r="V36" s="900"/>
      <c r="W36" s="900"/>
      <c r="X36" s="900"/>
      <c r="Y36" s="900"/>
      <c r="Z36" s="900"/>
      <c r="AA36" s="900"/>
      <c r="AB36" s="900"/>
      <c r="AC36" s="900"/>
      <c r="AD36" s="900"/>
      <c r="AE36" s="900"/>
      <c r="AF36" s="900"/>
      <c r="AG36" s="900"/>
      <c r="AH36" s="900"/>
      <c r="AI36" s="900"/>
      <c r="AJ36" s="900"/>
      <c r="AK36" s="900"/>
      <c r="AL36" s="900"/>
      <c r="AM36" s="900"/>
      <c r="AN36" s="622"/>
    </row>
    <row r="37" spans="3:71" s="931" customFormat="1" ht="2.1" customHeight="1">
      <c r="C37" s="898"/>
      <c r="F37" s="900"/>
      <c r="G37" s="900"/>
      <c r="H37" s="900"/>
      <c r="I37" s="900"/>
      <c r="J37" s="900"/>
      <c r="K37" s="900"/>
      <c r="L37" s="900"/>
      <c r="M37" s="900"/>
      <c r="N37" s="900"/>
      <c r="O37" s="900"/>
      <c r="P37" s="900"/>
      <c r="Q37" s="900"/>
      <c r="R37" s="900"/>
      <c r="S37" s="900"/>
      <c r="T37" s="900"/>
      <c r="U37" s="900"/>
      <c r="V37" s="900"/>
      <c r="W37" s="900"/>
      <c r="X37" s="900"/>
      <c r="Y37" s="900"/>
      <c r="Z37" s="900"/>
      <c r="AA37" s="900"/>
      <c r="AB37" s="900"/>
      <c r="AC37" s="900"/>
      <c r="AD37" s="900"/>
      <c r="AE37" s="900"/>
      <c r="AF37" s="900"/>
      <c r="AG37" s="900"/>
      <c r="AH37" s="900"/>
      <c r="AI37" s="900"/>
      <c r="AJ37" s="900"/>
      <c r="AK37" s="900"/>
      <c r="AL37" s="900"/>
      <c r="AM37" s="900"/>
      <c r="AN37" s="622"/>
    </row>
    <row r="38" spans="3:71" s="931" customFormat="1" ht="12.95" customHeight="1">
      <c r="C38" s="898"/>
      <c r="D38" s="925"/>
      <c r="E38" s="926"/>
      <c r="F38" s="926"/>
      <c r="G38" s="926"/>
      <c r="H38" s="926"/>
      <c r="I38" s="926"/>
      <c r="J38" s="926"/>
      <c r="K38" s="926"/>
      <c r="L38" s="926"/>
      <c r="M38" s="926"/>
      <c r="N38" s="926"/>
      <c r="O38" s="926"/>
      <c r="P38" s="926"/>
      <c r="Q38" s="926"/>
      <c r="R38" s="926"/>
      <c r="S38" s="926"/>
      <c r="T38" s="926"/>
      <c r="U38" s="926"/>
      <c r="V38" s="926"/>
      <c r="W38" s="926"/>
      <c r="X38" s="926"/>
      <c r="Y38" s="926"/>
      <c r="Z38" s="926"/>
      <c r="AA38" s="926"/>
      <c r="AB38" s="926"/>
      <c r="AC38" s="926"/>
      <c r="AD38" s="926"/>
      <c r="AE38" s="926"/>
      <c r="AF38" s="926"/>
      <c r="AG38" s="926"/>
      <c r="AH38" s="926"/>
      <c r="AI38" s="926"/>
      <c r="AJ38" s="926"/>
      <c r="AK38" s="926"/>
      <c r="AL38" s="926"/>
      <c r="AM38" s="927"/>
      <c r="AN38" s="622"/>
    </row>
    <row r="39" spans="3:71" s="931" customFormat="1" ht="12.95" customHeight="1">
      <c r="C39" s="898"/>
      <c r="D39" s="928"/>
      <c r="E39" s="951"/>
      <c r="F39" s="951"/>
      <c r="G39" s="951"/>
      <c r="H39" s="951"/>
      <c r="I39" s="951"/>
      <c r="J39" s="951"/>
      <c r="K39" s="951"/>
      <c r="L39" s="951"/>
      <c r="M39" s="951"/>
      <c r="N39" s="951"/>
      <c r="O39" s="900"/>
      <c r="P39" s="900"/>
      <c r="Q39" s="900"/>
      <c r="R39" s="900"/>
      <c r="S39" s="900"/>
      <c r="T39" s="900"/>
      <c r="U39" s="900"/>
      <c r="V39" s="900"/>
      <c r="W39" s="900"/>
      <c r="X39" s="900"/>
      <c r="Y39" s="900"/>
      <c r="Z39" s="900"/>
      <c r="AA39" s="900"/>
      <c r="AB39" s="900"/>
      <c r="AC39" s="900"/>
      <c r="AD39" s="900"/>
      <c r="AE39" s="900"/>
      <c r="AF39" s="900"/>
      <c r="AG39" s="900"/>
      <c r="AH39" s="900"/>
      <c r="AI39" s="900"/>
      <c r="AJ39" s="900"/>
      <c r="AK39" s="900"/>
      <c r="AL39" s="900"/>
      <c r="AM39" s="929"/>
      <c r="AN39" s="622"/>
    </row>
    <row r="40" spans="3:71" s="931" customFormat="1" ht="12.95" customHeight="1">
      <c r="C40" s="898"/>
      <c r="D40" s="928"/>
      <c r="E40" s="952"/>
      <c r="F40" s="900"/>
      <c r="G40" s="900"/>
      <c r="H40" s="900"/>
      <c r="I40" s="900"/>
      <c r="J40" s="900"/>
      <c r="K40" s="900"/>
      <c r="L40" s="900"/>
      <c r="M40" s="900"/>
      <c r="N40" s="900"/>
      <c r="O40" s="900"/>
      <c r="P40" s="900"/>
      <c r="Q40" s="900"/>
      <c r="R40" s="900"/>
      <c r="S40" s="900"/>
      <c r="T40" s="900"/>
      <c r="U40" s="900"/>
      <c r="V40" s="900"/>
      <c r="W40" s="900"/>
      <c r="X40" s="900"/>
      <c r="Y40" s="900"/>
      <c r="Z40" s="900"/>
      <c r="AA40" s="900"/>
      <c r="AB40" s="900"/>
      <c r="AC40" s="900"/>
      <c r="AD40" s="900"/>
      <c r="AE40" s="900"/>
      <c r="AF40" s="900"/>
      <c r="AG40" s="900"/>
      <c r="AH40" s="900"/>
      <c r="AI40" s="900"/>
      <c r="AJ40" s="900"/>
      <c r="AK40" s="900"/>
      <c r="AL40" s="900"/>
      <c r="AM40" s="929"/>
      <c r="AN40" s="622"/>
    </row>
    <row r="41" spans="3:71" s="931" customFormat="1" ht="12.95" customHeight="1">
      <c r="C41" s="898"/>
      <c r="D41" s="928"/>
      <c r="E41" s="900"/>
      <c r="F41" s="900"/>
      <c r="G41" s="900"/>
      <c r="H41" s="900"/>
      <c r="I41" s="900"/>
      <c r="J41" s="900"/>
      <c r="K41" s="900"/>
      <c r="L41" s="900"/>
      <c r="M41" s="900"/>
      <c r="N41" s="900"/>
      <c r="O41" s="900"/>
      <c r="P41" s="900"/>
      <c r="Q41" s="900"/>
      <c r="R41" s="900"/>
      <c r="S41" s="900"/>
      <c r="T41" s="900"/>
      <c r="U41" s="900"/>
      <c r="V41" s="900"/>
      <c r="W41" s="900"/>
      <c r="X41" s="900"/>
      <c r="Y41" s="900"/>
      <c r="Z41" s="900"/>
      <c r="AA41" s="900"/>
      <c r="AB41" s="900"/>
      <c r="AC41" s="900"/>
      <c r="AD41" s="900"/>
      <c r="AE41" s="900"/>
      <c r="AF41" s="900"/>
      <c r="AG41" s="900"/>
      <c r="AH41" s="900"/>
      <c r="AI41" s="900"/>
      <c r="AJ41" s="900"/>
      <c r="AK41" s="900"/>
      <c r="AL41" s="900"/>
      <c r="AM41" s="929"/>
      <c r="AN41" s="622"/>
    </row>
    <row r="42" spans="3:71" s="931" customFormat="1" ht="12.95" customHeight="1">
      <c r="C42" s="898"/>
      <c r="D42" s="928"/>
      <c r="E42" s="900"/>
      <c r="F42" s="900"/>
      <c r="G42" s="900"/>
      <c r="H42" s="900"/>
      <c r="I42" s="900"/>
      <c r="J42" s="900"/>
      <c r="K42" s="900"/>
      <c r="L42" s="900"/>
      <c r="M42" s="900"/>
      <c r="N42" s="900"/>
      <c r="O42" s="900"/>
      <c r="P42" s="900"/>
      <c r="Q42" s="900"/>
      <c r="R42" s="900"/>
      <c r="S42" s="900"/>
      <c r="T42" s="900"/>
      <c r="U42" s="900"/>
      <c r="V42" s="900"/>
      <c r="W42" s="900"/>
      <c r="X42" s="900"/>
      <c r="Y42" s="900"/>
      <c r="Z42" s="900"/>
      <c r="AA42" s="900"/>
      <c r="AB42" s="900"/>
      <c r="AC42" s="900"/>
      <c r="AD42" s="900"/>
      <c r="AE42" s="900"/>
      <c r="AF42" s="900"/>
      <c r="AG42" s="900"/>
      <c r="AH42" s="900"/>
      <c r="AI42" s="900"/>
      <c r="AJ42" s="900"/>
      <c r="AK42" s="900"/>
      <c r="AL42" s="900"/>
      <c r="AM42" s="929"/>
      <c r="AN42" s="622"/>
    </row>
    <row r="43" spans="3:71" s="931" customFormat="1" ht="12.95" customHeight="1">
      <c r="C43" s="898"/>
      <c r="D43" s="928"/>
      <c r="E43" s="900"/>
      <c r="F43" s="900"/>
      <c r="G43" s="900"/>
      <c r="H43" s="900"/>
      <c r="I43" s="900"/>
      <c r="J43" s="900"/>
      <c r="K43" s="900"/>
      <c r="L43" s="900"/>
      <c r="M43" s="900"/>
      <c r="N43" s="900"/>
      <c r="O43" s="900"/>
      <c r="P43" s="900"/>
      <c r="Q43" s="900"/>
      <c r="R43" s="900"/>
      <c r="S43" s="900"/>
      <c r="T43" s="900"/>
      <c r="U43" s="900"/>
      <c r="V43" s="900"/>
      <c r="W43" s="900"/>
      <c r="X43" s="900"/>
      <c r="Y43" s="900"/>
      <c r="Z43" s="900"/>
      <c r="AA43" s="900"/>
      <c r="AB43" s="900"/>
      <c r="AC43" s="900"/>
      <c r="AD43" s="900"/>
      <c r="AE43" s="900"/>
      <c r="AF43" s="900"/>
      <c r="AG43" s="900"/>
      <c r="AH43" s="900"/>
      <c r="AI43" s="900"/>
      <c r="AJ43" s="900"/>
      <c r="AK43" s="900"/>
      <c r="AL43" s="900"/>
      <c r="AM43" s="929"/>
      <c r="AN43" s="622"/>
      <c r="BB43" s="933"/>
      <c r="BD43" s="933"/>
      <c r="BE43" s="933"/>
      <c r="BF43" s="933"/>
      <c r="BG43" s="933"/>
      <c r="BH43" s="933"/>
      <c r="BI43" s="933"/>
      <c r="BJ43" s="933"/>
      <c r="BK43" s="933"/>
      <c r="BL43" s="933"/>
      <c r="BM43" s="933"/>
      <c r="BN43" s="933"/>
    </row>
    <row r="44" spans="3:71" s="931" customFormat="1" ht="12.95" customHeight="1">
      <c r="C44" s="898"/>
      <c r="D44" s="928"/>
      <c r="E44" s="900"/>
      <c r="F44" s="900"/>
      <c r="G44" s="900"/>
      <c r="H44" s="900"/>
      <c r="I44" s="900"/>
      <c r="J44" s="900"/>
      <c r="K44" s="900"/>
      <c r="L44" s="900"/>
      <c r="M44" s="900"/>
      <c r="N44" s="900"/>
      <c r="O44" s="900"/>
      <c r="P44" s="900"/>
      <c r="Q44" s="900"/>
      <c r="R44" s="900"/>
      <c r="S44" s="900"/>
      <c r="T44" s="900"/>
      <c r="U44" s="900"/>
      <c r="V44" s="900"/>
      <c r="W44" s="900"/>
      <c r="X44" s="900"/>
      <c r="Y44" s="900"/>
      <c r="Z44" s="900"/>
      <c r="AA44" s="900"/>
      <c r="AB44" s="900"/>
      <c r="AC44" s="900"/>
      <c r="AD44" s="900"/>
      <c r="AE44" s="900"/>
      <c r="AF44" s="900"/>
      <c r="AG44" s="900"/>
      <c r="AH44" s="900"/>
      <c r="AI44" s="900"/>
      <c r="AJ44" s="900"/>
      <c r="AK44" s="900"/>
      <c r="AL44" s="900"/>
      <c r="AM44" s="929"/>
      <c r="AN44" s="622"/>
      <c r="AQ44" s="1016" t="s">
        <v>2363</v>
      </c>
      <c r="AR44" s="1018"/>
      <c r="AS44" s="1018"/>
      <c r="AT44" s="1018"/>
      <c r="AU44" s="1018"/>
      <c r="AV44" s="1018"/>
      <c r="AW44" s="1018"/>
      <c r="AX44" s="1018"/>
      <c r="AY44" s="1018"/>
      <c r="AZ44" s="1018"/>
      <c r="BA44" s="1018"/>
      <c r="BB44" s="933"/>
      <c r="BD44" s="933"/>
      <c r="BE44" s="933"/>
      <c r="BF44" s="933"/>
      <c r="BG44" s="933"/>
      <c r="BH44" s="933"/>
      <c r="BI44" s="933"/>
      <c r="BJ44" s="933"/>
      <c r="BK44" s="933"/>
      <c r="BL44" s="933"/>
      <c r="BM44" s="933"/>
      <c r="BN44" s="937"/>
      <c r="BP44" s="1025" t="s">
        <v>2368</v>
      </c>
      <c r="BQ44" s="1018"/>
    </row>
    <row r="45" spans="3:71" ht="12.95" customHeight="1">
      <c r="C45" s="898"/>
      <c r="D45" s="928"/>
      <c r="E45" s="900"/>
      <c r="F45" s="900"/>
      <c r="G45" s="900"/>
      <c r="H45" s="900"/>
      <c r="I45" s="900"/>
      <c r="J45" s="900"/>
      <c r="K45" s="900"/>
      <c r="L45" s="900"/>
      <c r="M45" s="900"/>
      <c r="N45" s="900"/>
      <c r="O45" s="900"/>
      <c r="P45" s="900"/>
      <c r="Q45" s="900"/>
      <c r="R45" s="900"/>
      <c r="S45" s="900"/>
      <c r="T45" s="900"/>
      <c r="U45" s="900"/>
      <c r="V45" s="900"/>
      <c r="W45" s="900"/>
      <c r="X45" s="900"/>
      <c r="Y45" s="900"/>
      <c r="Z45" s="900"/>
      <c r="AA45" s="900"/>
      <c r="AB45" s="900"/>
      <c r="AC45" s="900"/>
      <c r="AD45" s="900"/>
      <c r="AE45" s="900"/>
      <c r="AF45" s="900"/>
      <c r="AG45" s="900"/>
      <c r="AH45" s="900"/>
      <c r="AI45" s="900"/>
      <c r="AJ45" s="900"/>
      <c r="AK45" s="900"/>
      <c r="AL45" s="900"/>
      <c r="AM45" s="929"/>
      <c r="AN45" s="901"/>
      <c r="AQ45" s="1019" t="s">
        <v>1822</v>
      </c>
      <c r="AR45" s="1017" t="s">
        <v>2367</v>
      </c>
      <c r="AS45" s="1017"/>
      <c r="AT45" s="1017"/>
      <c r="AU45" s="1017"/>
      <c r="AV45" s="1017"/>
      <c r="AW45" s="1019" t="s">
        <v>2364</v>
      </c>
      <c r="AX45" s="1020" t="s">
        <v>1984</v>
      </c>
      <c r="AY45" s="2554">
        <f>Tnh!AK105</f>
        <v>249</v>
      </c>
      <c r="AZ45" s="2554"/>
      <c r="BA45" s="1017" t="s">
        <v>2365</v>
      </c>
      <c r="BB45" s="933"/>
      <c r="BC45" s="931"/>
      <c r="BD45" s="931"/>
      <c r="BE45" s="933"/>
      <c r="BF45" s="933"/>
      <c r="BG45" s="933"/>
      <c r="BH45" s="933"/>
      <c r="BI45" s="933"/>
      <c r="BJ45" s="933"/>
      <c r="BK45" s="933"/>
      <c r="BL45" s="933"/>
      <c r="BM45" s="933"/>
      <c r="BN45" s="940"/>
      <c r="BO45" s="933"/>
      <c r="BP45" s="1026" t="s">
        <v>1822</v>
      </c>
      <c r="BQ45" s="1018" t="s">
        <v>2369</v>
      </c>
      <c r="BR45" s="931"/>
      <c r="BS45" s="931"/>
    </row>
    <row r="46" spans="3:71" s="914" customFormat="1" ht="12.95" customHeight="1">
      <c r="C46" s="898"/>
      <c r="D46" s="928"/>
      <c r="E46" s="900"/>
      <c r="F46" s="900"/>
      <c r="G46" s="900"/>
      <c r="H46" s="900"/>
      <c r="I46" s="900"/>
      <c r="J46" s="900"/>
      <c r="K46" s="900"/>
      <c r="L46" s="900"/>
      <c r="M46" s="900"/>
      <c r="N46" s="900"/>
      <c r="O46" s="900"/>
      <c r="P46" s="900"/>
      <c r="Q46" s="900"/>
      <c r="R46" s="900"/>
      <c r="S46" s="900"/>
      <c r="T46" s="900"/>
      <c r="U46" s="900"/>
      <c r="V46" s="900"/>
      <c r="W46" s="900"/>
      <c r="X46" s="900"/>
      <c r="Y46" s="900"/>
      <c r="Z46" s="900"/>
      <c r="AA46" s="900"/>
      <c r="AB46" s="900"/>
      <c r="AC46" s="900"/>
      <c r="AD46" s="900"/>
      <c r="AE46" s="900"/>
      <c r="AF46" s="900"/>
      <c r="AG46" s="900"/>
      <c r="AH46" s="900"/>
      <c r="AI46" s="900"/>
      <c r="AJ46" s="900"/>
      <c r="AK46" s="900"/>
      <c r="AL46" s="900"/>
      <c r="AM46" s="929"/>
      <c r="AN46" s="903"/>
      <c r="AQ46" s="1019" t="s">
        <v>1823</v>
      </c>
      <c r="AR46" s="1017" t="s">
        <v>2367</v>
      </c>
      <c r="AS46" s="1017"/>
      <c r="AT46" s="1017"/>
      <c r="AU46" s="1017"/>
      <c r="AV46" s="1017"/>
      <c r="AW46" s="1019" t="s">
        <v>2364</v>
      </c>
      <c r="AX46" s="1020" t="s">
        <v>1984</v>
      </c>
      <c r="AY46" s="2554">
        <f>Tnh!AK106</f>
        <v>0</v>
      </c>
      <c r="AZ46" s="2554"/>
      <c r="BA46" s="1017" t="s">
        <v>2365</v>
      </c>
      <c r="BB46" s="931"/>
      <c r="BC46" s="931"/>
      <c r="BD46" s="931"/>
      <c r="BE46" s="933"/>
      <c r="BF46" s="933"/>
      <c r="BG46" s="933"/>
      <c r="BH46" s="933"/>
      <c r="BI46" s="933"/>
      <c r="BJ46" s="933"/>
      <c r="BK46" s="933"/>
      <c r="BL46" s="933"/>
      <c r="BM46" s="933"/>
      <c r="BN46" s="942"/>
      <c r="BO46" s="933"/>
      <c r="BP46" s="1026" t="s">
        <v>1823</v>
      </c>
      <c r="BQ46" s="1018" t="s">
        <v>2369</v>
      </c>
      <c r="BR46" s="939"/>
      <c r="BS46" s="931"/>
    </row>
    <row r="47" spans="3:71" s="931" customFormat="1" ht="12.95" customHeight="1">
      <c r="C47" s="898"/>
      <c r="D47" s="928"/>
      <c r="E47" s="900"/>
      <c r="F47" s="900"/>
      <c r="G47" s="900"/>
      <c r="H47" s="900"/>
      <c r="I47" s="900"/>
      <c r="J47" s="900"/>
      <c r="K47" s="900"/>
      <c r="L47" s="900"/>
      <c r="M47" s="900"/>
      <c r="N47" s="900"/>
      <c r="O47" s="900"/>
      <c r="P47" s="900"/>
      <c r="Q47" s="900"/>
      <c r="R47" s="900"/>
      <c r="S47" s="900"/>
      <c r="T47" s="900"/>
      <c r="U47" s="900"/>
      <c r="V47" s="900"/>
      <c r="W47" s="900"/>
      <c r="X47" s="900"/>
      <c r="Y47" s="900"/>
      <c r="Z47" s="900"/>
      <c r="AA47" s="900"/>
      <c r="AB47" s="900"/>
      <c r="AC47" s="900"/>
      <c r="AD47" s="900"/>
      <c r="AE47" s="900"/>
      <c r="AF47" s="900"/>
      <c r="AG47" s="900"/>
      <c r="AH47" s="900"/>
      <c r="AI47" s="900"/>
      <c r="AJ47" s="900"/>
      <c r="AK47" s="900"/>
      <c r="AL47" s="900"/>
      <c r="AM47" s="929"/>
      <c r="AN47" s="622"/>
      <c r="AQ47" s="1021"/>
      <c r="AR47" s="1021"/>
      <c r="AS47" s="1021"/>
      <c r="AT47" s="1021"/>
      <c r="AU47" s="1021"/>
      <c r="AV47" s="1021"/>
      <c r="AW47" s="1022" t="s">
        <v>2366</v>
      </c>
      <c r="AX47" s="1023" t="s">
        <v>1984</v>
      </c>
      <c r="AY47" s="2555">
        <f>Tnh!AK110</f>
        <v>249</v>
      </c>
      <c r="AZ47" s="2555"/>
      <c r="BA47" s="1024" t="s">
        <v>2365</v>
      </c>
      <c r="BE47" s="933"/>
      <c r="BF47" s="933"/>
      <c r="BG47" s="933"/>
      <c r="BH47" s="933"/>
      <c r="BI47" s="933"/>
      <c r="BJ47" s="933"/>
      <c r="BK47" s="933"/>
      <c r="BL47" s="933"/>
      <c r="BM47" s="933"/>
      <c r="BN47" s="933"/>
      <c r="BO47" s="933"/>
      <c r="BP47" s="933"/>
      <c r="BQ47" s="933"/>
      <c r="BR47" s="933"/>
      <c r="BS47" s="933"/>
    </row>
    <row r="48" spans="3:71" s="931" customFormat="1" ht="12.95" customHeight="1">
      <c r="C48" s="898"/>
      <c r="D48" s="928"/>
      <c r="E48" s="900"/>
      <c r="F48" s="900"/>
      <c r="G48" s="900"/>
      <c r="H48" s="900"/>
      <c r="I48" s="900"/>
      <c r="J48" s="900"/>
      <c r="K48" s="900"/>
      <c r="L48" s="900"/>
      <c r="M48" s="900"/>
      <c r="N48" s="900"/>
      <c r="O48" s="900"/>
      <c r="P48" s="900"/>
      <c r="Q48" s="900"/>
      <c r="R48" s="900"/>
      <c r="S48" s="900"/>
      <c r="T48" s="900"/>
      <c r="U48" s="900"/>
      <c r="V48" s="900"/>
      <c r="W48" s="900"/>
      <c r="X48" s="900"/>
      <c r="Y48" s="900"/>
      <c r="Z48" s="900"/>
      <c r="AA48" s="900"/>
      <c r="AB48" s="900"/>
      <c r="AC48" s="900"/>
      <c r="AD48" s="900"/>
      <c r="AE48" s="900"/>
      <c r="AF48" s="900"/>
      <c r="AG48" s="900"/>
      <c r="AH48" s="900"/>
      <c r="AI48" s="900"/>
      <c r="AJ48" s="900"/>
      <c r="AK48" s="900"/>
      <c r="AL48" s="900"/>
      <c r="AM48" s="929"/>
      <c r="AN48" s="622"/>
      <c r="AQ48" s="944"/>
      <c r="AR48" s="944"/>
      <c r="AS48" s="944"/>
      <c r="AT48" s="944"/>
      <c r="AU48" s="944"/>
      <c r="AV48" s="945"/>
      <c r="AW48" s="946"/>
      <c r="AX48" s="947"/>
      <c r="AY48" s="947"/>
      <c r="AZ48" s="947"/>
      <c r="BA48" s="948"/>
      <c r="BB48" s="949"/>
      <c r="BC48" s="949"/>
      <c r="BD48" s="949"/>
      <c r="BE48" s="949"/>
      <c r="BF48" s="949"/>
      <c r="BG48" s="949"/>
      <c r="BH48" s="949"/>
      <c r="BI48" s="949"/>
      <c r="BJ48" s="949"/>
      <c r="BK48" s="949"/>
      <c r="BL48" s="949"/>
      <c r="BM48" s="949"/>
      <c r="BN48" s="949"/>
      <c r="BO48" s="949"/>
      <c r="BP48" s="949"/>
      <c r="BQ48" s="949"/>
      <c r="BR48" s="949"/>
      <c r="BS48" s="949"/>
    </row>
    <row r="49" spans="3:40" s="914" customFormat="1" ht="12.95" customHeight="1">
      <c r="C49" s="898"/>
      <c r="D49" s="928"/>
      <c r="E49" s="900"/>
      <c r="F49" s="900"/>
      <c r="G49" s="900"/>
      <c r="H49" s="900"/>
      <c r="I49" s="900"/>
      <c r="J49" s="900"/>
      <c r="K49" s="900"/>
      <c r="L49" s="900"/>
      <c r="M49" s="900"/>
      <c r="N49" s="900"/>
      <c r="O49" s="900"/>
      <c r="P49" s="900"/>
      <c r="Q49" s="900"/>
      <c r="R49" s="900"/>
      <c r="S49" s="900"/>
      <c r="T49" s="900"/>
      <c r="U49" s="900"/>
      <c r="V49" s="900"/>
      <c r="W49" s="900"/>
      <c r="X49" s="900"/>
      <c r="Y49" s="900"/>
      <c r="Z49" s="900"/>
      <c r="AA49" s="900"/>
      <c r="AB49" s="900"/>
      <c r="AC49" s="900"/>
      <c r="AD49" s="900"/>
      <c r="AE49" s="900"/>
      <c r="AF49" s="900"/>
      <c r="AG49" s="900"/>
      <c r="AH49" s="900"/>
      <c r="AI49" s="900"/>
      <c r="AJ49" s="900"/>
      <c r="AK49" s="900"/>
      <c r="AL49" s="900"/>
      <c r="AM49" s="929"/>
      <c r="AN49" s="903"/>
    </row>
    <row r="50" spans="3:40" ht="12.95" customHeight="1">
      <c r="C50" s="898"/>
      <c r="D50" s="928"/>
      <c r="E50" s="900"/>
      <c r="F50" s="900"/>
      <c r="G50" s="900"/>
      <c r="H50" s="900"/>
      <c r="I50" s="900"/>
      <c r="J50" s="900"/>
      <c r="K50" s="900"/>
      <c r="L50" s="900"/>
      <c r="M50" s="900"/>
      <c r="N50" s="900"/>
      <c r="O50" s="900"/>
      <c r="P50" s="900"/>
      <c r="Q50" s="900"/>
      <c r="R50" s="900"/>
      <c r="S50" s="900"/>
      <c r="T50" s="900"/>
      <c r="U50" s="900"/>
      <c r="V50" s="900"/>
      <c r="W50" s="900"/>
      <c r="X50" s="900"/>
      <c r="Y50" s="900"/>
      <c r="Z50" s="900"/>
      <c r="AA50" s="900"/>
      <c r="AB50" s="900"/>
      <c r="AC50" s="900"/>
      <c r="AD50" s="900"/>
      <c r="AE50" s="900"/>
      <c r="AF50" s="900"/>
      <c r="AG50" s="900"/>
      <c r="AH50" s="900"/>
      <c r="AI50" s="900"/>
      <c r="AJ50" s="900"/>
      <c r="AK50" s="900"/>
      <c r="AL50" s="900"/>
      <c r="AM50" s="929"/>
      <c r="AN50" s="901"/>
    </row>
    <row r="51" spans="3:40" ht="12.95" customHeight="1">
      <c r="C51" s="898"/>
      <c r="D51" s="928"/>
      <c r="E51" s="900"/>
      <c r="F51" s="900"/>
      <c r="G51" s="900"/>
      <c r="H51" s="900"/>
      <c r="I51" s="900"/>
      <c r="J51" s="900"/>
      <c r="K51" s="900"/>
      <c r="L51" s="900"/>
      <c r="M51" s="900"/>
      <c r="N51" s="900"/>
      <c r="O51" s="900"/>
      <c r="P51" s="900"/>
      <c r="Q51" s="900"/>
      <c r="R51" s="900"/>
      <c r="S51" s="900"/>
      <c r="T51" s="900"/>
      <c r="U51" s="900"/>
      <c r="V51" s="900"/>
      <c r="W51" s="900"/>
      <c r="X51" s="900"/>
      <c r="Y51" s="900"/>
      <c r="Z51" s="900"/>
      <c r="AA51" s="900"/>
      <c r="AB51" s="900"/>
      <c r="AC51" s="900"/>
      <c r="AD51" s="900"/>
      <c r="AE51" s="900"/>
      <c r="AF51" s="900"/>
      <c r="AG51" s="900"/>
      <c r="AH51" s="900"/>
      <c r="AI51" s="900"/>
      <c r="AJ51" s="900"/>
      <c r="AK51" s="900"/>
      <c r="AL51" s="900"/>
      <c r="AM51" s="929"/>
      <c r="AN51" s="901"/>
    </row>
    <row r="52" spans="3:40" ht="12.95" customHeight="1">
      <c r="C52" s="898"/>
      <c r="D52" s="928"/>
      <c r="E52" s="900"/>
      <c r="F52" s="900"/>
      <c r="G52" s="900"/>
      <c r="H52" s="900"/>
      <c r="I52" s="900"/>
      <c r="J52" s="900"/>
      <c r="K52" s="900"/>
      <c r="L52" s="900"/>
      <c r="M52" s="900"/>
      <c r="N52" s="900"/>
      <c r="O52" s="900"/>
      <c r="P52" s="900"/>
      <c r="Q52" s="900"/>
      <c r="R52" s="900"/>
      <c r="S52" s="900"/>
      <c r="T52" s="900"/>
      <c r="U52" s="900"/>
      <c r="V52" s="900"/>
      <c r="W52" s="900"/>
      <c r="X52" s="900"/>
      <c r="Y52" s="900"/>
      <c r="Z52" s="900"/>
      <c r="AA52" s="900"/>
      <c r="AB52" s="900"/>
      <c r="AC52" s="900"/>
      <c r="AD52" s="900"/>
      <c r="AE52" s="900"/>
      <c r="AF52" s="900"/>
      <c r="AG52" s="900"/>
      <c r="AH52" s="900"/>
      <c r="AI52" s="900"/>
      <c r="AJ52" s="900"/>
      <c r="AK52" s="900"/>
      <c r="AL52" s="900"/>
      <c r="AM52" s="929"/>
      <c r="AN52" s="901"/>
    </row>
    <row r="53" spans="3:40" ht="12.95" customHeight="1">
      <c r="C53" s="898"/>
      <c r="D53" s="928"/>
      <c r="E53" s="900"/>
      <c r="F53" s="900"/>
      <c r="G53" s="900"/>
      <c r="H53" s="900"/>
      <c r="I53" s="900"/>
      <c r="J53" s="900"/>
      <c r="K53" s="900"/>
      <c r="L53" s="900"/>
      <c r="M53" s="900"/>
      <c r="N53" s="900"/>
      <c r="O53" s="900"/>
      <c r="P53" s="900"/>
      <c r="Q53" s="900"/>
      <c r="R53" s="900"/>
      <c r="S53" s="900"/>
      <c r="T53" s="900"/>
      <c r="U53" s="900"/>
      <c r="V53" s="900"/>
      <c r="W53" s="900"/>
      <c r="X53" s="900"/>
      <c r="Y53" s="900"/>
      <c r="Z53" s="900"/>
      <c r="AA53" s="900"/>
      <c r="AB53" s="900"/>
      <c r="AC53" s="900"/>
      <c r="AD53" s="900"/>
      <c r="AE53" s="900"/>
      <c r="AF53" s="900"/>
      <c r="AG53" s="900"/>
      <c r="AH53" s="900"/>
      <c r="AI53" s="900"/>
      <c r="AJ53" s="900"/>
      <c r="AK53" s="900"/>
      <c r="AL53" s="900"/>
      <c r="AM53" s="929"/>
      <c r="AN53" s="901"/>
    </row>
    <row r="54" spans="3:40" ht="12.95" customHeight="1">
      <c r="C54" s="898"/>
      <c r="D54" s="928"/>
      <c r="E54" s="900"/>
      <c r="F54" s="900"/>
      <c r="G54" s="900"/>
      <c r="H54" s="900"/>
      <c r="I54" s="900"/>
      <c r="J54" s="900"/>
      <c r="K54" s="900"/>
      <c r="L54" s="900"/>
      <c r="M54" s="900"/>
      <c r="N54" s="900"/>
      <c r="O54" s="900"/>
      <c r="P54" s="900"/>
      <c r="Q54" s="900"/>
      <c r="R54" s="900"/>
      <c r="S54" s="900"/>
      <c r="T54" s="900"/>
      <c r="U54" s="900"/>
      <c r="V54" s="900"/>
      <c r="W54" s="900"/>
      <c r="X54" s="900"/>
      <c r="Y54" s="900"/>
      <c r="Z54" s="900"/>
      <c r="AA54" s="900"/>
      <c r="AB54" s="900"/>
      <c r="AC54" s="900"/>
      <c r="AD54" s="900"/>
      <c r="AE54" s="900"/>
      <c r="AF54" s="900"/>
      <c r="AG54" s="900"/>
      <c r="AH54" s="900"/>
      <c r="AI54" s="900"/>
      <c r="AJ54" s="900"/>
      <c r="AK54" s="900"/>
      <c r="AL54" s="900"/>
      <c r="AM54" s="929"/>
      <c r="AN54" s="901"/>
    </row>
    <row r="55" spans="3:40" ht="12.95" customHeight="1">
      <c r="C55" s="898"/>
      <c r="D55" s="928"/>
      <c r="E55" s="900"/>
      <c r="F55" s="900"/>
      <c r="G55" s="900"/>
      <c r="H55" s="900"/>
      <c r="I55" s="900"/>
      <c r="J55" s="900"/>
      <c r="K55" s="900"/>
      <c r="L55" s="900"/>
      <c r="M55" s="900"/>
      <c r="N55" s="900"/>
      <c r="O55" s="900"/>
      <c r="P55" s="900"/>
      <c r="Q55" s="900"/>
      <c r="R55" s="900"/>
      <c r="S55" s="900"/>
      <c r="T55" s="900"/>
      <c r="U55" s="900"/>
      <c r="V55" s="900"/>
      <c r="W55" s="900"/>
      <c r="X55" s="900"/>
      <c r="Y55" s="900"/>
      <c r="Z55" s="900"/>
      <c r="AA55" s="900"/>
      <c r="AB55" s="900"/>
      <c r="AC55" s="900"/>
      <c r="AD55" s="900"/>
      <c r="AE55" s="900"/>
      <c r="AF55" s="900"/>
      <c r="AG55" s="900"/>
      <c r="AH55" s="900"/>
      <c r="AI55" s="900"/>
      <c r="AJ55" s="900"/>
      <c r="AK55" s="900"/>
      <c r="AL55" s="900"/>
      <c r="AM55" s="929"/>
      <c r="AN55" s="901"/>
    </row>
    <row r="56" spans="3:40" ht="12.95" customHeight="1">
      <c r="C56" s="898"/>
      <c r="D56" s="928"/>
      <c r="E56" s="900"/>
      <c r="F56" s="900"/>
      <c r="G56" s="900"/>
      <c r="H56" s="900"/>
      <c r="I56" s="900"/>
      <c r="J56" s="900"/>
      <c r="K56" s="900"/>
      <c r="L56" s="900"/>
      <c r="M56" s="900"/>
      <c r="N56" s="900"/>
      <c r="O56" s="900"/>
      <c r="P56" s="900"/>
      <c r="Q56" s="900"/>
      <c r="R56" s="900"/>
      <c r="S56" s="900"/>
      <c r="T56" s="900"/>
      <c r="U56" s="900"/>
      <c r="V56" s="900"/>
      <c r="W56" s="900"/>
      <c r="X56" s="900"/>
      <c r="Y56" s="900"/>
      <c r="Z56" s="900"/>
      <c r="AA56" s="900"/>
      <c r="AB56" s="900"/>
      <c r="AC56" s="900"/>
      <c r="AD56" s="900"/>
      <c r="AE56" s="900"/>
      <c r="AF56" s="900"/>
      <c r="AG56" s="900"/>
      <c r="AH56" s="900"/>
      <c r="AI56" s="900"/>
      <c r="AJ56" s="900"/>
      <c r="AK56" s="900"/>
      <c r="AL56" s="900"/>
      <c r="AM56" s="929"/>
      <c r="AN56" s="901"/>
    </row>
    <row r="57" spans="3:40" s="931" customFormat="1" ht="12.95" customHeight="1">
      <c r="C57" s="898"/>
      <c r="D57" s="928"/>
      <c r="E57" s="900"/>
      <c r="F57" s="900"/>
      <c r="G57" s="900"/>
      <c r="H57" s="900"/>
      <c r="I57" s="900"/>
      <c r="J57" s="900"/>
      <c r="K57" s="900"/>
      <c r="L57" s="900"/>
      <c r="M57" s="900"/>
      <c r="N57" s="900"/>
      <c r="O57" s="900"/>
      <c r="P57" s="900"/>
      <c r="Q57" s="900"/>
      <c r="R57" s="900"/>
      <c r="S57" s="900"/>
      <c r="T57" s="900"/>
      <c r="U57" s="900"/>
      <c r="V57" s="900"/>
      <c r="W57" s="900"/>
      <c r="X57" s="900"/>
      <c r="Y57" s="900"/>
      <c r="Z57" s="900"/>
      <c r="AA57" s="900"/>
      <c r="AB57" s="900"/>
      <c r="AC57" s="900"/>
      <c r="AD57" s="900"/>
      <c r="AE57" s="900"/>
      <c r="AF57" s="900"/>
      <c r="AG57" s="900"/>
      <c r="AH57" s="900"/>
      <c r="AI57" s="900"/>
      <c r="AJ57" s="900"/>
      <c r="AK57" s="900"/>
      <c r="AL57" s="900"/>
      <c r="AM57" s="929"/>
      <c r="AN57" s="622"/>
    </row>
    <row r="58" spans="3:40" s="931" customFormat="1" ht="12.95" customHeight="1">
      <c r="C58" s="898"/>
      <c r="D58" s="928"/>
      <c r="E58" s="900"/>
      <c r="F58" s="900"/>
      <c r="G58" s="900"/>
      <c r="H58" s="900"/>
      <c r="I58" s="900"/>
      <c r="J58" s="900"/>
      <c r="K58" s="900"/>
      <c r="L58" s="900"/>
      <c r="M58" s="900"/>
      <c r="N58" s="900"/>
      <c r="O58" s="900"/>
      <c r="P58" s="900"/>
      <c r="Q58" s="900"/>
      <c r="R58" s="900"/>
      <c r="S58" s="900"/>
      <c r="T58" s="900"/>
      <c r="U58" s="900"/>
      <c r="V58" s="900"/>
      <c r="W58" s="900"/>
      <c r="X58" s="900"/>
      <c r="Y58" s="900"/>
      <c r="Z58" s="900"/>
      <c r="AA58" s="900"/>
      <c r="AB58" s="900"/>
      <c r="AC58" s="900"/>
      <c r="AD58" s="900"/>
      <c r="AE58" s="900"/>
      <c r="AF58" s="900"/>
      <c r="AG58" s="900"/>
      <c r="AH58" s="900"/>
      <c r="AI58" s="900"/>
      <c r="AJ58" s="900"/>
      <c r="AK58" s="900"/>
      <c r="AL58" s="900"/>
      <c r="AM58" s="929"/>
      <c r="AN58" s="622"/>
    </row>
    <row r="59" spans="3:40" s="931" customFormat="1" ht="12.95" customHeight="1">
      <c r="C59" s="898"/>
      <c r="D59" s="928"/>
      <c r="E59" s="900"/>
      <c r="F59" s="900"/>
      <c r="G59" s="900"/>
      <c r="H59" s="900"/>
      <c r="I59" s="900"/>
      <c r="J59" s="900"/>
      <c r="K59" s="900"/>
      <c r="L59" s="900"/>
      <c r="M59" s="900"/>
      <c r="N59" s="900"/>
      <c r="O59" s="900"/>
      <c r="P59" s="900"/>
      <c r="Q59" s="900"/>
      <c r="R59" s="900"/>
      <c r="S59" s="900"/>
      <c r="T59" s="900"/>
      <c r="U59" s="900"/>
      <c r="V59" s="900"/>
      <c r="W59" s="900"/>
      <c r="X59" s="900"/>
      <c r="Y59" s="900"/>
      <c r="Z59" s="900"/>
      <c r="AA59" s="900"/>
      <c r="AB59" s="900"/>
      <c r="AC59" s="900"/>
      <c r="AD59" s="900"/>
      <c r="AE59" s="900"/>
      <c r="AF59" s="900"/>
      <c r="AG59" s="900"/>
      <c r="AH59" s="900"/>
      <c r="AI59" s="900"/>
      <c r="AJ59" s="900"/>
      <c r="AK59" s="900"/>
      <c r="AL59" s="900"/>
      <c r="AM59" s="929"/>
      <c r="AN59" s="622"/>
    </row>
    <row r="60" spans="3:40" s="931" customFormat="1" ht="12.95" customHeight="1">
      <c r="C60" s="898"/>
      <c r="D60" s="928"/>
      <c r="E60" s="900"/>
      <c r="F60" s="900"/>
      <c r="G60" s="900"/>
      <c r="H60" s="900"/>
      <c r="I60" s="900"/>
      <c r="J60" s="900"/>
      <c r="K60" s="900"/>
      <c r="L60" s="900"/>
      <c r="M60" s="900"/>
      <c r="N60" s="900"/>
      <c r="O60" s="900"/>
      <c r="P60" s="900"/>
      <c r="Q60" s="900"/>
      <c r="R60" s="900"/>
      <c r="S60" s="900"/>
      <c r="T60" s="900"/>
      <c r="U60" s="900"/>
      <c r="V60" s="900"/>
      <c r="W60" s="900"/>
      <c r="X60" s="900"/>
      <c r="Y60" s="900"/>
      <c r="Z60" s="900"/>
      <c r="AA60" s="900"/>
      <c r="AB60" s="900"/>
      <c r="AC60" s="900"/>
      <c r="AD60" s="900"/>
      <c r="AE60" s="900"/>
      <c r="AF60" s="900"/>
      <c r="AG60" s="900"/>
      <c r="AH60" s="900"/>
      <c r="AI60" s="900"/>
      <c r="AJ60" s="900"/>
      <c r="AK60" s="900"/>
      <c r="AL60" s="900"/>
      <c r="AM60" s="929"/>
      <c r="AN60" s="622"/>
    </row>
    <row r="61" spans="3:40" s="931" customFormat="1" ht="12.95" customHeight="1">
      <c r="C61" s="898"/>
      <c r="D61" s="928"/>
      <c r="E61" s="900"/>
      <c r="F61" s="900"/>
      <c r="G61" s="900"/>
      <c r="H61" s="900"/>
      <c r="I61" s="900"/>
      <c r="J61" s="900"/>
      <c r="K61" s="900"/>
      <c r="L61" s="900"/>
      <c r="M61" s="900"/>
      <c r="N61" s="900"/>
      <c r="O61" s="900"/>
      <c r="P61" s="900"/>
      <c r="Q61" s="900"/>
      <c r="R61" s="900"/>
      <c r="S61" s="900"/>
      <c r="T61" s="900"/>
      <c r="U61" s="900"/>
      <c r="V61" s="900"/>
      <c r="W61" s="900"/>
      <c r="X61" s="900"/>
      <c r="Y61" s="900"/>
      <c r="Z61" s="900"/>
      <c r="AA61" s="900"/>
      <c r="AB61" s="900"/>
      <c r="AC61" s="900"/>
      <c r="AD61" s="900"/>
      <c r="AE61" s="900"/>
      <c r="AF61" s="900"/>
      <c r="AG61" s="900"/>
      <c r="AH61" s="900"/>
      <c r="AI61" s="900"/>
      <c r="AJ61" s="900"/>
      <c r="AK61" s="900"/>
      <c r="AL61" s="900"/>
      <c r="AM61" s="929"/>
      <c r="AN61" s="622"/>
    </row>
    <row r="62" spans="3:40" s="931" customFormat="1" ht="12.95" customHeight="1">
      <c r="C62" s="898"/>
      <c r="D62" s="928"/>
      <c r="E62" s="900"/>
      <c r="F62" s="900"/>
      <c r="G62" s="900"/>
      <c r="H62" s="900"/>
      <c r="I62" s="900"/>
      <c r="J62" s="900"/>
      <c r="K62" s="900"/>
      <c r="L62" s="900"/>
      <c r="M62" s="900"/>
      <c r="N62" s="900"/>
      <c r="O62" s="900"/>
      <c r="P62" s="900"/>
      <c r="Q62" s="900"/>
      <c r="R62" s="900"/>
      <c r="S62" s="900"/>
      <c r="T62" s="900"/>
      <c r="U62" s="900"/>
      <c r="V62" s="900"/>
      <c r="W62" s="900"/>
      <c r="X62" s="900"/>
      <c r="Y62" s="900"/>
      <c r="Z62" s="900"/>
      <c r="AA62" s="900"/>
      <c r="AB62" s="900"/>
      <c r="AC62" s="900"/>
      <c r="AD62" s="900"/>
      <c r="AE62" s="900"/>
      <c r="AF62" s="900"/>
      <c r="AG62" s="900"/>
      <c r="AH62" s="900"/>
      <c r="AI62" s="900"/>
      <c r="AJ62" s="900"/>
      <c r="AK62" s="900"/>
      <c r="AL62" s="900"/>
      <c r="AM62" s="929"/>
      <c r="AN62" s="622"/>
    </row>
    <row r="63" spans="3:40" s="931" customFormat="1" ht="12.95" customHeight="1">
      <c r="C63" s="898"/>
      <c r="D63" s="928"/>
      <c r="E63" s="900"/>
      <c r="F63" s="900"/>
      <c r="G63" s="900"/>
      <c r="H63" s="900"/>
      <c r="I63" s="900"/>
      <c r="J63" s="900"/>
      <c r="K63" s="900"/>
      <c r="L63" s="900"/>
      <c r="M63" s="900"/>
      <c r="N63" s="900"/>
      <c r="O63" s="900"/>
      <c r="P63" s="900"/>
      <c r="Q63" s="900"/>
      <c r="R63" s="900"/>
      <c r="S63" s="900"/>
      <c r="T63" s="900"/>
      <c r="U63" s="900"/>
      <c r="V63" s="900"/>
      <c r="W63" s="900"/>
      <c r="X63" s="900"/>
      <c r="Y63" s="900"/>
      <c r="Z63" s="900"/>
      <c r="AA63" s="900"/>
      <c r="AB63" s="900"/>
      <c r="AC63" s="900"/>
      <c r="AD63" s="900"/>
      <c r="AE63" s="900"/>
      <c r="AF63" s="900"/>
      <c r="AG63" s="900"/>
      <c r="AH63" s="900"/>
      <c r="AI63" s="900"/>
      <c r="AJ63" s="900"/>
      <c r="AK63" s="900"/>
      <c r="AL63" s="900"/>
      <c r="AM63" s="929"/>
      <c r="AN63" s="622"/>
    </row>
    <row r="64" spans="3:40" s="931" customFormat="1" ht="12.95" customHeight="1">
      <c r="C64" s="898"/>
      <c r="D64" s="928"/>
      <c r="E64" s="900"/>
      <c r="F64" s="900"/>
      <c r="G64" s="900"/>
      <c r="H64" s="900"/>
      <c r="I64" s="900"/>
      <c r="J64" s="900"/>
      <c r="K64" s="900"/>
      <c r="L64" s="900"/>
      <c r="M64" s="900"/>
      <c r="N64" s="900"/>
      <c r="O64" s="900"/>
      <c r="P64" s="900"/>
      <c r="Q64" s="900"/>
      <c r="R64" s="900"/>
      <c r="S64" s="900"/>
      <c r="T64" s="900"/>
      <c r="U64" s="900"/>
      <c r="V64" s="900"/>
      <c r="W64" s="900"/>
      <c r="X64" s="900"/>
      <c r="Y64" s="900"/>
      <c r="Z64" s="900"/>
      <c r="AA64" s="900"/>
      <c r="AB64" s="900"/>
      <c r="AC64" s="900"/>
      <c r="AD64" s="900"/>
      <c r="AE64" s="900"/>
      <c r="AF64" s="900"/>
      <c r="AG64" s="900"/>
      <c r="AH64" s="900"/>
      <c r="AI64" s="900"/>
      <c r="AJ64" s="900"/>
      <c r="AK64" s="900"/>
      <c r="AL64" s="900"/>
      <c r="AM64" s="929"/>
      <c r="AN64" s="622"/>
    </row>
    <row r="65" spans="2:46" s="931" customFormat="1" ht="12.95" customHeight="1">
      <c r="C65" s="898"/>
      <c r="D65" s="953"/>
      <c r="E65" s="954"/>
      <c r="F65" s="954"/>
      <c r="G65" s="954"/>
      <c r="H65" s="954"/>
      <c r="I65" s="954"/>
      <c r="J65" s="954"/>
      <c r="K65" s="954"/>
      <c r="L65" s="954"/>
      <c r="M65" s="954"/>
      <c r="N65" s="954"/>
      <c r="O65" s="954"/>
      <c r="P65" s="954"/>
      <c r="Q65" s="954"/>
      <c r="R65" s="954"/>
      <c r="S65" s="954"/>
      <c r="T65" s="954"/>
      <c r="U65" s="954"/>
      <c r="V65" s="954"/>
      <c r="W65" s="954"/>
      <c r="X65" s="954"/>
      <c r="Y65" s="954"/>
      <c r="Z65" s="954"/>
      <c r="AA65" s="954"/>
      <c r="AB65" s="954"/>
      <c r="AC65" s="954"/>
      <c r="AD65" s="954"/>
      <c r="AE65" s="954"/>
      <c r="AF65" s="954"/>
      <c r="AG65" s="954"/>
      <c r="AH65" s="954"/>
      <c r="AI65" s="954"/>
      <c r="AJ65" s="954"/>
      <c r="AK65" s="954"/>
      <c r="AL65" s="954"/>
      <c r="AM65" s="955"/>
      <c r="AN65" s="622"/>
    </row>
    <row r="66" spans="2:46" s="931" customFormat="1" ht="6" customHeight="1">
      <c r="C66" s="907"/>
      <c r="D66" s="908"/>
      <c r="E66" s="908"/>
      <c r="F66" s="908"/>
      <c r="G66" s="908"/>
      <c r="H66" s="908"/>
      <c r="I66" s="908"/>
      <c r="J66" s="908"/>
      <c r="K66" s="908"/>
      <c r="L66" s="908"/>
      <c r="M66" s="908"/>
      <c r="N66" s="908"/>
      <c r="O66" s="908"/>
      <c r="P66" s="908"/>
      <c r="Q66" s="908"/>
      <c r="R66" s="908"/>
      <c r="S66" s="908"/>
      <c r="T66" s="908"/>
      <c r="U66" s="908"/>
      <c r="V66" s="908"/>
      <c r="W66" s="908"/>
      <c r="X66" s="908"/>
      <c r="Y66" s="908"/>
      <c r="Z66" s="908"/>
      <c r="AA66" s="908"/>
      <c r="AB66" s="908"/>
      <c r="AC66" s="908"/>
      <c r="AD66" s="908"/>
      <c r="AE66" s="908"/>
      <c r="AF66" s="908"/>
      <c r="AG66" s="908"/>
      <c r="AH66" s="908"/>
      <c r="AI66" s="908"/>
      <c r="AJ66" s="908"/>
      <c r="AK66" s="908"/>
      <c r="AL66" s="908"/>
      <c r="AM66" s="908"/>
      <c r="AN66" s="909"/>
    </row>
    <row r="67" spans="2:46" ht="18" customHeight="1" thickBot="1">
      <c r="C67" s="917"/>
      <c r="D67" s="917"/>
      <c r="E67" s="917"/>
      <c r="F67" s="917"/>
      <c r="G67" s="917"/>
      <c r="H67" s="917"/>
      <c r="I67" s="917"/>
      <c r="J67" s="917"/>
      <c r="K67" s="917"/>
      <c r="L67" s="917"/>
      <c r="M67" s="917"/>
      <c r="N67" s="917"/>
      <c r="O67" s="917"/>
      <c r="P67" s="917"/>
      <c r="Q67" s="917"/>
      <c r="R67" s="917"/>
      <c r="S67" s="917"/>
      <c r="T67" s="917"/>
      <c r="U67" s="917"/>
      <c r="V67" s="917"/>
      <c r="W67" s="917"/>
      <c r="X67" s="917"/>
      <c r="Y67" s="917"/>
      <c r="Z67" s="917"/>
      <c r="AA67" s="917"/>
      <c r="AB67" s="917"/>
      <c r="AC67" s="917"/>
      <c r="AD67" s="917"/>
      <c r="AE67" s="917"/>
      <c r="AF67" s="917"/>
      <c r="AG67" s="917"/>
      <c r="AH67" s="917"/>
      <c r="AI67" s="917"/>
      <c r="AJ67" s="917"/>
      <c r="AK67" s="917"/>
      <c r="AL67" s="917"/>
      <c r="AM67" s="917"/>
    </row>
    <row r="68" spans="2:46" s="388" customFormat="1" ht="11.25" customHeight="1" thickBot="1">
      <c r="B68" s="383"/>
      <c r="C68" s="383"/>
      <c r="D68" s="383"/>
      <c r="E68" s="383"/>
      <c r="F68" s="383"/>
      <c r="G68" s="383"/>
      <c r="H68" s="383"/>
      <c r="I68" s="383"/>
      <c r="J68" s="383"/>
      <c r="K68" s="383"/>
      <c r="L68" s="383"/>
      <c r="M68" s="383"/>
      <c r="N68" s="383"/>
      <c r="O68" s="383"/>
      <c r="P68" s="383"/>
      <c r="Q68" s="383"/>
      <c r="R68" s="383"/>
      <c r="S68" s="383"/>
      <c r="T68" s="383"/>
      <c r="U68" s="383"/>
      <c r="V68" s="383"/>
      <c r="W68" s="383"/>
      <c r="X68" s="383"/>
      <c r="Y68" s="383"/>
      <c r="Z68" s="383"/>
      <c r="AA68" s="383"/>
      <c r="AB68" s="383"/>
      <c r="AC68" s="383"/>
      <c r="AD68" s="383"/>
      <c r="AE68" s="383"/>
      <c r="AF68" s="383"/>
      <c r="AG68" s="383"/>
      <c r="AH68" s="383"/>
      <c r="AI68" s="384"/>
      <c r="AJ68" s="384"/>
      <c r="AK68" s="384"/>
      <c r="AL68" s="385"/>
      <c r="AN68" s="1230" t="str">
        <f>CONCATENATE("Hal - ",AP68,"  dari  ",AS68)</f>
        <v>Hal - 10  dari  10</v>
      </c>
      <c r="AP68" s="1881">
        <f>Foto!AP66+1</f>
        <v>10</v>
      </c>
      <c r="AQ68" s="1882"/>
      <c r="AR68" s="387" t="s">
        <v>3</v>
      </c>
      <c r="AS68" s="1881">
        <f>AP68</f>
        <v>10</v>
      </c>
      <c r="AT68" s="1882"/>
    </row>
    <row r="69" spans="2:46" ht="14.1" customHeight="1"/>
    <row r="70" spans="2:46" ht="14.1" customHeight="1"/>
    <row r="77" spans="2:46" s="914" customFormat="1" ht="12.95" customHeight="1"/>
  </sheetData>
  <sheetProtection formatCells="0" formatColumns="0" formatRows="0" insertColumns="0" insertRows="0" insertHyperlinks="0" deleteColumns="0" deleteRows="0" sort="0" autoFilter="0" pivotTables="0"/>
  <protectedRanges>
    <protectedRange sqref="AL6 L6 Z6" name="Range2_1_4_10_1"/>
  </protectedRanges>
  <mergeCells count="7">
    <mergeCell ref="AS68:AT68"/>
    <mergeCell ref="C3:L4"/>
    <mergeCell ref="C5:L7"/>
    <mergeCell ref="AP68:AQ68"/>
    <mergeCell ref="AY45:AZ45"/>
    <mergeCell ref="AY46:AZ46"/>
    <mergeCell ref="AY47:AZ47"/>
  </mergeCells>
  <dataValidations count="2">
    <dataValidation operator="lessThan" allowBlank="1" showInputMessage="1" showErrorMessage="1" sqref="AP68 AS68 AN68 AI68:AK68"/>
    <dataValidation type="whole" operator="lessThan" allowBlank="1" showInputMessage="1" showErrorMessage="1" sqref="D68:AE68">
      <formula1>-5</formula1>
    </dataValidation>
  </dataValidations>
  <pageMargins left="0.35" right="0" top="0" bottom="0" header="0.31496062992126" footer="0"/>
  <pageSetup paperSize="9" scale="90"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sheetPr>
  <dimension ref="K2:AB46"/>
  <sheetViews>
    <sheetView showGridLines="0" view="pageBreakPreview" topLeftCell="E10" zoomScaleSheetLayoutView="100" workbookViewId="0">
      <selection activeCell="V14" sqref="V14:AG14"/>
    </sheetView>
  </sheetViews>
  <sheetFormatPr defaultColWidth="2.7109375" defaultRowHeight="12.75"/>
  <cols>
    <col min="1" max="1" width="5.7109375" style="958" customWidth="1"/>
    <col min="2" max="8" width="4.7109375" style="958" customWidth="1"/>
    <col min="9" max="9" width="3.5703125" style="958" customWidth="1"/>
    <col min="10" max="10" width="4.7109375" style="958" customWidth="1"/>
    <col min="11" max="11" width="3.7109375" style="958" customWidth="1"/>
    <col min="12" max="19" width="2.7109375" style="956"/>
    <col min="20" max="20" width="2.5703125" style="956" customWidth="1"/>
    <col min="21" max="28" width="2.7109375" style="956"/>
    <col min="29" max="16384" width="2.7109375" style="958"/>
  </cols>
  <sheetData>
    <row r="2" spans="13:27" ht="12.6" customHeight="1"/>
    <row r="3" spans="13:27" ht="12.6" customHeight="1"/>
    <row r="4" spans="13:27" ht="12.6" customHeight="1"/>
    <row r="5" spans="13:27" ht="12.6" customHeight="1"/>
    <row r="6" spans="13:27" ht="12.6" customHeight="1"/>
    <row r="7" spans="13:27" ht="12.6" customHeight="1"/>
    <row r="8" spans="13:27" ht="12.6" customHeight="1"/>
    <row r="9" spans="13:27" ht="12.6" customHeight="1"/>
    <row r="10" spans="13:27" ht="12.6" customHeight="1"/>
    <row r="11" spans="13:27" ht="12.6" customHeight="1"/>
    <row r="14" spans="13:27" ht="14.1" customHeight="1"/>
    <row r="15" spans="13:27" ht="20.25" customHeight="1">
      <c r="M15" s="957"/>
      <c r="N15" s="957"/>
      <c r="O15" s="957"/>
      <c r="P15" s="957"/>
      <c r="Q15" s="957"/>
      <c r="R15" s="957"/>
      <c r="S15" s="957"/>
      <c r="T15" s="957"/>
      <c r="U15" s="957"/>
      <c r="V15" s="957"/>
      <c r="W15" s="957"/>
      <c r="X15" s="957"/>
      <c r="Y15" s="957"/>
      <c r="Z15" s="957"/>
      <c r="AA15" s="957"/>
    </row>
    <row r="16" spans="13:27" ht="33.75" customHeight="1"/>
    <row r="17" spans="11:28" ht="8.85" customHeight="1">
      <c r="L17" s="2557" t="s">
        <v>2344</v>
      </c>
      <c r="M17" s="2557"/>
      <c r="N17" s="2557"/>
      <c r="O17" s="2557"/>
      <c r="P17" s="2557"/>
      <c r="Q17" s="2557"/>
      <c r="R17" s="2557"/>
      <c r="S17" s="2557"/>
      <c r="T17" s="2557"/>
      <c r="U17" s="2557"/>
      <c r="V17" s="2557"/>
      <c r="W17" s="2557"/>
      <c r="X17" s="2557"/>
      <c r="Y17" s="2557"/>
      <c r="Z17" s="2557"/>
      <c r="AA17" s="2557"/>
      <c r="AB17" s="2557"/>
    </row>
    <row r="18" spans="11:28" ht="12.95" customHeight="1">
      <c r="L18" s="2557"/>
      <c r="M18" s="2557"/>
      <c r="N18" s="2557"/>
      <c r="O18" s="2557"/>
      <c r="P18" s="2557"/>
      <c r="Q18" s="2557"/>
      <c r="R18" s="2557"/>
      <c r="S18" s="2557"/>
      <c r="T18" s="2557"/>
      <c r="U18" s="2557"/>
      <c r="V18" s="2557"/>
      <c r="W18" s="2557"/>
      <c r="X18" s="2557"/>
      <c r="Y18" s="2557"/>
      <c r="Z18" s="2557"/>
      <c r="AA18" s="2557"/>
      <c r="AB18" s="2557"/>
    </row>
    <row r="19" spans="11:28" ht="12" customHeight="1">
      <c r="L19" s="2558" t="str">
        <f>Entry!L16</f>
        <v>PT. XYZ</v>
      </c>
      <c r="M19" s="2558"/>
      <c r="N19" s="2558"/>
      <c r="O19" s="2558"/>
      <c r="P19" s="2558"/>
      <c r="Q19" s="2558"/>
      <c r="R19" s="2558"/>
      <c r="S19" s="2558"/>
      <c r="T19" s="2558"/>
      <c r="U19" s="2558"/>
      <c r="V19" s="2558"/>
      <c r="W19" s="2558"/>
      <c r="X19" s="2558"/>
      <c r="Y19" s="2558"/>
      <c r="Z19" s="2558"/>
      <c r="AA19" s="2558"/>
      <c r="AB19" s="2558"/>
    </row>
    <row r="20" spans="11:28" ht="15" customHeight="1">
      <c r="L20" s="2558"/>
      <c r="M20" s="2558"/>
      <c r="N20" s="2558"/>
      <c r="O20" s="2558"/>
      <c r="P20" s="2558"/>
      <c r="Q20" s="2558"/>
      <c r="R20" s="2558"/>
      <c r="S20" s="2558"/>
      <c r="T20" s="2558"/>
      <c r="U20" s="2558"/>
      <c r="V20" s="2558"/>
      <c r="W20" s="2558"/>
      <c r="X20" s="2558"/>
      <c r="Y20" s="2558"/>
      <c r="Z20" s="2558"/>
      <c r="AA20" s="2558"/>
      <c r="AB20" s="2558"/>
    </row>
    <row r="21" spans="11:28" ht="12.95" customHeight="1">
      <c r="L21" s="2559" t="str">
        <f>CONCATENATE("Nomor Laporan : ",Entry!L9)</f>
        <v>Nomor Laporan : 0123-LK/KJPP-ASUS/V/18</v>
      </c>
      <c r="M21" s="2559"/>
      <c r="N21" s="2559"/>
      <c r="O21" s="2559"/>
      <c r="P21" s="2559"/>
      <c r="Q21" s="2559"/>
      <c r="R21" s="2559"/>
      <c r="S21" s="2559"/>
      <c r="T21" s="2559"/>
      <c r="U21" s="2559"/>
      <c r="V21" s="2559"/>
      <c r="W21" s="2559"/>
      <c r="X21" s="2559"/>
      <c r="Y21" s="2559"/>
      <c r="Z21" s="2559"/>
      <c r="AA21" s="2559"/>
      <c r="AB21" s="2559"/>
    </row>
    <row r="22" spans="11:28" ht="12.95" customHeight="1">
      <c r="L22" s="2560" t="str">
        <f>CONCATENATE("Tanggal Penilaian: ",Entry!L8)</f>
        <v>Tanggal Penilaian: 43216</v>
      </c>
      <c r="M22" s="2560"/>
      <c r="N22" s="2560"/>
      <c r="O22" s="2560"/>
      <c r="P22" s="2560"/>
      <c r="Q22" s="2560"/>
      <c r="R22" s="2560"/>
      <c r="S22" s="2560"/>
      <c r="T22" s="2560"/>
      <c r="U22" s="2560"/>
      <c r="V22" s="2560"/>
      <c r="W22" s="2560"/>
      <c r="X22" s="2560"/>
      <c r="Y22" s="2560"/>
      <c r="Z22" s="2560"/>
      <c r="AA22" s="2560"/>
      <c r="AB22" s="2560"/>
    </row>
    <row r="23" spans="11:28" ht="11.45" customHeight="1">
      <c r="L23" s="2561" t="s">
        <v>2345</v>
      </c>
      <c r="M23" s="2561"/>
      <c r="N23" s="2561"/>
      <c r="O23" s="2561"/>
      <c r="P23" s="2561"/>
      <c r="Q23" s="2561"/>
      <c r="R23" s="2561"/>
      <c r="S23" s="2561"/>
      <c r="T23" s="2561"/>
      <c r="U23" s="2561"/>
      <c r="V23" s="2561"/>
      <c r="W23" s="2561"/>
      <c r="X23" s="2561"/>
      <c r="Y23" s="2561"/>
      <c r="Z23" s="2561"/>
      <c r="AA23" s="2561"/>
      <c r="AB23" s="2561"/>
    </row>
    <row r="24" spans="11:28" ht="11.45" customHeight="1">
      <c r="L24" s="2561"/>
      <c r="M24" s="2561"/>
      <c r="N24" s="2561"/>
      <c r="O24" s="2561"/>
      <c r="P24" s="2561"/>
      <c r="Q24" s="2561"/>
      <c r="R24" s="2561"/>
      <c r="S24" s="2561"/>
      <c r="T24" s="2561"/>
      <c r="U24" s="2561"/>
      <c r="V24" s="2561"/>
      <c r="W24" s="2561"/>
      <c r="X24" s="2561"/>
      <c r="Y24" s="2561"/>
      <c r="Z24" s="2561"/>
      <c r="AA24" s="2561"/>
      <c r="AB24" s="2561"/>
    </row>
    <row r="25" spans="11:28" ht="12.95" customHeight="1">
      <c r="L25" s="2562" t="str">
        <f>+Entry!AD34</f>
        <v>Jl. ABCDE, Kel. Sangiang Jaya, Kec. Periuk, Kota Adm. Tangerang, Prop. Banten</v>
      </c>
      <c r="M25" s="2562"/>
      <c r="N25" s="2562"/>
      <c r="O25" s="2562"/>
      <c r="P25" s="2562"/>
      <c r="Q25" s="2562"/>
      <c r="R25" s="2562"/>
      <c r="S25" s="2562"/>
      <c r="T25" s="2562"/>
      <c r="U25" s="2562"/>
      <c r="V25" s="2562"/>
      <c r="W25" s="2562"/>
      <c r="X25" s="2562"/>
      <c r="Y25" s="2562"/>
      <c r="Z25" s="2562"/>
      <c r="AA25" s="2562"/>
      <c r="AB25" s="2562"/>
    </row>
    <row r="26" spans="11:28" ht="12.95" customHeight="1">
      <c r="L26" s="2562"/>
      <c r="M26" s="2562"/>
      <c r="N26" s="2562"/>
      <c r="O26" s="2562"/>
      <c r="P26" s="2562"/>
      <c r="Q26" s="2562"/>
      <c r="R26" s="2562"/>
      <c r="S26" s="2562"/>
      <c r="T26" s="2562"/>
      <c r="U26" s="2562"/>
      <c r="V26" s="2562"/>
      <c r="W26" s="2562"/>
      <c r="X26" s="2562"/>
      <c r="Y26" s="2562"/>
      <c r="Z26" s="2562"/>
      <c r="AA26" s="2562"/>
      <c r="AB26" s="2562"/>
    </row>
    <row r="27" spans="11:28" ht="27.75" customHeight="1">
      <c r="L27" s="2562"/>
      <c r="M27" s="2562"/>
      <c r="N27" s="2562"/>
      <c r="O27" s="2562"/>
      <c r="P27" s="2562"/>
      <c r="Q27" s="2562"/>
      <c r="R27" s="2562"/>
      <c r="S27" s="2562"/>
      <c r="T27" s="2562"/>
      <c r="U27" s="2562"/>
      <c r="V27" s="2562"/>
      <c r="W27" s="2562"/>
      <c r="X27" s="2562"/>
      <c r="Y27" s="2562"/>
      <c r="Z27" s="2562"/>
      <c r="AA27" s="2562"/>
      <c r="AB27" s="2562"/>
    </row>
    <row r="32" spans="11:28">
      <c r="K32" s="2556"/>
      <c r="L32" s="2556"/>
      <c r="M32" s="2556"/>
      <c r="N32" s="2556"/>
      <c r="O32" s="2556"/>
      <c r="P32" s="2556"/>
      <c r="Q32" s="2556"/>
      <c r="R32" s="2556"/>
      <c r="S32" s="2556"/>
      <c r="T32" s="2556"/>
      <c r="U32" s="2556"/>
      <c r="V32" s="2556"/>
      <c r="W32" s="2556"/>
      <c r="X32" s="2556"/>
      <c r="Y32" s="2556"/>
      <c r="Z32" s="2556"/>
      <c r="AA32" s="2556"/>
      <c r="AB32" s="2556"/>
    </row>
    <row r="33" spans="11:28">
      <c r="K33" s="2556"/>
      <c r="L33" s="2556"/>
      <c r="M33" s="2556"/>
      <c r="N33" s="2556"/>
      <c r="O33" s="2556"/>
      <c r="P33" s="2556"/>
      <c r="Q33" s="2556"/>
      <c r="R33" s="2556"/>
      <c r="S33" s="2556"/>
      <c r="T33" s="2556"/>
      <c r="U33" s="2556"/>
      <c r="V33" s="2556"/>
      <c r="W33" s="2556"/>
      <c r="X33" s="2556"/>
      <c r="Y33" s="2556"/>
      <c r="Z33" s="2556"/>
      <c r="AA33" s="2556"/>
      <c r="AB33" s="2556"/>
    </row>
    <row r="34" spans="11:28">
      <c r="K34" s="2556"/>
      <c r="L34" s="2556"/>
      <c r="M34" s="2556"/>
      <c r="N34" s="2556"/>
      <c r="O34" s="2556"/>
      <c r="P34" s="2556"/>
      <c r="Q34" s="2556"/>
      <c r="R34" s="2556"/>
      <c r="S34" s="2556"/>
      <c r="T34" s="2556"/>
      <c r="U34" s="2556"/>
      <c r="V34" s="2556"/>
      <c r="W34" s="2556"/>
      <c r="X34" s="2556"/>
      <c r="Y34" s="2556"/>
      <c r="Z34" s="2556"/>
      <c r="AA34" s="2556"/>
      <c r="AB34" s="2556"/>
    </row>
    <row r="35" spans="11:28">
      <c r="K35" s="2556"/>
      <c r="L35" s="2556"/>
      <c r="M35" s="2556"/>
      <c r="N35" s="2556"/>
      <c r="O35" s="2556"/>
      <c r="P35" s="2556"/>
      <c r="Q35" s="2556"/>
      <c r="R35" s="2556"/>
      <c r="S35" s="2556"/>
      <c r="T35" s="2556"/>
      <c r="U35" s="2556"/>
      <c r="V35" s="2556"/>
      <c r="W35" s="2556"/>
      <c r="X35" s="2556"/>
      <c r="Y35" s="2556"/>
      <c r="Z35" s="2556"/>
      <c r="AA35" s="2556"/>
      <c r="AB35" s="2556"/>
    </row>
    <row r="36" spans="11:28">
      <c r="K36" s="2556"/>
      <c r="L36" s="2556"/>
      <c r="M36" s="2556"/>
      <c r="N36" s="2556"/>
      <c r="O36" s="2556"/>
      <c r="P36" s="2556"/>
      <c r="Q36" s="2556"/>
      <c r="R36" s="2556"/>
      <c r="S36" s="2556"/>
      <c r="T36" s="2556"/>
      <c r="U36" s="2556"/>
      <c r="V36" s="2556"/>
      <c r="W36" s="2556"/>
      <c r="X36" s="2556"/>
      <c r="Y36" s="2556"/>
      <c r="Z36" s="2556"/>
      <c r="AA36" s="2556"/>
      <c r="AB36" s="2556"/>
    </row>
    <row r="37" spans="11:28">
      <c r="K37" s="2556"/>
      <c r="L37" s="2556"/>
      <c r="M37" s="2556"/>
      <c r="N37" s="2556"/>
      <c r="O37" s="2556"/>
      <c r="P37" s="2556"/>
      <c r="Q37" s="2556"/>
      <c r="R37" s="2556"/>
      <c r="S37" s="2556"/>
      <c r="T37" s="2556"/>
      <c r="U37" s="2556"/>
      <c r="V37" s="2556"/>
      <c r="W37" s="2556"/>
      <c r="X37" s="2556"/>
      <c r="Y37" s="2556"/>
      <c r="Z37" s="2556"/>
      <c r="AA37" s="2556"/>
      <c r="AB37" s="2556"/>
    </row>
    <row r="38" spans="11:28">
      <c r="K38" s="2556"/>
      <c r="L38" s="2556"/>
      <c r="M38" s="2556"/>
      <c r="N38" s="2556"/>
      <c r="O38" s="2556"/>
      <c r="P38" s="2556"/>
      <c r="Q38" s="2556"/>
      <c r="R38" s="2556"/>
      <c r="S38" s="2556"/>
      <c r="T38" s="2556"/>
      <c r="U38" s="2556"/>
      <c r="V38" s="2556"/>
      <c r="W38" s="2556"/>
      <c r="X38" s="2556"/>
      <c r="Y38" s="2556"/>
      <c r="Z38" s="2556"/>
      <c r="AA38" s="2556"/>
      <c r="AB38" s="2556"/>
    </row>
    <row r="39" spans="11:28">
      <c r="K39" s="2556"/>
      <c r="L39" s="2556"/>
      <c r="M39" s="2556"/>
      <c r="N39" s="2556"/>
      <c r="O39" s="2556"/>
      <c r="P39" s="2556"/>
      <c r="Q39" s="2556"/>
      <c r="R39" s="2556"/>
      <c r="S39" s="2556"/>
      <c r="T39" s="2556"/>
      <c r="U39" s="2556"/>
      <c r="V39" s="2556"/>
      <c r="W39" s="2556"/>
      <c r="X39" s="2556"/>
      <c r="Y39" s="2556"/>
      <c r="Z39" s="2556"/>
      <c r="AA39" s="2556"/>
      <c r="AB39" s="2556"/>
    </row>
    <row r="40" spans="11:28">
      <c r="K40" s="2556"/>
      <c r="L40" s="2556"/>
      <c r="M40" s="2556"/>
      <c r="N40" s="2556"/>
      <c r="O40" s="2556"/>
      <c r="P40" s="2556"/>
      <c r="Q40" s="2556"/>
      <c r="R40" s="2556"/>
      <c r="S40" s="2556"/>
      <c r="T40" s="2556"/>
      <c r="U40" s="2556"/>
      <c r="V40" s="2556"/>
      <c r="W40" s="2556"/>
      <c r="X40" s="2556"/>
      <c r="Y40" s="2556"/>
      <c r="Z40" s="2556"/>
      <c r="AA40" s="2556"/>
      <c r="AB40" s="2556"/>
    </row>
    <row r="41" spans="11:28">
      <c r="K41" s="2556"/>
      <c r="L41" s="2556"/>
      <c r="M41" s="2556"/>
      <c r="N41" s="2556"/>
      <c r="O41" s="2556"/>
      <c r="P41" s="2556"/>
      <c r="Q41" s="2556"/>
      <c r="R41" s="2556"/>
      <c r="S41" s="2556"/>
      <c r="T41" s="2556"/>
      <c r="U41" s="2556"/>
      <c r="V41" s="2556"/>
      <c r="W41" s="2556"/>
      <c r="X41" s="2556"/>
      <c r="Y41" s="2556"/>
      <c r="Z41" s="2556"/>
      <c r="AA41" s="2556"/>
      <c r="AB41" s="2556"/>
    </row>
    <row r="42" spans="11:28">
      <c r="K42" s="2556"/>
      <c r="L42" s="2556"/>
      <c r="M42" s="2556"/>
      <c r="N42" s="2556"/>
      <c r="O42" s="2556"/>
      <c r="P42" s="2556"/>
      <c r="Q42" s="2556"/>
      <c r="R42" s="2556"/>
      <c r="S42" s="2556"/>
      <c r="T42" s="2556"/>
      <c r="U42" s="2556"/>
      <c r="V42" s="2556"/>
      <c r="W42" s="2556"/>
      <c r="X42" s="2556"/>
      <c r="Y42" s="2556"/>
      <c r="Z42" s="2556"/>
      <c r="AA42" s="2556"/>
      <c r="AB42" s="2556"/>
    </row>
    <row r="43" spans="11:28">
      <c r="K43" s="2556"/>
      <c r="L43" s="2556"/>
      <c r="M43" s="2556"/>
      <c r="N43" s="2556"/>
      <c r="O43" s="2556"/>
      <c r="P43" s="2556"/>
      <c r="Q43" s="2556"/>
      <c r="R43" s="2556"/>
      <c r="S43" s="2556"/>
      <c r="T43" s="2556"/>
      <c r="U43" s="2556"/>
      <c r="V43" s="2556"/>
      <c r="W43" s="2556"/>
      <c r="X43" s="2556"/>
      <c r="Y43" s="2556"/>
      <c r="Z43" s="2556"/>
      <c r="AA43" s="2556"/>
      <c r="AB43" s="2556"/>
    </row>
    <row r="44" spans="11:28">
      <c r="K44" s="2556"/>
      <c r="L44" s="2556"/>
      <c r="M44" s="2556"/>
      <c r="N44" s="2556"/>
      <c r="O44" s="2556"/>
      <c r="P44" s="2556"/>
      <c r="Q44" s="2556"/>
      <c r="R44" s="2556"/>
      <c r="S44" s="2556"/>
      <c r="T44" s="2556"/>
      <c r="U44" s="2556"/>
      <c r="V44" s="2556"/>
      <c r="W44" s="2556"/>
      <c r="X44" s="2556"/>
      <c r="Y44" s="2556"/>
      <c r="Z44" s="2556"/>
      <c r="AA44" s="2556"/>
      <c r="AB44" s="2556"/>
    </row>
    <row r="45" spans="11:28">
      <c r="K45" s="2556"/>
      <c r="L45" s="2556"/>
      <c r="M45" s="2556"/>
      <c r="N45" s="2556"/>
      <c r="O45" s="2556"/>
      <c r="P45" s="2556"/>
      <c r="Q45" s="2556"/>
      <c r="R45" s="2556"/>
      <c r="S45" s="2556"/>
      <c r="T45" s="2556"/>
      <c r="U45" s="2556"/>
      <c r="V45" s="2556"/>
      <c r="W45" s="2556"/>
      <c r="X45" s="2556"/>
      <c r="Y45" s="2556"/>
      <c r="Z45" s="2556"/>
      <c r="AA45" s="2556"/>
      <c r="AB45" s="2556"/>
    </row>
    <row r="46" spans="11:28">
      <c r="K46" s="2556"/>
      <c r="L46" s="2556"/>
      <c r="M46" s="2556"/>
      <c r="N46" s="2556"/>
      <c r="O46" s="2556"/>
      <c r="P46" s="2556"/>
      <c r="Q46" s="2556"/>
      <c r="R46" s="2556"/>
      <c r="S46" s="2556"/>
      <c r="T46" s="2556"/>
      <c r="U46" s="2556"/>
      <c r="V46" s="2556"/>
      <c r="W46" s="2556"/>
      <c r="X46" s="2556"/>
      <c r="Y46" s="2556"/>
      <c r="Z46" s="2556"/>
      <c r="AA46" s="2556"/>
      <c r="AB46" s="2556"/>
    </row>
  </sheetData>
  <sheetProtection formatCells="0" formatColumns="0" formatRows="0" insertColumns="0" insertRows="0" insertHyperlinks="0" deleteColumns="0" deleteRows="0" sort="0" autoFilter="0" pivotTables="0"/>
  <mergeCells count="7">
    <mergeCell ref="K32:AB46"/>
    <mergeCell ref="L17:AB18"/>
    <mergeCell ref="L19:AB20"/>
    <mergeCell ref="L21:AB21"/>
    <mergeCell ref="L22:AB22"/>
    <mergeCell ref="L23:AB24"/>
    <mergeCell ref="L25:AB27"/>
  </mergeCells>
  <pageMargins left="0.7" right="0.7" top="0.75" bottom="0" header="0.5" footer="0.5"/>
  <pageSetup paperSize="9" scale="98"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tabSelected="1" workbookViewId="0">
      <selection activeCell="B2" sqref="B2:F21"/>
    </sheetView>
  </sheetViews>
  <sheetFormatPr defaultRowHeight="12.75"/>
  <cols>
    <col min="1" max="1" width="26.28515625" customWidth="1"/>
    <col min="2" max="2" width="10.140625" bestFit="1" customWidth="1"/>
    <col min="4" max="4" width="36.7109375" bestFit="1" customWidth="1"/>
    <col min="5" max="5" width="50.140625" customWidth="1"/>
    <col min="8" max="14" width="9.140625" customWidth="1"/>
  </cols>
  <sheetData>
    <row r="1" spans="1:11" s="1250" customFormat="1" ht="16.5">
      <c r="A1" s="616" t="s">
        <v>2015</v>
      </c>
      <c r="B1" s="617"/>
      <c r="C1" s="617"/>
      <c r="D1" s="617"/>
      <c r="E1" s="617"/>
      <c r="F1" s="617"/>
      <c r="G1" s="617"/>
      <c r="H1" s="617"/>
      <c r="I1" s="617"/>
      <c r="J1" s="617"/>
      <c r="K1" s="617"/>
    </row>
    <row r="2" spans="1:11" s="1251" customFormat="1">
      <c r="A2" s="1239" t="s">
        <v>1857</v>
      </c>
      <c r="B2" s="1310">
        <f>B7</f>
        <v>43116</v>
      </c>
      <c r="C2" s="1311"/>
      <c r="D2" s="1239" t="s">
        <v>2034</v>
      </c>
      <c r="E2" s="1249" t="str">
        <f>[1]Entry!L9</f>
        <v>0336-RTL/KJPP-ASUS/I/18</v>
      </c>
      <c r="F2" s="1284"/>
      <c r="G2" s="1250"/>
      <c r="H2" s="1250"/>
      <c r="I2" s="1250"/>
      <c r="J2" s="1250"/>
      <c r="K2" s="1250"/>
    </row>
    <row r="3" spans="1:11" s="1251" customFormat="1" ht="12.75" customHeight="1">
      <c r="A3" s="1239" t="str">
        <f>'Surat-01'!E25</f>
        <v>Maksud &amp; Tujuan Penilaian</v>
      </c>
      <c r="B3" s="1312" t="str">
        <f>[1]Entry!L26</f>
        <v>Jaminan/Agunan Kredit</v>
      </c>
      <c r="C3" s="1312"/>
      <c r="D3" s="1312"/>
      <c r="E3" s="1312"/>
      <c r="F3" s="1284"/>
    </row>
    <row r="4" spans="1:11" s="1251" customFormat="1">
      <c r="A4" s="1239" t="str">
        <f>'Surat-01'!E30</f>
        <v>Pemberi Tugas</v>
      </c>
      <c r="B4" s="1313" t="str">
        <f>'[1]Surat-01'!N30</f>
        <v>PT. BANK RAKYAT INDONESIA (PERSERO), Tbk.</v>
      </c>
      <c r="C4" s="1313"/>
      <c r="D4" s="1313"/>
      <c r="E4" s="1313"/>
      <c r="F4" s="1284"/>
    </row>
    <row r="5" spans="1:11" s="1251" customFormat="1">
      <c r="A5" s="1239" t="str">
        <f>'Surat-01'!E31</f>
        <v>Calon Debitur</v>
      </c>
      <c r="B5" s="1313" t="str">
        <f>'[1]Surat-01'!N31</f>
        <v>H. UJANG WAHYUDI</v>
      </c>
      <c r="C5" s="1313"/>
      <c r="D5" s="1313"/>
      <c r="E5" s="1313"/>
      <c r="F5" s="1284"/>
    </row>
    <row r="6" spans="1:11" s="1251" customFormat="1">
      <c r="A6" s="1239" t="str">
        <f>'Surat-01'!E32</f>
        <v>Telepon / HP.</v>
      </c>
      <c r="B6" s="1313" t="str">
        <f>'[1]Surat-01'!N32</f>
        <v>0811 873 152</v>
      </c>
      <c r="C6" s="1313"/>
      <c r="D6" s="1313"/>
      <c r="E6" s="1313"/>
      <c r="F6" s="1284"/>
    </row>
    <row r="7" spans="1:11" s="1251" customFormat="1">
      <c r="A7" s="1239" t="str">
        <f>'Surat-01'!E33</f>
        <v xml:space="preserve">Tanggal Penilaian </v>
      </c>
      <c r="B7" s="1313">
        <v>43116</v>
      </c>
      <c r="C7" s="1313"/>
      <c r="D7" s="1313"/>
      <c r="E7" s="1313"/>
      <c r="F7" s="1284"/>
    </row>
    <row r="8" spans="1:11" s="1251" customFormat="1">
      <c r="A8" s="1239" t="str">
        <f>'Surat-01'!E37</f>
        <v xml:space="preserve">Cabang </v>
      </c>
      <c r="B8" s="1313" t="str">
        <f>'[1]Surat-01'!J37</f>
        <v>Pondok Indah</v>
      </c>
      <c r="C8" s="1313"/>
      <c r="D8" s="1313"/>
      <c r="E8" s="1313"/>
      <c r="F8" s="1284"/>
    </row>
    <row r="9" spans="1:11" s="1251" customFormat="1">
      <c r="A9" s="1239" t="str">
        <f>'Surat-01'!E38</f>
        <v>No. Surat Tugas</v>
      </c>
      <c r="B9" s="1313" t="str">
        <f>'[1]Surat-01'!J38</f>
        <v>Via Telepon</v>
      </c>
      <c r="C9" s="1313"/>
      <c r="D9" s="1313"/>
      <c r="E9" s="1313"/>
      <c r="F9" s="1284"/>
    </row>
    <row r="10" spans="1:11" s="1251" customFormat="1">
      <c r="A10" s="1239" t="str">
        <f>'Surat-01'!E39</f>
        <v xml:space="preserve">Tanggal  </v>
      </c>
      <c r="B10" s="1313">
        <f>'[1]Surat-01'!J39</f>
        <v>43115</v>
      </c>
      <c r="C10" s="1313"/>
      <c r="D10" s="1313"/>
      <c r="E10" s="1313"/>
      <c r="F10" s="1284"/>
    </row>
    <row r="11" spans="1:11" s="1251" customFormat="1">
      <c r="A11" s="1239" t="str">
        <f>'Surat-01'!E40</f>
        <v>Nama Pejabat</v>
      </c>
      <c r="B11" s="1313" t="str">
        <f>'[1]Surat-01'!J40</f>
        <v>Bpk. Agus</v>
      </c>
      <c r="C11" s="1313"/>
      <c r="D11" s="1313"/>
      <c r="E11" s="1313"/>
      <c r="F11" s="1284"/>
    </row>
    <row r="12" spans="1:11" s="1251" customFormat="1">
      <c r="A12" s="1239" t="str">
        <f>'Surat-01'!E41</f>
        <v xml:space="preserve">Jabatan    </v>
      </c>
      <c r="B12" s="1313" t="str">
        <f>'[1]Surat-01'!J41</f>
        <v>Account Officer</v>
      </c>
      <c r="C12" s="1313"/>
      <c r="D12" s="1313"/>
      <c r="E12" s="1313"/>
      <c r="F12" s="1284"/>
    </row>
    <row r="13" spans="1:11" s="1251" customFormat="1">
      <c r="A13" s="1280"/>
      <c r="B13" s="1282"/>
      <c r="C13" s="1282"/>
      <c r="D13" s="1282"/>
      <c r="E13" s="1282"/>
      <c r="F13" s="1284"/>
    </row>
    <row r="14" spans="1:11" s="1281" customFormat="1" ht="16.5">
      <c r="A14" s="1281" t="s">
        <v>2472</v>
      </c>
    </row>
    <row r="15" spans="1:11">
      <c r="A15" s="1239" t="s">
        <v>1901</v>
      </c>
      <c r="B15" s="1240" t="s">
        <v>2133</v>
      </c>
      <c r="C15" s="1240"/>
      <c r="D15" s="1239" t="s">
        <v>2134</v>
      </c>
      <c r="E15" s="1239" t="s">
        <v>2135</v>
      </c>
      <c r="F15" s="1285" t="s">
        <v>2575</v>
      </c>
    </row>
    <row r="16" spans="1:11">
      <c r="A16" s="1247" t="s">
        <v>2139</v>
      </c>
      <c r="B16" s="1247">
        <f>'[1]Surat-02'!P15</f>
        <v>250</v>
      </c>
      <c r="C16" s="1248" t="s">
        <v>2571</v>
      </c>
      <c r="D16" s="2563">
        <f>'[1]Surat-02'!T15</f>
        <v>3030000000</v>
      </c>
      <c r="E16" s="2564">
        <f>D16*(1-F16)</f>
        <v>2120999999.9999998</v>
      </c>
      <c r="F16" s="1286">
        <v>0.3</v>
      </c>
    </row>
    <row r="17" spans="1:6">
      <c r="A17" s="1247" t="s">
        <v>2570</v>
      </c>
      <c r="B17" s="2565">
        <f>'[1]Surat-02'!P16</f>
        <v>107.99999999999999</v>
      </c>
      <c r="C17" s="1248" t="s">
        <v>2571</v>
      </c>
      <c r="D17" s="2563">
        <f ca="1">'[1]Surat-02'!T16</f>
        <v>296167300</v>
      </c>
      <c r="E17" s="2564">
        <f ca="1">D17*(1-F17)</f>
        <v>207317110</v>
      </c>
      <c r="F17" s="1286">
        <v>0.3</v>
      </c>
    </row>
    <row r="18" spans="1:6">
      <c r="A18" s="1247" t="s">
        <v>2141</v>
      </c>
      <c r="B18" s="1247">
        <v>1</v>
      </c>
      <c r="C18" s="1248" t="s">
        <v>2572</v>
      </c>
      <c r="D18" s="2563">
        <f>'[1]Surat-02'!T17</f>
        <v>42330000.000000007</v>
      </c>
      <c r="E18" s="2564">
        <f>D18*(1-F18)</f>
        <v>29631000.000000004</v>
      </c>
      <c r="F18" s="1286">
        <v>0.3</v>
      </c>
    </row>
    <row r="19" spans="1:6">
      <c r="A19" s="1241" t="s">
        <v>2143</v>
      </c>
      <c r="B19" s="1242"/>
      <c r="C19" s="1243"/>
      <c r="D19" s="2563">
        <f ca="1">SUM(D16:D18)</f>
        <v>3368497300</v>
      </c>
      <c r="E19" s="2564">
        <f ca="1">SUM(E16:E18)</f>
        <v>2357948110</v>
      </c>
      <c r="F19" s="1284"/>
    </row>
    <row r="20" spans="1:6">
      <c r="A20" s="1244" t="s">
        <v>2144</v>
      </c>
      <c r="B20" s="1245"/>
      <c r="C20" s="1246"/>
      <c r="D20" s="2563">
        <f ca="1">ROUND(D19,-6)</f>
        <v>3368000000</v>
      </c>
      <c r="E20" s="2563">
        <f ca="1">ROUND(E19,-6)</f>
        <v>2358000000</v>
      </c>
      <c r="F20" s="1284"/>
    </row>
    <row r="21" spans="1:6" ht="25.5">
      <c r="A21" s="1244" t="s">
        <v>2146</v>
      </c>
      <c r="B21" s="2566"/>
      <c r="C21" s="1246"/>
      <c r="D21" s="2567" t="str">
        <f>'[1]Surat-02'!T20</f>
        <v># Tiga Miliar Tiga Ratus Enam Puluh Delapan Juta - Rupiah #</v>
      </c>
      <c r="E21" s="2568" t="str">
        <f>'[1]Surat-02'!AD20</f>
        <v># Dua Miliar Tiga Ratus Lima Puluh Delapan Juta - Rupiah #</v>
      </c>
      <c r="F21" s="1284"/>
    </row>
    <row r="22" spans="1:6">
      <c r="A22" s="1283" t="s">
        <v>2574</v>
      </c>
      <c r="B22" s="1314" t="str">
        <f>'Surat-02'!M42</f>
        <v>Cukup Marketable</v>
      </c>
      <c r="C22" s="1314"/>
    </row>
  </sheetData>
  <mergeCells count="12">
    <mergeCell ref="B22:C22"/>
    <mergeCell ref="B8:E8"/>
    <mergeCell ref="B9:E9"/>
    <mergeCell ref="B10:E10"/>
    <mergeCell ref="B11:E11"/>
    <mergeCell ref="B12:E12"/>
    <mergeCell ref="B2:C2"/>
    <mergeCell ref="B3:E3"/>
    <mergeCell ref="B4:E4"/>
    <mergeCell ref="B5:E5"/>
    <mergeCell ref="B6:E6"/>
    <mergeCell ref="B7:E7"/>
  </mergeCells>
  <dataValidations count="1">
    <dataValidation type="whole" operator="lessThanOrEqual" allowBlank="1" showInputMessage="1" showErrorMessage="1" sqref="A1:K1">
      <formula1>-5</formula1>
    </dataValidation>
  </dataValidation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0"/>
  </sheetPr>
  <dimension ref="B1:CK137"/>
  <sheetViews>
    <sheetView showGridLines="0" topLeftCell="A3" zoomScaleNormal="100" zoomScaleSheetLayoutView="90" workbookViewId="0">
      <selection activeCell="B16" sqref="B16:J16"/>
    </sheetView>
  </sheetViews>
  <sheetFormatPr defaultColWidth="2.7109375" defaultRowHeight="17.100000000000001" customHeight="1"/>
  <cols>
    <col min="1" max="1" width="7.85546875" style="389" customWidth="1"/>
    <col min="2" max="9" width="2.7109375" style="389" customWidth="1"/>
    <col min="10" max="13" width="2.7109375" style="389"/>
    <col min="14" max="30" width="2.7109375" style="389" customWidth="1"/>
    <col min="31" max="31" width="2.28515625" style="389" customWidth="1"/>
    <col min="32" max="44" width="2.7109375" style="389" customWidth="1"/>
    <col min="45" max="45" width="4" style="389" customWidth="1"/>
    <col min="46" max="49" width="2.7109375" style="389" customWidth="1"/>
    <col min="50" max="50" width="2.85546875" style="389" customWidth="1"/>
    <col min="51" max="65" width="2.7109375" style="389" customWidth="1"/>
    <col min="66" max="69" width="2.7109375" style="389"/>
    <col min="70" max="71" width="2.85546875" style="389" customWidth="1"/>
    <col min="72" max="72" width="4.7109375" style="389" customWidth="1"/>
    <col min="73" max="74" width="2.85546875" style="389" customWidth="1"/>
    <col min="75" max="78" width="2.7109375" style="389"/>
    <col min="79" max="79" width="3.28515625" style="389" customWidth="1"/>
    <col min="80" max="16384" width="2.7109375" style="389"/>
  </cols>
  <sheetData>
    <row r="1" spans="2:65" ht="29.25" customHeight="1">
      <c r="B1" s="1371" t="s">
        <v>1850</v>
      </c>
      <c r="C1" s="1371"/>
      <c r="D1" s="1371"/>
      <c r="E1" s="1371"/>
      <c r="F1" s="1371"/>
      <c r="G1" s="1371"/>
      <c r="H1" s="1371"/>
      <c r="I1" s="1371"/>
      <c r="J1" s="1371"/>
      <c r="K1" s="1371"/>
      <c r="L1" s="1371"/>
      <c r="M1" s="1371"/>
      <c r="N1" s="1371"/>
      <c r="O1" s="1371"/>
      <c r="P1" s="1371"/>
      <c r="Q1" s="1371"/>
      <c r="R1" s="1371"/>
      <c r="S1" s="1371"/>
      <c r="T1" s="1371"/>
      <c r="U1" s="1371"/>
      <c r="V1" s="1371"/>
      <c r="W1" s="1371"/>
      <c r="X1" s="1371"/>
      <c r="Y1" s="1371"/>
      <c r="Z1" s="1371"/>
      <c r="AA1" s="1371"/>
      <c r="AB1" s="1371"/>
      <c r="AC1" s="302"/>
      <c r="AD1" s="302"/>
      <c r="AE1" s="302"/>
      <c r="AF1" s="302"/>
      <c r="AG1" s="302"/>
      <c r="AH1" s="302"/>
      <c r="AI1" s="302"/>
      <c r="AJ1" s="302"/>
      <c r="AK1" s="302"/>
      <c r="AL1" s="302"/>
      <c r="AM1" s="302"/>
      <c r="AN1" s="302"/>
      <c r="AO1" s="302"/>
      <c r="AP1" s="302"/>
      <c r="AQ1" s="302"/>
      <c r="AR1" s="302"/>
      <c r="AS1" s="302"/>
      <c r="AT1" s="302"/>
      <c r="AU1" s="302"/>
      <c r="AV1" s="302"/>
      <c r="AW1" s="302"/>
      <c r="AX1" s="302"/>
      <c r="AY1" s="302"/>
      <c r="AZ1" s="302"/>
      <c r="BA1" s="302"/>
      <c r="BB1" s="302"/>
      <c r="BC1" s="302"/>
    </row>
    <row r="2" spans="2:65" ht="6" customHeight="1">
      <c r="B2" s="416"/>
      <c r="C2" s="416"/>
      <c r="D2" s="416"/>
      <c r="E2" s="416"/>
      <c r="F2" s="416"/>
      <c r="G2" s="416"/>
      <c r="H2" s="416"/>
      <c r="I2" s="416"/>
      <c r="J2" s="416"/>
      <c r="K2" s="416"/>
      <c r="L2" s="416"/>
      <c r="M2" s="416"/>
      <c r="N2" s="416"/>
      <c r="O2" s="416"/>
      <c r="P2" s="416"/>
      <c r="Q2" s="416"/>
      <c r="R2" s="416"/>
      <c r="S2" s="416"/>
      <c r="T2" s="416"/>
      <c r="U2" s="416"/>
      <c r="V2" s="416"/>
      <c r="W2" s="416"/>
      <c r="X2" s="416"/>
      <c r="Y2" s="416"/>
      <c r="Z2" s="416"/>
      <c r="AA2" s="416"/>
      <c r="AB2" s="416"/>
      <c r="AC2" s="306"/>
      <c r="AD2" s="306"/>
      <c r="AE2" s="306"/>
      <c r="AF2" s="306"/>
      <c r="AG2" s="306"/>
      <c r="AH2" s="306"/>
      <c r="AI2" s="306"/>
      <c r="AJ2" s="306"/>
      <c r="AK2" s="306"/>
      <c r="AL2" s="306"/>
      <c r="AM2" s="306"/>
      <c r="AN2" s="306"/>
      <c r="AO2" s="306"/>
      <c r="AP2" s="306"/>
      <c r="AQ2" s="306"/>
      <c r="AR2" s="306"/>
      <c r="AS2" s="306"/>
      <c r="AT2" s="306"/>
      <c r="AU2" s="306"/>
      <c r="AV2" s="306"/>
      <c r="AW2" s="306"/>
      <c r="AX2" s="306"/>
      <c r="AY2" s="306"/>
      <c r="AZ2" s="306"/>
      <c r="BA2" s="306"/>
      <c r="BB2" s="306"/>
      <c r="BC2" s="306"/>
    </row>
    <row r="3" spans="2:65" s="417" customFormat="1" ht="14.1" customHeight="1">
      <c r="B3" s="1343" t="s">
        <v>1851</v>
      </c>
      <c r="C3" s="1344"/>
      <c r="D3" s="1344"/>
      <c r="E3" s="1344"/>
      <c r="F3" s="1344"/>
      <c r="G3" s="1344"/>
      <c r="H3" s="1344"/>
      <c r="I3" s="1344"/>
      <c r="J3" s="1344"/>
      <c r="K3" s="1344"/>
      <c r="L3" s="1344"/>
      <c r="M3" s="1344"/>
      <c r="N3" s="1344"/>
      <c r="O3" s="1344"/>
      <c r="P3" s="1344"/>
      <c r="Q3" s="1344"/>
      <c r="R3" s="1344"/>
      <c r="S3" s="1344"/>
      <c r="T3" s="1344"/>
      <c r="U3" s="1344"/>
      <c r="V3" s="1344"/>
      <c r="W3" s="1344"/>
      <c r="X3" s="1344"/>
      <c r="Y3" s="1344"/>
      <c r="Z3" s="1344"/>
      <c r="AA3" s="1344"/>
      <c r="AB3" s="1344"/>
    </row>
    <row r="4" spans="2:65" s="417" customFormat="1" ht="14.1" customHeight="1">
      <c r="B4" s="417" t="s">
        <v>2395</v>
      </c>
      <c r="K4" s="418" t="s">
        <v>5</v>
      </c>
      <c r="L4" s="1375" t="s">
        <v>2022</v>
      </c>
      <c r="M4" s="1376"/>
      <c r="N4" s="1376"/>
      <c r="O4" s="1376"/>
      <c r="P4" s="1376"/>
      <c r="Q4" s="1376"/>
      <c r="R4" s="1376"/>
      <c r="S4" s="1376"/>
      <c r="T4" s="1376"/>
      <c r="U4" s="1376"/>
      <c r="V4" s="1376"/>
      <c r="W4" s="1376"/>
      <c r="X4" s="1376"/>
      <c r="Y4" s="1376"/>
      <c r="Z4" s="1376"/>
      <c r="AA4" s="1376"/>
      <c r="AB4" s="1377"/>
      <c r="AW4" s="1028"/>
      <c r="AX4" s="1028" t="s">
        <v>2371</v>
      </c>
      <c r="AY4" s="1028"/>
      <c r="AZ4" s="1028"/>
      <c r="BA4" s="1028"/>
      <c r="BB4" s="1028"/>
      <c r="BC4" s="1028"/>
      <c r="BD4" s="1028"/>
      <c r="BE4" s="1028"/>
      <c r="BF4" s="1028"/>
      <c r="BG4" s="1028"/>
      <c r="BH4" s="1028"/>
      <c r="BI4" s="1028"/>
      <c r="BJ4" s="1028"/>
      <c r="BK4" s="1028"/>
      <c r="BL4" s="1028"/>
      <c r="BM4" s="1028"/>
    </row>
    <row r="5" spans="2:65" s="417" customFormat="1" ht="14.1" customHeight="1">
      <c r="B5" s="417" t="s">
        <v>1852</v>
      </c>
      <c r="K5" s="418" t="s">
        <v>5</v>
      </c>
      <c r="L5" s="1346" t="s">
        <v>2358</v>
      </c>
      <c r="M5" s="1346"/>
      <c r="N5" s="1346"/>
      <c r="O5" s="1346"/>
      <c r="P5" s="1346"/>
      <c r="Q5" s="1346"/>
      <c r="R5" s="1346"/>
      <c r="S5" s="1346"/>
      <c r="T5" s="1346"/>
      <c r="U5" s="1346"/>
      <c r="V5" s="1346"/>
      <c r="W5" s="1346"/>
      <c r="X5" s="1346"/>
      <c r="Y5" s="1346"/>
      <c r="Z5" s="1346"/>
      <c r="AA5" s="1346"/>
      <c r="AB5" s="1346"/>
      <c r="AY5" s="434" t="s">
        <v>1892</v>
      </c>
      <c r="BG5" s="1031" t="s">
        <v>2380</v>
      </c>
      <c r="BH5" s="417" t="s">
        <v>2381</v>
      </c>
    </row>
    <row r="6" spans="2:65" s="417" customFormat="1" ht="14.1" customHeight="1">
      <c r="B6" s="417" t="s">
        <v>1853</v>
      </c>
      <c r="K6" s="418" t="s">
        <v>5</v>
      </c>
      <c r="L6" s="1362" t="s">
        <v>2373</v>
      </c>
      <c r="M6" s="1362"/>
      <c r="N6" s="1362"/>
      <c r="O6" s="1362"/>
      <c r="P6" s="1362"/>
      <c r="Q6" s="1362"/>
      <c r="R6" s="1362"/>
      <c r="S6" s="1362"/>
      <c r="T6" s="1362"/>
      <c r="U6" s="1362"/>
      <c r="V6" s="1362"/>
      <c r="W6" s="1362"/>
      <c r="X6" s="1362"/>
      <c r="Y6" s="1362"/>
      <c r="Z6" s="1362"/>
      <c r="AA6" s="1362"/>
      <c r="AB6" s="1362"/>
      <c r="AX6" s="434" t="s">
        <v>1822</v>
      </c>
      <c r="AY6" s="417" t="s">
        <v>2372</v>
      </c>
      <c r="BG6" s="417" t="s">
        <v>2486</v>
      </c>
    </row>
    <row r="7" spans="2:65" s="417" customFormat="1" ht="14.1" customHeight="1">
      <c r="B7" s="417" t="s">
        <v>1854</v>
      </c>
      <c r="K7" s="418"/>
      <c r="L7" s="1372" t="str">
        <f>VLOOKUP(L6,AY5:BG15,9,FALSE)</f>
        <v>MAPPI No.: 17-P-07130</v>
      </c>
      <c r="M7" s="1373"/>
      <c r="N7" s="1373"/>
      <c r="O7" s="1373"/>
      <c r="P7" s="1373"/>
      <c r="Q7" s="1373"/>
      <c r="R7" s="1373"/>
      <c r="S7" s="1373"/>
      <c r="T7" s="1373"/>
      <c r="U7" s="1373"/>
      <c r="V7" s="1373"/>
      <c r="W7" s="1373"/>
      <c r="X7" s="1373"/>
      <c r="Y7" s="1373"/>
      <c r="Z7" s="1373"/>
      <c r="AA7" s="1373"/>
      <c r="AB7" s="1374"/>
      <c r="AD7" s="1034"/>
      <c r="AE7" s="1034"/>
      <c r="AF7" s="1034"/>
      <c r="AG7" s="1034"/>
      <c r="AH7" s="1034"/>
      <c r="AI7" s="1034"/>
      <c r="AJ7" s="1034"/>
      <c r="AK7" s="1034"/>
      <c r="AL7" s="1034"/>
      <c r="AM7" s="1034"/>
      <c r="AN7" s="1034"/>
      <c r="AO7" s="1034"/>
      <c r="AP7" s="1034"/>
      <c r="AQ7" s="1034"/>
      <c r="AR7" s="1034"/>
      <c r="AS7" s="1034"/>
      <c r="AT7" s="1034"/>
      <c r="AX7" s="434" t="s">
        <v>1823</v>
      </c>
      <c r="AY7" s="417" t="s">
        <v>2376</v>
      </c>
      <c r="BG7" s="417" t="s">
        <v>2377</v>
      </c>
    </row>
    <row r="8" spans="2:65" s="417" customFormat="1" ht="14.1" customHeight="1">
      <c r="B8" s="417" t="s">
        <v>1855</v>
      </c>
      <c r="K8" s="418" t="s">
        <v>5</v>
      </c>
      <c r="L8" s="1370">
        <v>43216</v>
      </c>
      <c r="M8" s="1370"/>
      <c r="N8" s="1370"/>
      <c r="O8" s="1370"/>
      <c r="P8" s="1370"/>
      <c r="Q8" s="1370"/>
      <c r="R8" s="1370"/>
      <c r="S8" s="1370"/>
      <c r="T8" s="1370"/>
      <c r="U8" s="1370"/>
      <c r="V8" s="1370"/>
      <c r="W8" s="1370"/>
      <c r="X8" s="1370"/>
      <c r="Y8" s="1370"/>
      <c r="Z8" s="1370"/>
      <c r="AA8" s="1370"/>
      <c r="AB8" s="1370"/>
      <c r="AX8" s="434" t="s">
        <v>1880</v>
      </c>
      <c r="AY8" s="417" t="s">
        <v>2378</v>
      </c>
      <c r="BG8" s="1029" t="s">
        <v>2362</v>
      </c>
    </row>
    <row r="9" spans="2:65" s="417" customFormat="1" ht="14.1" customHeight="1">
      <c r="B9" s="417" t="s">
        <v>1856</v>
      </c>
      <c r="K9" s="418" t="s">
        <v>5</v>
      </c>
      <c r="L9" s="1359" t="s">
        <v>2566</v>
      </c>
      <c r="M9" s="1359"/>
      <c r="N9" s="1359"/>
      <c r="O9" s="1359"/>
      <c r="P9" s="1359"/>
      <c r="Q9" s="1359"/>
      <c r="R9" s="1359"/>
      <c r="S9" s="1359"/>
      <c r="T9" s="1359"/>
      <c r="U9" s="1359"/>
      <c r="V9" s="1359"/>
      <c r="W9" s="1359"/>
      <c r="X9" s="1359"/>
      <c r="Y9" s="1359"/>
      <c r="Z9" s="1359"/>
      <c r="AA9" s="1359"/>
      <c r="AB9" s="1359"/>
      <c r="AX9" s="434" t="s">
        <v>1882</v>
      </c>
      <c r="AY9" s="417" t="s">
        <v>2373</v>
      </c>
      <c r="BG9" s="417" t="s">
        <v>2496</v>
      </c>
    </row>
    <row r="10" spans="2:65" s="417" customFormat="1" ht="14.1" customHeight="1">
      <c r="B10" s="417" t="s">
        <v>1857</v>
      </c>
      <c r="K10" s="418" t="s">
        <v>5</v>
      </c>
      <c r="L10" s="1360" t="s">
        <v>2561</v>
      </c>
      <c r="M10" s="1360"/>
      <c r="N10" s="1360"/>
      <c r="O10" s="1360"/>
      <c r="P10" s="1360"/>
      <c r="Q10" s="1360"/>
      <c r="R10" s="1360"/>
      <c r="S10" s="1360"/>
      <c r="T10" s="1360"/>
      <c r="U10" s="1360"/>
      <c r="V10" s="1360"/>
      <c r="W10" s="1360"/>
      <c r="X10" s="1360"/>
      <c r="Y10" s="1360"/>
      <c r="Z10" s="1360"/>
      <c r="AA10" s="1360"/>
      <c r="AB10" s="1360"/>
      <c r="AX10" s="434" t="s">
        <v>1884</v>
      </c>
      <c r="AY10" s="417" t="s">
        <v>2374</v>
      </c>
      <c r="BG10" s="417" t="s">
        <v>2375</v>
      </c>
    </row>
    <row r="11" spans="2:65" s="417" customFormat="1" ht="14.1" customHeight="1">
      <c r="AX11" s="434" t="s">
        <v>1886</v>
      </c>
      <c r="AY11" s="417" t="s">
        <v>2482</v>
      </c>
      <c r="BG11" s="417" t="s">
        <v>2485</v>
      </c>
    </row>
    <row r="12" spans="2:65" s="417" customFormat="1" ht="14.1" customHeight="1">
      <c r="B12" s="1361" t="s">
        <v>1858</v>
      </c>
      <c r="C12" s="1361"/>
      <c r="D12" s="1361"/>
      <c r="E12" s="1361"/>
      <c r="F12" s="1361"/>
      <c r="G12" s="1361"/>
      <c r="H12" s="1361"/>
      <c r="I12" s="1361"/>
      <c r="J12" s="1361"/>
      <c r="K12" s="1361"/>
      <c r="L12" s="1361"/>
      <c r="M12" s="1361"/>
      <c r="N12" s="1361"/>
      <c r="O12" s="1361"/>
      <c r="P12" s="1361"/>
      <c r="Q12" s="1361"/>
      <c r="R12" s="1361"/>
      <c r="S12" s="1361"/>
      <c r="T12" s="1361"/>
      <c r="U12" s="1361"/>
      <c r="V12" s="1361"/>
      <c r="W12" s="1361"/>
      <c r="X12" s="1361"/>
      <c r="Y12" s="1361"/>
      <c r="Z12" s="1361"/>
      <c r="AA12" s="1361"/>
      <c r="AB12" s="1361"/>
      <c r="AX12" s="434" t="s">
        <v>1888</v>
      </c>
      <c r="AY12" s="417" t="s">
        <v>2484</v>
      </c>
      <c r="BG12" s="417" t="s">
        <v>2483</v>
      </c>
    </row>
    <row r="13" spans="2:65" s="420" customFormat="1" ht="14.1" customHeight="1">
      <c r="B13" s="420" t="s">
        <v>1859</v>
      </c>
      <c r="K13" s="421" t="s">
        <v>5</v>
      </c>
      <c r="L13" s="1362" t="s">
        <v>2477</v>
      </c>
      <c r="M13" s="1362"/>
      <c r="N13" s="1362"/>
      <c r="O13" s="1362"/>
      <c r="P13" s="1362"/>
      <c r="Q13" s="1362"/>
      <c r="R13" s="1362"/>
      <c r="S13" s="1362"/>
      <c r="T13" s="1362"/>
      <c r="U13" s="1362"/>
      <c r="V13" s="1362"/>
      <c r="W13" s="1362"/>
      <c r="X13" s="1362"/>
      <c r="Y13" s="1362"/>
      <c r="Z13" s="1362"/>
      <c r="AA13" s="1362"/>
      <c r="AB13" s="1362"/>
      <c r="AX13" s="434" t="s">
        <v>1890</v>
      </c>
      <c r="AY13" s="417"/>
      <c r="AZ13" s="417"/>
      <c r="BA13" s="417"/>
      <c r="BB13" s="417"/>
      <c r="BC13" s="417"/>
      <c r="BD13" s="417"/>
      <c r="BE13" s="417"/>
      <c r="BF13" s="417"/>
      <c r="BG13" s="417"/>
      <c r="BH13" s="417"/>
      <c r="BI13" s="417"/>
      <c r="BJ13" s="417"/>
      <c r="BK13" s="417"/>
    </row>
    <row r="14" spans="2:65" s="420" customFormat="1" ht="14.1" customHeight="1">
      <c r="B14" s="420" t="s">
        <v>1860</v>
      </c>
      <c r="K14" s="421" t="s">
        <v>5</v>
      </c>
      <c r="L14" s="1363" t="s">
        <v>1177</v>
      </c>
      <c r="M14" s="1363"/>
      <c r="N14" s="1363"/>
      <c r="O14" s="1363"/>
      <c r="P14" s="1363"/>
      <c r="Q14" s="1363"/>
      <c r="R14" s="1363"/>
      <c r="S14" s="1363"/>
      <c r="T14" s="1363"/>
      <c r="U14" s="1363"/>
      <c r="V14" s="1363"/>
      <c r="W14" s="1363"/>
      <c r="X14" s="1363"/>
      <c r="Y14" s="1363"/>
      <c r="Z14" s="1363"/>
      <c r="AA14" s="1363"/>
      <c r="AB14" s="1363"/>
      <c r="AX14" s="1027"/>
    </row>
    <row r="15" spans="2:65" s="420" customFormat="1" ht="14.1" customHeight="1">
      <c r="B15" s="1364" t="s">
        <v>2435</v>
      </c>
      <c r="C15" s="1365"/>
      <c r="D15" s="1365"/>
      <c r="E15" s="1365"/>
      <c r="F15" s="1365"/>
      <c r="G15" s="1365"/>
      <c r="H15" s="1365"/>
      <c r="I15" s="1365"/>
      <c r="J15" s="1365"/>
      <c r="K15" s="421" t="s">
        <v>5</v>
      </c>
      <c r="L15" s="1366" t="s">
        <v>2567</v>
      </c>
      <c r="M15" s="1366"/>
      <c r="N15" s="1366"/>
      <c r="O15" s="1366"/>
      <c r="P15" s="1366"/>
      <c r="Q15" s="1366"/>
      <c r="R15" s="1366"/>
      <c r="S15" s="1366"/>
      <c r="T15" s="1366"/>
      <c r="U15" s="1366"/>
      <c r="V15" s="1366"/>
      <c r="W15" s="1366"/>
      <c r="X15" s="1366"/>
      <c r="Y15" s="1366"/>
      <c r="Z15" s="1366"/>
      <c r="AA15" s="1366"/>
      <c r="AB15" s="1366"/>
      <c r="AX15" s="1027"/>
    </row>
    <row r="16" spans="2:65" s="420" customFormat="1" ht="14.1" customHeight="1">
      <c r="B16" s="1364" t="s">
        <v>2573</v>
      </c>
      <c r="C16" s="1365"/>
      <c r="D16" s="1365"/>
      <c r="E16" s="1365"/>
      <c r="F16" s="1365"/>
      <c r="G16" s="1365"/>
      <c r="H16" s="1365"/>
      <c r="I16" s="1365"/>
      <c r="J16" s="1365"/>
      <c r="K16" s="421" t="s">
        <v>5</v>
      </c>
      <c r="L16" s="1366" t="s">
        <v>2568</v>
      </c>
      <c r="M16" s="1366"/>
      <c r="N16" s="1366"/>
      <c r="O16" s="1366"/>
      <c r="P16" s="1366"/>
      <c r="Q16" s="1366"/>
      <c r="R16" s="1366"/>
      <c r="S16" s="1366"/>
      <c r="T16" s="1366"/>
      <c r="U16" s="1366"/>
      <c r="V16" s="1366"/>
      <c r="W16" s="1366"/>
      <c r="X16" s="1366"/>
      <c r="Y16" s="1366"/>
      <c r="Z16" s="1366"/>
      <c r="AA16" s="1366"/>
      <c r="AB16" s="1366"/>
      <c r="AX16" s="1027"/>
    </row>
    <row r="17" spans="2:74" s="420" customFormat="1" ht="14.1" customHeight="1">
      <c r="B17" s="420" t="s">
        <v>1861</v>
      </c>
      <c r="K17" s="421" t="s">
        <v>5</v>
      </c>
      <c r="L17" s="1367" t="s">
        <v>3</v>
      </c>
      <c r="M17" s="1367"/>
      <c r="N17" s="1367"/>
      <c r="O17" s="1367"/>
      <c r="P17" s="1367"/>
      <c r="Q17" s="1367"/>
      <c r="R17" s="1367"/>
      <c r="S17" s="1367"/>
      <c r="T17" s="1367"/>
      <c r="U17" s="1367"/>
      <c r="V17" s="1367"/>
      <c r="W17" s="1367"/>
      <c r="X17" s="1367"/>
      <c r="Y17" s="1367"/>
      <c r="Z17" s="1367"/>
      <c r="AA17" s="1367"/>
      <c r="AB17" s="1367"/>
      <c r="AW17" s="706"/>
      <c r="AX17" s="629"/>
      <c r="AY17" s="613"/>
      <c r="AZ17" s="707"/>
      <c r="BA17" s="613"/>
      <c r="BB17" s="613"/>
      <c r="BC17" s="613"/>
      <c r="BD17" s="613"/>
      <c r="BE17" s="613"/>
    </row>
    <row r="18" spans="2:74" s="420" customFormat="1" ht="14.1" customHeight="1">
      <c r="B18" s="420" t="s">
        <v>1862</v>
      </c>
      <c r="K18" s="421" t="s">
        <v>5</v>
      </c>
      <c r="L18" s="1368" t="s">
        <v>2503</v>
      </c>
      <c r="M18" s="1358"/>
      <c r="N18" s="1358"/>
      <c r="O18" s="1358"/>
      <c r="P18" s="1358"/>
      <c r="Q18" s="1358"/>
      <c r="R18" s="1358"/>
      <c r="S18" s="1358"/>
      <c r="T18" s="1358"/>
      <c r="U18" s="1358"/>
      <c r="V18" s="1358"/>
      <c r="W18" s="1358"/>
      <c r="X18" s="1358"/>
      <c r="Y18" s="1358"/>
      <c r="Z18" s="1358"/>
      <c r="AA18" s="1358"/>
      <c r="AB18" s="1358"/>
      <c r="AW18" s="709"/>
      <c r="AX18" s="629"/>
      <c r="AY18" s="613"/>
      <c r="AZ18" s="707"/>
      <c r="BA18" s="613"/>
      <c r="BB18" s="613"/>
      <c r="BC18" s="613"/>
      <c r="BD18" s="613"/>
      <c r="BE18" s="613"/>
    </row>
    <row r="19" spans="2:74" s="420" customFormat="1" ht="14.1" customHeight="1">
      <c r="B19" s="420" t="s">
        <v>1863</v>
      </c>
      <c r="K19" s="421" t="s">
        <v>5</v>
      </c>
      <c r="L19" s="1369" t="s">
        <v>3</v>
      </c>
      <c r="M19" s="1369"/>
      <c r="N19" s="1369"/>
      <c r="O19" s="1369"/>
      <c r="P19" s="1369"/>
      <c r="Q19" s="1369"/>
      <c r="R19" s="1369"/>
      <c r="S19" s="1369"/>
      <c r="T19" s="1369"/>
      <c r="U19" s="1369"/>
      <c r="V19" s="1369"/>
      <c r="W19" s="1369"/>
      <c r="X19" s="1369"/>
      <c r="Y19" s="1369"/>
      <c r="Z19" s="1369"/>
      <c r="AA19" s="1369"/>
      <c r="AB19" s="1369"/>
      <c r="AW19" s="711"/>
      <c r="AX19" s="711"/>
      <c r="AY19" s="711"/>
      <c r="AZ19" s="711"/>
      <c r="BA19" s="714"/>
      <c r="BB19" s="712"/>
      <c r="BC19" s="711"/>
      <c r="BD19" s="711"/>
      <c r="BE19" s="711"/>
    </row>
    <row r="20" spans="2:74" s="420" customFormat="1" ht="14.1" customHeight="1">
      <c r="B20" s="420" t="s">
        <v>1864</v>
      </c>
      <c r="K20" s="421" t="s">
        <v>5</v>
      </c>
      <c r="L20" s="1369" t="s">
        <v>3</v>
      </c>
      <c r="M20" s="1369"/>
      <c r="N20" s="1369"/>
      <c r="O20" s="1369"/>
      <c r="P20" s="1369"/>
      <c r="Q20" s="1369"/>
      <c r="R20" s="1369"/>
      <c r="S20" s="1369"/>
      <c r="T20" s="1369"/>
      <c r="U20" s="1369"/>
      <c r="V20" s="1369"/>
      <c r="W20" s="1369"/>
      <c r="X20" s="1369"/>
      <c r="Y20" s="1369"/>
      <c r="Z20" s="1369"/>
      <c r="AA20" s="1369"/>
      <c r="AB20" s="1369"/>
      <c r="AW20" s="711"/>
      <c r="AX20" s="711"/>
      <c r="AY20" s="711"/>
      <c r="AZ20" s="711"/>
      <c r="BA20" s="714"/>
      <c r="BB20" s="712"/>
      <c r="BC20" s="711"/>
      <c r="BD20" s="711"/>
      <c r="BE20" s="711"/>
    </row>
    <row r="21" spans="2:74" s="420" customFormat="1" ht="14.1" customHeight="1">
      <c r="B21" s="420" t="s">
        <v>1865</v>
      </c>
      <c r="K21" s="421" t="s">
        <v>5</v>
      </c>
      <c r="L21" s="1358" t="s">
        <v>3</v>
      </c>
      <c r="M21" s="1358"/>
      <c r="N21" s="1358"/>
      <c r="O21" s="1358"/>
      <c r="P21" s="1358"/>
      <c r="Q21" s="1358"/>
      <c r="R21" s="1358"/>
      <c r="S21" s="1358"/>
      <c r="T21" s="1358"/>
      <c r="U21" s="1358"/>
      <c r="V21" s="1358"/>
      <c r="W21" s="1358"/>
      <c r="X21" s="1358"/>
      <c r="Y21" s="1358"/>
      <c r="Z21" s="1358"/>
      <c r="AA21" s="1358"/>
      <c r="AB21" s="1358"/>
      <c r="AW21" s="711"/>
      <c r="AX21" s="711"/>
      <c r="AY21" s="711"/>
      <c r="AZ21" s="711"/>
      <c r="BA21" s="714"/>
      <c r="BB21" s="712"/>
      <c r="BC21" s="711"/>
      <c r="BD21" s="711"/>
      <c r="BE21" s="711"/>
    </row>
    <row r="22" spans="2:74" s="420" customFormat="1" ht="14.1" customHeight="1">
      <c r="B22" s="420" t="s">
        <v>1866</v>
      </c>
      <c r="K22" s="421" t="s">
        <v>5</v>
      </c>
      <c r="L22" s="1358" t="s">
        <v>3</v>
      </c>
      <c r="M22" s="1358"/>
      <c r="N22" s="1358"/>
      <c r="O22" s="1358"/>
      <c r="P22" s="1358"/>
      <c r="Q22" s="1358"/>
      <c r="R22" s="1358"/>
      <c r="S22" s="1358"/>
      <c r="T22" s="1358"/>
      <c r="U22" s="1358"/>
      <c r="V22" s="1358"/>
      <c r="W22" s="1358"/>
      <c r="X22" s="1358"/>
      <c r="Y22" s="1358"/>
      <c r="Z22" s="1358"/>
      <c r="AA22" s="1358"/>
      <c r="AB22" s="1358"/>
      <c r="AW22" s="711"/>
      <c r="AX22" s="711"/>
      <c r="AY22" s="711"/>
      <c r="AZ22" s="711"/>
      <c r="BA22" s="714"/>
      <c r="BB22" s="712"/>
      <c r="BC22" s="711"/>
      <c r="BD22" s="711"/>
      <c r="BE22" s="711"/>
    </row>
    <row r="23" spans="2:74" ht="14.1" customHeight="1">
      <c r="B23" s="422"/>
      <c r="C23" s="422"/>
      <c r="D23" s="422"/>
      <c r="E23" s="422"/>
      <c r="F23" s="422"/>
      <c r="G23" s="422"/>
      <c r="H23" s="422"/>
      <c r="I23" s="422"/>
      <c r="J23" s="422"/>
      <c r="K23" s="422"/>
      <c r="L23" s="422"/>
      <c r="M23" s="422"/>
      <c r="N23" s="422"/>
      <c r="O23" s="422"/>
      <c r="P23" s="422"/>
      <c r="Q23" s="422"/>
      <c r="R23" s="422"/>
      <c r="S23" s="422"/>
      <c r="T23" s="422"/>
      <c r="U23" s="422"/>
      <c r="V23" s="422"/>
      <c r="W23" s="422"/>
      <c r="X23" s="422"/>
      <c r="Y23" s="422"/>
      <c r="Z23" s="422"/>
      <c r="AA23" s="422"/>
      <c r="AB23" s="422"/>
      <c r="AC23" s="422"/>
      <c r="AD23" s="422"/>
      <c r="AE23" s="422"/>
      <c r="AF23" s="422"/>
      <c r="AG23" s="422"/>
      <c r="AH23" s="422"/>
      <c r="AI23" s="422"/>
      <c r="AJ23" s="422"/>
      <c r="AK23" s="422"/>
      <c r="AL23" s="422"/>
      <c r="AM23" s="422"/>
      <c r="AN23" s="422"/>
      <c r="AO23" s="422"/>
      <c r="AP23" s="422"/>
      <c r="AQ23" s="422"/>
      <c r="AR23" s="422"/>
      <c r="AS23" s="422"/>
      <c r="AT23" s="422"/>
      <c r="AU23" s="422"/>
      <c r="AV23" s="422"/>
      <c r="AW23" s="711"/>
      <c r="AX23" s="711"/>
      <c r="AY23" s="711"/>
      <c r="AZ23" s="711"/>
      <c r="BA23" s="714"/>
      <c r="BB23" s="712"/>
      <c r="BC23" s="711"/>
      <c r="BD23" s="711"/>
      <c r="BE23" s="711"/>
      <c r="BF23" s="420"/>
      <c r="BG23" s="420"/>
      <c r="BH23" s="420"/>
    </row>
    <row r="24" spans="2:74" ht="14.1" customHeight="1">
      <c r="B24" s="1343" t="s">
        <v>1867</v>
      </c>
      <c r="C24" s="1344"/>
      <c r="D24" s="1344"/>
      <c r="E24" s="1344"/>
      <c r="F24" s="1344"/>
      <c r="G24" s="1344"/>
      <c r="H24" s="1344"/>
      <c r="I24" s="1344"/>
      <c r="J24" s="1344"/>
      <c r="K24" s="1344"/>
      <c r="L24" s="1345"/>
      <c r="M24" s="1345"/>
      <c r="N24" s="1345"/>
      <c r="O24" s="1345"/>
      <c r="P24" s="1345"/>
      <c r="Q24" s="1345"/>
      <c r="R24" s="1345"/>
      <c r="S24" s="1345"/>
      <c r="T24" s="1345"/>
      <c r="U24" s="1345"/>
      <c r="V24" s="1345"/>
      <c r="W24" s="1345"/>
      <c r="X24" s="1345"/>
      <c r="Y24" s="1345"/>
      <c r="Z24" s="1345"/>
      <c r="AA24" s="1345"/>
      <c r="AB24" s="1345"/>
      <c r="AC24" s="422"/>
      <c r="AD24" s="422"/>
      <c r="AE24" s="422"/>
      <c r="AF24" s="422"/>
      <c r="AG24" s="422"/>
      <c r="AH24" s="422"/>
      <c r="AI24" s="422"/>
      <c r="AJ24" s="422"/>
      <c r="AK24" s="422"/>
      <c r="AL24" s="422"/>
      <c r="AM24" s="422"/>
      <c r="AN24" s="422"/>
      <c r="AO24" s="422"/>
      <c r="AP24" s="422"/>
      <c r="AQ24" s="422"/>
      <c r="AR24" s="422"/>
      <c r="AS24" s="422"/>
      <c r="AT24" s="422"/>
      <c r="AU24" s="422"/>
      <c r="AV24" s="422"/>
      <c r="AW24" s="420"/>
      <c r="AX24" s="420"/>
      <c r="AY24" s="420"/>
      <c r="AZ24" s="420"/>
      <c r="BA24" s="420"/>
      <c r="BB24" s="420"/>
      <c r="BC24" s="420"/>
      <c r="BD24" s="420"/>
      <c r="BE24" s="420"/>
      <c r="BF24" s="420"/>
      <c r="BG24" s="420"/>
      <c r="BH24" s="420"/>
      <c r="BQ24" s="711"/>
      <c r="BR24" s="711"/>
      <c r="BS24" s="711"/>
      <c r="BT24" s="711"/>
      <c r="BU24" s="714"/>
      <c r="BV24" s="712"/>
    </row>
    <row r="25" spans="2:74" ht="14.1" customHeight="1">
      <c r="B25" s="404" t="s">
        <v>2350</v>
      </c>
      <c r="C25" s="417"/>
      <c r="D25" s="417"/>
      <c r="E25" s="417"/>
      <c r="F25" s="417"/>
      <c r="G25" s="417"/>
      <c r="H25" s="417"/>
      <c r="I25" s="417"/>
      <c r="J25" s="417"/>
      <c r="K25" s="418" t="s">
        <v>5</v>
      </c>
      <c r="L25" s="1357" t="s">
        <v>2450</v>
      </c>
      <c r="M25" s="1357"/>
      <c r="N25" s="1357"/>
      <c r="O25" s="1357"/>
      <c r="P25" s="1357"/>
      <c r="Q25" s="1357"/>
      <c r="R25" s="1357"/>
      <c r="S25" s="1357"/>
      <c r="T25" s="1357"/>
      <c r="U25" s="1357"/>
      <c r="V25" s="1357"/>
      <c r="W25" s="1357"/>
      <c r="X25" s="1357"/>
      <c r="Y25" s="1357"/>
      <c r="Z25" s="1357"/>
      <c r="AA25" s="1357"/>
      <c r="AB25" s="1357"/>
      <c r="AC25" s="422"/>
      <c r="AD25" s="963" t="str">
        <f>VLOOKUP(L25,AM85:AU93,9,FALSE)</f>
        <v>PT. BANK RAKYAT INDONESIA (PERSERO), Tbk.</v>
      </c>
      <c r="AE25" s="422"/>
      <c r="AF25" s="422"/>
      <c r="AG25" s="422"/>
      <c r="AH25" s="422"/>
      <c r="AI25" s="422"/>
      <c r="AJ25" s="422"/>
      <c r="AK25" s="422"/>
      <c r="AL25" s="422"/>
      <c r="AM25" s="422"/>
      <c r="AN25" s="422"/>
      <c r="AO25" s="422"/>
      <c r="AP25" s="422"/>
      <c r="AQ25" s="422"/>
      <c r="AR25" s="422"/>
      <c r="AS25" s="422"/>
      <c r="AT25" s="422"/>
      <c r="AU25" s="422"/>
      <c r="AV25" s="422"/>
      <c r="BQ25" s="711"/>
      <c r="BR25" s="711"/>
      <c r="BS25" s="711"/>
      <c r="BT25" s="711"/>
      <c r="BU25" s="714"/>
      <c r="BV25" s="712"/>
    </row>
    <row r="26" spans="2:74" ht="14.1" customHeight="1">
      <c r="B26" s="404" t="s">
        <v>2351</v>
      </c>
      <c r="C26" s="417"/>
      <c r="D26" s="417"/>
      <c r="E26" s="417"/>
      <c r="F26" s="417"/>
      <c r="G26" s="417"/>
      <c r="H26" s="417"/>
      <c r="I26" s="417"/>
      <c r="J26" s="417"/>
      <c r="K26" s="418" t="s">
        <v>5</v>
      </c>
      <c r="L26" s="1357" t="s">
        <v>2355</v>
      </c>
      <c r="M26" s="1357"/>
      <c r="N26" s="1357"/>
      <c r="O26" s="1357"/>
      <c r="P26" s="1357"/>
      <c r="Q26" s="1357"/>
      <c r="R26" s="1357"/>
      <c r="S26" s="1357"/>
      <c r="T26" s="1357"/>
      <c r="U26" s="1357"/>
      <c r="V26" s="1357"/>
      <c r="W26" s="1357"/>
      <c r="X26" s="1357"/>
      <c r="Y26" s="1357"/>
      <c r="Z26" s="1357"/>
      <c r="AA26" s="1357"/>
      <c r="AB26" s="1357"/>
      <c r="AC26" s="422"/>
      <c r="AD26" s="422"/>
      <c r="AE26" s="422"/>
      <c r="AF26" s="422"/>
      <c r="AG26" s="422"/>
      <c r="AH26" s="422"/>
      <c r="AI26" s="422"/>
      <c r="AJ26" s="422"/>
      <c r="AK26" s="422"/>
      <c r="AL26" s="422"/>
      <c r="AM26" s="422"/>
      <c r="AN26" s="422"/>
      <c r="AO26" s="422"/>
      <c r="AP26" s="422"/>
      <c r="AQ26" s="422"/>
      <c r="AR26" s="422"/>
      <c r="AS26" s="422"/>
      <c r="AT26" s="422"/>
      <c r="AU26" s="422"/>
      <c r="AV26" s="422"/>
      <c r="AW26" s="706"/>
      <c r="AX26" s="629"/>
      <c r="AY26" s="613"/>
      <c r="AZ26" s="707"/>
      <c r="BA26" s="613"/>
      <c r="BB26" s="613"/>
      <c r="BC26" s="613"/>
      <c r="BD26" s="613"/>
      <c r="BQ26" s="420"/>
      <c r="BR26" s="420"/>
      <c r="BS26" s="420"/>
      <c r="BT26" s="420"/>
      <c r="BU26" s="420"/>
      <c r="BV26" s="420"/>
    </row>
    <row r="27" spans="2:74" ht="14.1" customHeight="1">
      <c r="B27" s="417" t="s">
        <v>1870</v>
      </c>
      <c r="C27" s="417"/>
      <c r="D27" s="417"/>
      <c r="E27" s="417"/>
      <c r="F27" s="417"/>
      <c r="G27" s="417"/>
      <c r="H27" s="417"/>
      <c r="I27" s="417"/>
      <c r="J27" s="417"/>
      <c r="K27" s="418" t="s">
        <v>5</v>
      </c>
      <c r="L27" s="1346" t="s">
        <v>2504</v>
      </c>
      <c r="M27" s="1346"/>
      <c r="N27" s="1346"/>
      <c r="O27" s="1346"/>
      <c r="P27" s="1346"/>
      <c r="Q27" s="1346"/>
      <c r="R27" s="1346"/>
      <c r="S27" s="1346"/>
      <c r="T27" s="1346"/>
      <c r="U27" s="1346"/>
      <c r="V27" s="1346"/>
      <c r="W27" s="1346"/>
      <c r="X27" s="1346"/>
      <c r="Y27" s="1346"/>
      <c r="Z27" s="1346"/>
      <c r="AA27" s="1346"/>
      <c r="AB27" s="1346"/>
      <c r="AC27" s="422"/>
      <c r="AD27" s="422"/>
      <c r="AE27" s="422"/>
      <c r="AF27" s="422"/>
      <c r="AG27" s="422"/>
      <c r="AH27" s="422"/>
      <c r="AI27" s="422"/>
      <c r="AJ27" s="422"/>
      <c r="AK27" s="422"/>
      <c r="AL27" s="422"/>
      <c r="AM27" s="422"/>
      <c r="AN27" s="422"/>
      <c r="AO27" s="422"/>
      <c r="AP27" s="422"/>
      <c r="AQ27" s="422"/>
      <c r="AR27" s="422"/>
      <c r="AS27" s="422"/>
      <c r="AT27" s="422"/>
      <c r="AU27" s="422"/>
      <c r="AV27" s="422"/>
      <c r="AW27" s="709"/>
      <c r="AX27" s="629"/>
      <c r="AY27" s="613"/>
      <c r="AZ27" s="707"/>
      <c r="BA27" s="613"/>
      <c r="BB27" s="613"/>
      <c r="BC27" s="613"/>
      <c r="BD27" s="613"/>
    </row>
    <row r="28" spans="2:74" ht="14.1" customHeight="1">
      <c r="B28" s="417" t="s">
        <v>1868</v>
      </c>
      <c r="C28" s="417"/>
      <c r="D28" s="417"/>
      <c r="E28" s="417"/>
      <c r="F28" s="417"/>
      <c r="G28" s="417"/>
      <c r="H28" s="417"/>
      <c r="I28" s="417"/>
      <c r="J28" s="417"/>
      <c r="K28" s="418" t="s">
        <v>5</v>
      </c>
      <c r="L28" s="1347" t="s">
        <v>2563</v>
      </c>
      <c r="M28" s="1346"/>
      <c r="N28" s="1346"/>
      <c r="O28" s="1346"/>
      <c r="P28" s="1346"/>
      <c r="Q28" s="1346"/>
      <c r="R28" s="1346"/>
      <c r="S28" s="1346"/>
      <c r="T28" s="1346"/>
      <c r="U28" s="1346"/>
      <c r="V28" s="1346"/>
      <c r="W28" s="1346"/>
      <c r="X28" s="1346"/>
      <c r="Y28" s="1346"/>
      <c r="Z28" s="1346"/>
      <c r="AA28" s="1346"/>
      <c r="AB28" s="1346"/>
      <c r="AC28" s="422"/>
      <c r="AD28" s="422"/>
      <c r="AE28" s="422"/>
      <c r="AF28" s="422"/>
      <c r="AG28" s="422"/>
      <c r="AH28" s="422"/>
      <c r="AI28" s="422"/>
      <c r="AJ28" s="422"/>
      <c r="AK28" s="422"/>
      <c r="AL28" s="422"/>
      <c r="AM28" s="422"/>
      <c r="AN28" s="422"/>
      <c r="AO28" s="422"/>
      <c r="AP28" s="422"/>
      <c r="AQ28" s="422"/>
      <c r="AR28" s="422"/>
      <c r="AS28" s="422"/>
      <c r="AT28" s="422"/>
      <c r="AU28" s="422"/>
      <c r="AV28" s="422"/>
      <c r="AW28" s="711"/>
      <c r="AX28" s="711"/>
      <c r="AY28" s="711"/>
      <c r="AZ28" s="711"/>
      <c r="BA28" s="712"/>
      <c r="BB28" s="711"/>
      <c r="BC28" s="711"/>
      <c r="BD28" s="711"/>
    </row>
    <row r="29" spans="2:74" ht="14.1" customHeight="1">
      <c r="B29" s="417" t="s">
        <v>1869</v>
      </c>
      <c r="C29" s="417"/>
      <c r="D29" s="417"/>
      <c r="E29" s="417"/>
      <c r="F29" s="417"/>
      <c r="G29" s="417"/>
      <c r="H29" s="417"/>
      <c r="I29" s="417"/>
      <c r="J29" s="417"/>
      <c r="K29" s="418" t="s">
        <v>5</v>
      </c>
      <c r="L29" s="1347">
        <v>43207</v>
      </c>
      <c r="M29" s="1346"/>
      <c r="N29" s="1346"/>
      <c r="O29" s="1346"/>
      <c r="P29" s="1346"/>
      <c r="Q29" s="1346"/>
      <c r="R29" s="1346"/>
      <c r="S29" s="1346"/>
      <c r="T29" s="1346"/>
      <c r="U29" s="1346"/>
      <c r="V29" s="1346"/>
      <c r="W29" s="1346"/>
      <c r="X29" s="1346"/>
      <c r="Y29" s="1346"/>
      <c r="Z29" s="1346"/>
      <c r="AA29" s="1346"/>
      <c r="AB29" s="1346"/>
      <c r="AC29" s="422"/>
      <c r="AD29" s="423"/>
      <c r="AE29" s="423"/>
      <c r="AF29" s="423"/>
      <c r="AG29" s="423"/>
      <c r="AH29" s="423"/>
      <c r="AI29" s="423"/>
      <c r="AJ29" s="423"/>
      <c r="AK29" s="423"/>
      <c r="AL29" s="423"/>
      <c r="AM29" s="423"/>
      <c r="AN29" s="423"/>
      <c r="AO29" s="423"/>
      <c r="AP29" s="423"/>
      <c r="AQ29" s="422"/>
      <c r="AR29" s="422"/>
      <c r="AS29" s="422"/>
      <c r="AT29" s="422"/>
      <c r="AU29" s="422"/>
      <c r="AV29" s="422"/>
      <c r="AW29" s="711"/>
      <c r="AX29" s="711"/>
      <c r="AY29" s="711"/>
      <c r="AZ29" s="711"/>
      <c r="BA29" s="712"/>
      <c r="BB29" s="711"/>
      <c r="BC29" s="711"/>
      <c r="BD29" s="711"/>
    </row>
    <row r="30" spans="2:74" ht="14.1" customHeight="1">
      <c r="B30" s="417" t="s">
        <v>1871</v>
      </c>
      <c r="C30" s="417"/>
      <c r="D30" s="417"/>
      <c r="E30" s="417"/>
      <c r="F30" s="417"/>
      <c r="G30" s="417"/>
      <c r="H30" s="417"/>
      <c r="I30" s="417"/>
      <c r="J30" s="417"/>
      <c r="K30" s="418" t="s">
        <v>5</v>
      </c>
      <c r="L30" s="1346" t="s">
        <v>2564</v>
      </c>
      <c r="M30" s="1346"/>
      <c r="N30" s="1346"/>
      <c r="O30" s="1346"/>
      <c r="P30" s="1346"/>
      <c r="Q30" s="1346"/>
      <c r="R30" s="1346"/>
      <c r="S30" s="1346"/>
      <c r="T30" s="1346"/>
      <c r="U30" s="1346"/>
      <c r="V30" s="1346"/>
      <c r="W30" s="1346"/>
      <c r="X30" s="1346"/>
      <c r="Y30" s="1346"/>
      <c r="Z30" s="1346"/>
      <c r="AA30" s="1346"/>
      <c r="AB30" s="1346"/>
      <c r="AC30" s="422"/>
      <c r="AD30" s="423"/>
      <c r="AE30" s="423"/>
      <c r="AF30" s="423"/>
      <c r="AG30" s="423"/>
      <c r="AH30" s="423"/>
      <c r="AI30" s="423"/>
      <c r="AJ30" s="423"/>
      <c r="AK30" s="423"/>
      <c r="AL30" s="423"/>
      <c r="AM30" s="423"/>
      <c r="AN30" s="423"/>
      <c r="AO30" s="423"/>
      <c r="AP30" s="423"/>
      <c r="AQ30" s="422"/>
      <c r="AR30" s="422"/>
      <c r="AS30" s="422"/>
      <c r="AT30" s="422"/>
      <c r="AU30" s="422"/>
      <c r="AV30" s="422"/>
      <c r="AW30" s="711"/>
      <c r="AX30" s="711"/>
      <c r="AY30" s="711"/>
      <c r="AZ30" s="711"/>
      <c r="BA30" s="712"/>
      <c r="BB30" s="711"/>
      <c r="BC30" s="711"/>
      <c r="BD30" s="711"/>
    </row>
    <row r="31" spans="2:74" ht="14.1" customHeight="1">
      <c r="B31" s="417" t="s">
        <v>1872</v>
      </c>
      <c r="C31" s="417"/>
      <c r="D31" s="417"/>
      <c r="E31" s="417"/>
      <c r="F31" s="417"/>
      <c r="G31" s="417"/>
      <c r="H31" s="417"/>
      <c r="I31" s="417"/>
      <c r="J31" s="417"/>
      <c r="K31" s="418" t="s">
        <v>5</v>
      </c>
      <c r="L31" s="1346" t="s">
        <v>2565</v>
      </c>
      <c r="M31" s="1346"/>
      <c r="N31" s="1346"/>
      <c r="O31" s="1346"/>
      <c r="P31" s="1346"/>
      <c r="Q31" s="1346"/>
      <c r="R31" s="1346"/>
      <c r="S31" s="1346"/>
      <c r="T31" s="1346"/>
      <c r="U31" s="1346"/>
      <c r="V31" s="1346"/>
      <c r="W31" s="1346"/>
      <c r="X31" s="1346"/>
      <c r="Y31" s="1346"/>
      <c r="Z31" s="1346"/>
      <c r="AA31" s="1346"/>
      <c r="AB31" s="1346"/>
      <c r="AC31" s="422"/>
      <c r="AD31" s="423"/>
      <c r="AE31" s="423"/>
      <c r="AF31" s="423"/>
      <c r="AG31" s="423"/>
      <c r="AH31" s="423"/>
      <c r="AI31" s="423"/>
      <c r="AJ31" s="423"/>
      <c r="AK31" s="423"/>
      <c r="AL31" s="423"/>
      <c r="AM31" s="423"/>
      <c r="AN31" s="423"/>
      <c r="AO31" s="423"/>
      <c r="AP31" s="423"/>
      <c r="AQ31" s="422"/>
      <c r="AR31" s="422"/>
      <c r="AS31" s="422"/>
      <c r="AT31" s="422"/>
      <c r="AU31" s="422"/>
      <c r="AV31" s="422"/>
      <c r="AW31" s="711"/>
      <c r="AX31" s="711"/>
      <c r="AY31" s="711"/>
      <c r="AZ31" s="711"/>
      <c r="BA31" s="712"/>
      <c r="BB31" s="711"/>
      <c r="BC31" s="711"/>
      <c r="BD31" s="711"/>
    </row>
    <row r="32" spans="2:74" ht="14.1" customHeight="1">
      <c r="B32" s="417"/>
      <c r="C32" s="417"/>
      <c r="D32" s="417"/>
      <c r="E32" s="417"/>
      <c r="F32" s="417"/>
      <c r="G32" s="417"/>
      <c r="H32" s="417"/>
      <c r="I32" s="417"/>
      <c r="J32" s="417"/>
      <c r="K32" s="417"/>
      <c r="L32" s="417"/>
      <c r="M32" s="417"/>
      <c r="N32" s="417"/>
      <c r="O32" s="417"/>
      <c r="P32" s="417"/>
      <c r="Q32" s="417"/>
      <c r="R32" s="417"/>
      <c r="S32" s="417"/>
      <c r="T32" s="417"/>
      <c r="U32" s="417"/>
      <c r="V32" s="417"/>
      <c r="W32" s="417"/>
      <c r="X32" s="417"/>
      <c r="Y32" s="417"/>
      <c r="Z32" s="417"/>
      <c r="AA32" s="417"/>
      <c r="AB32" s="417"/>
      <c r="AC32" s="422"/>
      <c r="AD32" s="423"/>
      <c r="AE32" s="423"/>
      <c r="AF32" s="423"/>
      <c r="AG32" s="423"/>
      <c r="AH32" s="423"/>
      <c r="AI32" s="423"/>
      <c r="AJ32" s="423"/>
      <c r="AK32" s="423"/>
      <c r="AL32" s="423"/>
      <c r="AM32" s="423"/>
      <c r="AN32" s="423"/>
      <c r="AO32" s="423"/>
      <c r="AP32" s="423"/>
      <c r="AQ32" s="422"/>
      <c r="AR32" s="422"/>
      <c r="AS32" s="422"/>
      <c r="AT32" s="422"/>
      <c r="AU32" s="422"/>
      <c r="AV32" s="422"/>
    </row>
    <row r="33" spans="2:55" ht="14.1" customHeight="1">
      <c r="B33" s="1343" t="s">
        <v>1873</v>
      </c>
      <c r="C33" s="1344"/>
      <c r="D33" s="1344"/>
      <c r="E33" s="1344"/>
      <c r="F33" s="1344"/>
      <c r="G33" s="1344"/>
      <c r="H33" s="1344"/>
      <c r="I33" s="1344"/>
      <c r="J33" s="1344"/>
      <c r="K33" s="1344"/>
      <c r="L33" s="1345"/>
      <c r="M33" s="1345"/>
      <c r="N33" s="1345"/>
      <c r="O33" s="1345"/>
      <c r="P33" s="1345"/>
      <c r="Q33" s="1345"/>
      <c r="R33" s="1345"/>
      <c r="S33" s="1345"/>
      <c r="T33" s="1345"/>
      <c r="U33" s="1345"/>
      <c r="V33" s="1345"/>
      <c r="W33" s="1345"/>
      <c r="X33" s="1345"/>
      <c r="Y33" s="1345"/>
      <c r="Z33" s="1345"/>
      <c r="AA33" s="1345"/>
      <c r="AB33" s="1345"/>
      <c r="AC33" s="422"/>
      <c r="AD33" s="424"/>
      <c r="AE33" s="423"/>
      <c r="AF33" s="423"/>
      <c r="AG33" s="423"/>
      <c r="AH33" s="423"/>
      <c r="AI33" s="423"/>
      <c r="AJ33" s="423"/>
      <c r="AK33" s="423"/>
      <c r="AL33" s="423"/>
      <c r="AM33" s="423"/>
      <c r="AN33" s="423"/>
      <c r="AO33" s="423"/>
      <c r="AP33" s="423"/>
      <c r="AQ33" s="422"/>
      <c r="AR33" s="422"/>
      <c r="AS33" s="422"/>
      <c r="AT33" s="422"/>
      <c r="AU33" s="422"/>
      <c r="AV33" s="422"/>
      <c r="AW33" s="422"/>
      <c r="AX33" s="422"/>
      <c r="AY33" s="422"/>
      <c r="AZ33" s="422"/>
      <c r="BA33" s="422"/>
      <c r="BB33" s="422"/>
      <c r="BC33" s="422"/>
    </row>
    <row r="34" spans="2:55" ht="14.1" customHeight="1">
      <c r="B34" s="425" t="s">
        <v>1873</v>
      </c>
      <c r="C34" s="425"/>
      <c r="D34" s="425"/>
      <c r="E34" s="425"/>
      <c r="F34" s="425"/>
      <c r="G34" s="425"/>
      <c r="H34" s="425"/>
      <c r="I34" s="425"/>
      <c r="J34" s="425"/>
      <c r="K34" s="426" t="s">
        <v>5</v>
      </c>
      <c r="L34" s="1348" t="s">
        <v>2569</v>
      </c>
      <c r="M34" s="1349"/>
      <c r="N34" s="1349"/>
      <c r="O34" s="1349"/>
      <c r="P34" s="1349"/>
      <c r="Q34" s="1349"/>
      <c r="R34" s="1349"/>
      <c r="S34" s="1349"/>
      <c r="T34" s="1349"/>
      <c r="U34" s="1349"/>
      <c r="V34" s="1349"/>
      <c r="W34" s="1349"/>
      <c r="X34" s="1349"/>
      <c r="Y34" s="1349"/>
      <c r="Z34" s="1349"/>
      <c r="AA34" s="1349"/>
      <c r="AB34" s="1350"/>
      <c r="AC34" s="422"/>
      <c r="AD34" s="427" t="str">
        <f>CONCATENATE(L34,", ",AD37,", ",AD38,", ",AD39,", ",AD40)</f>
        <v>Jl. ABCDE, Kel. Sangiang Jaya, Kec. Periuk, Kota Adm. Tangerang, Prop. Banten</v>
      </c>
      <c r="AE34" s="423"/>
      <c r="AF34" s="423"/>
      <c r="AG34" s="423"/>
      <c r="AH34" s="423"/>
      <c r="AI34" s="423"/>
      <c r="AJ34" s="423"/>
      <c r="AK34" s="423"/>
      <c r="AL34" s="423"/>
      <c r="AM34" s="423"/>
      <c r="AN34" s="423"/>
      <c r="AO34" s="423"/>
      <c r="AP34" s="423"/>
      <c r="AQ34" s="422"/>
      <c r="AR34" s="422"/>
      <c r="AS34" s="422"/>
      <c r="AT34" s="422"/>
      <c r="AU34" s="422"/>
      <c r="AV34" s="422"/>
      <c r="AW34" s="422"/>
      <c r="AX34" s="422"/>
      <c r="AY34" s="422"/>
      <c r="AZ34" s="422"/>
      <c r="BA34" s="422"/>
      <c r="BB34" s="422"/>
      <c r="BC34" s="422"/>
    </row>
    <row r="35" spans="2:55" ht="14.1" hidden="1" customHeight="1">
      <c r="B35" s="425"/>
      <c r="C35" s="425"/>
      <c r="D35" s="425"/>
      <c r="E35" s="425"/>
      <c r="F35" s="425"/>
      <c r="G35" s="425"/>
      <c r="H35" s="425"/>
      <c r="I35" s="425"/>
      <c r="J35" s="425"/>
      <c r="K35" s="426"/>
      <c r="L35" s="1351"/>
      <c r="M35" s="1352"/>
      <c r="N35" s="1352"/>
      <c r="O35" s="1352"/>
      <c r="P35" s="1352"/>
      <c r="Q35" s="1352"/>
      <c r="R35" s="1352"/>
      <c r="S35" s="1352"/>
      <c r="T35" s="1352"/>
      <c r="U35" s="1352"/>
      <c r="V35" s="1352"/>
      <c r="W35" s="1352"/>
      <c r="X35" s="1352"/>
      <c r="Y35" s="1352"/>
      <c r="Z35" s="1352"/>
      <c r="AA35" s="1352"/>
      <c r="AB35" s="1353"/>
      <c r="AC35" s="422"/>
      <c r="AD35" s="428"/>
      <c r="AE35" s="423"/>
      <c r="AF35" s="423"/>
      <c r="AG35" s="423"/>
      <c r="AH35" s="423"/>
      <c r="AI35" s="423"/>
      <c r="AJ35" s="423"/>
      <c r="AK35" s="423"/>
      <c r="AL35" s="423"/>
      <c r="AM35" s="423"/>
      <c r="AN35" s="423"/>
      <c r="AO35" s="423"/>
      <c r="AP35" s="423"/>
      <c r="AQ35" s="422"/>
      <c r="AR35" s="422"/>
      <c r="AS35" s="422"/>
      <c r="AT35" s="422"/>
      <c r="AU35" s="422"/>
      <c r="AV35" s="422"/>
      <c r="AW35" s="422"/>
      <c r="AX35" s="422"/>
      <c r="AY35" s="422"/>
      <c r="AZ35" s="422"/>
      <c r="BA35" s="422"/>
      <c r="BB35" s="422"/>
      <c r="BC35" s="422"/>
    </row>
    <row r="36" spans="2:55" ht="14.1" customHeight="1">
      <c r="B36" s="425"/>
      <c r="C36" s="425"/>
      <c r="D36" s="425"/>
      <c r="E36" s="425"/>
      <c r="F36" s="425"/>
      <c r="G36" s="425"/>
      <c r="H36" s="425"/>
      <c r="I36" s="425"/>
      <c r="J36" s="425"/>
      <c r="K36" s="426"/>
      <c r="L36" s="1354"/>
      <c r="M36" s="1355"/>
      <c r="N36" s="1355"/>
      <c r="O36" s="1355"/>
      <c r="P36" s="1355"/>
      <c r="Q36" s="1355"/>
      <c r="R36" s="1355"/>
      <c r="S36" s="1355"/>
      <c r="T36" s="1355"/>
      <c r="U36" s="1355"/>
      <c r="V36" s="1355"/>
      <c r="W36" s="1355"/>
      <c r="X36" s="1355"/>
      <c r="Y36" s="1355"/>
      <c r="Z36" s="1355"/>
      <c r="AA36" s="1355"/>
      <c r="AB36" s="1356"/>
      <c r="AC36" s="422"/>
      <c r="AD36" s="428"/>
      <c r="AE36" s="423"/>
      <c r="AF36" s="423"/>
      <c r="AG36" s="423"/>
      <c r="AH36" s="423"/>
      <c r="AI36" s="423"/>
      <c r="AJ36" s="423"/>
      <c r="AK36" s="423"/>
      <c r="AL36" s="423"/>
      <c r="AM36" s="423"/>
      <c r="AN36" s="423"/>
      <c r="AO36" s="423"/>
      <c r="AP36" s="423"/>
      <c r="AQ36" s="422"/>
      <c r="AR36" s="422"/>
      <c r="AS36" s="422"/>
      <c r="AT36" s="422"/>
      <c r="AU36" s="422"/>
      <c r="AV36" s="422"/>
      <c r="AW36" s="422"/>
      <c r="AX36" s="422"/>
      <c r="AY36" s="422"/>
      <c r="AZ36" s="422"/>
      <c r="BA36" s="422"/>
      <c r="BB36" s="422"/>
      <c r="BC36" s="422"/>
    </row>
    <row r="37" spans="2:55" ht="14.1" customHeight="1">
      <c r="B37" s="1341" t="s">
        <v>2498</v>
      </c>
      <c r="C37" s="1342"/>
      <c r="D37" s="1342"/>
      <c r="E37" s="1342"/>
      <c r="F37" s="1342"/>
      <c r="G37" s="1342"/>
      <c r="H37" s="1342"/>
      <c r="I37" s="1342"/>
      <c r="J37" s="420"/>
      <c r="K37" s="421" t="s">
        <v>5</v>
      </c>
      <c r="L37" s="1333" t="s">
        <v>2505</v>
      </c>
      <c r="M37" s="1333"/>
      <c r="N37" s="1333"/>
      <c r="O37" s="1333"/>
      <c r="P37" s="1333"/>
      <c r="Q37" s="1333"/>
      <c r="R37" s="1333"/>
      <c r="S37" s="1333"/>
      <c r="T37" s="1333"/>
      <c r="U37" s="1333"/>
      <c r="V37" s="1333"/>
      <c r="W37" s="1333"/>
      <c r="X37" s="1333"/>
      <c r="Y37" s="1333"/>
      <c r="Z37" s="1333"/>
      <c r="AA37" s="1333"/>
      <c r="AB37" s="1333"/>
      <c r="AC37" s="422"/>
      <c r="AD37" s="428" t="str">
        <f>CONCATENATE(B37," ",L37)</f>
        <v>Kel. Sangiang Jaya</v>
      </c>
      <c r="AE37" s="423"/>
      <c r="AF37" s="423"/>
      <c r="AG37" s="423"/>
      <c r="AH37" s="423"/>
      <c r="AI37" s="423"/>
      <c r="AJ37" s="423"/>
      <c r="AK37" s="423"/>
      <c r="AL37" s="423"/>
      <c r="AM37" s="423"/>
      <c r="AN37" s="423"/>
      <c r="AO37" s="423"/>
      <c r="AP37" s="423"/>
      <c r="AQ37" s="422"/>
      <c r="AR37" s="422"/>
      <c r="AS37" s="422"/>
      <c r="AT37" s="422"/>
      <c r="AU37" s="422"/>
    </row>
    <row r="38" spans="2:55" ht="14.1" customHeight="1">
      <c r="B38" s="420" t="s">
        <v>1874</v>
      </c>
      <c r="C38" s="420"/>
      <c r="D38" s="420"/>
      <c r="E38" s="420"/>
      <c r="F38" s="420"/>
      <c r="G38" s="420"/>
      <c r="H38" s="420"/>
      <c r="I38" s="420"/>
      <c r="J38" s="420"/>
      <c r="K38" s="421" t="s">
        <v>5</v>
      </c>
      <c r="L38" s="1333" t="s">
        <v>2506</v>
      </c>
      <c r="M38" s="1333"/>
      <c r="N38" s="1333"/>
      <c r="O38" s="1333"/>
      <c r="P38" s="1333"/>
      <c r="Q38" s="1333"/>
      <c r="R38" s="1333"/>
      <c r="S38" s="1333"/>
      <c r="T38" s="1333"/>
      <c r="U38" s="1333"/>
      <c r="V38" s="1333"/>
      <c r="W38" s="1333"/>
      <c r="X38" s="1333"/>
      <c r="Y38" s="1333"/>
      <c r="Z38" s="1333"/>
      <c r="AA38" s="1333"/>
      <c r="AB38" s="1333"/>
      <c r="AC38" s="422"/>
      <c r="AD38" s="428" t="str">
        <f>CONCATENATE(B38," ",L38)</f>
        <v>Kec. Periuk</v>
      </c>
      <c r="AE38" s="423"/>
      <c r="AF38" s="423"/>
      <c r="AG38" s="423"/>
      <c r="AH38" s="423"/>
      <c r="AI38" s="423"/>
      <c r="AJ38" s="423"/>
      <c r="AK38" s="423"/>
      <c r="AL38" s="423"/>
      <c r="AM38" s="423"/>
      <c r="AN38" s="423"/>
      <c r="AO38" s="423"/>
      <c r="AP38" s="423"/>
      <c r="AQ38" s="422"/>
      <c r="AR38" s="422"/>
      <c r="AS38" s="422"/>
      <c r="AT38" s="422"/>
      <c r="AU38" s="422"/>
    </row>
    <row r="39" spans="2:55" ht="14.1" customHeight="1">
      <c r="B39" s="1341" t="s">
        <v>2562</v>
      </c>
      <c r="C39" s="1342"/>
      <c r="D39" s="1342"/>
      <c r="E39" s="1342"/>
      <c r="F39" s="1342"/>
      <c r="G39" s="1342"/>
      <c r="H39" s="1342"/>
      <c r="I39" s="1342"/>
      <c r="J39" s="420"/>
      <c r="K39" s="421" t="s">
        <v>5</v>
      </c>
      <c r="L39" s="1333" t="s">
        <v>2507</v>
      </c>
      <c r="M39" s="1333"/>
      <c r="N39" s="1333"/>
      <c r="O39" s="1333"/>
      <c r="P39" s="1333"/>
      <c r="Q39" s="1333"/>
      <c r="R39" s="1333"/>
      <c r="S39" s="1333"/>
      <c r="T39" s="1333"/>
      <c r="U39" s="1333"/>
      <c r="V39" s="1333"/>
      <c r="W39" s="1333"/>
      <c r="X39" s="1333"/>
      <c r="Y39" s="1333"/>
      <c r="Z39" s="1333"/>
      <c r="AA39" s="1333"/>
      <c r="AB39" s="1333"/>
      <c r="AC39" s="422"/>
      <c r="AD39" s="428" t="str">
        <f>CONCATENATE(B39," ",L39)</f>
        <v>Kota Adm. Tangerang</v>
      </c>
      <c r="AE39" s="423"/>
      <c r="AF39" s="423"/>
      <c r="AG39" s="423"/>
      <c r="AH39" s="423"/>
      <c r="AI39" s="423"/>
      <c r="AJ39" s="423"/>
      <c r="AK39" s="423"/>
      <c r="AL39" s="423"/>
      <c r="AM39" s="423"/>
      <c r="AN39" s="423"/>
      <c r="AO39" s="423"/>
      <c r="AP39" s="423"/>
      <c r="AQ39" s="422"/>
      <c r="AR39" s="422"/>
      <c r="AS39" s="422"/>
      <c r="AT39" s="422"/>
      <c r="AU39" s="422"/>
      <c r="AV39" s="422"/>
      <c r="AW39" s="422"/>
      <c r="AX39" s="422"/>
      <c r="AY39" s="422"/>
      <c r="AZ39" s="422"/>
      <c r="BA39" s="422"/>
      <c r="BB39" s="422"/>
      <c r="BC39" s="422"/>
    </row>
    <row r="40" spans="2:55" ht="14.1" customHeight="1">
      <c r="B40" s="420" t="s">
        <v>1875</v>
      </c>
      <c r="C40" s="420"/>
      <c r="D40" s="420"/>
      <c r="E40" s="420"/>
      <c r="F40" s="420"/>
      <c r="G40" s="420"/>
      <c r="H40" s="420"/>
      <c r="I40" s="420"/>
      <c r="J40" s="420"/>
      <c r="K40" s="421" t="s">
        <v>5</v>
      </c>
      <c r="L40" s="1333" t="s">
        <v>2508</v>
      </c>
      <c r="M40" s="1333"/>
      <c r="N40" s="1333"/>
      <c r="O40" s="1333"/>
      <c r="P40" s="1333"/>
      <c r="Q40" s="1333"/>
      <c r="R40" s="1333"/>
      <c r="S40" s="1333"/>
      <c r="T40" s="1333"/>
      <c r="U40" s="1333"/>
      <c r="V40" s="1333"/>
      <c r="W40" s="1333"/>
      <c r="X40" s="1333"/>
      <c r="Y40" s="1333"/>
      <c r="Z40" s="1333"/>
      <c r="AA40" s="1333"/>
      <c r="AB40" s="1333"/>
      <c r="AC40" s="422"/>
      <c r="AD40" s="428" t="str">
        <f>CONCATENATE(B40," ",L40)</f>
        <v>Prop. Banten</v>
      </c>
      <c r="AE40" s="423"/>
      <c r="AF40" s="423"/>
      <c r="AG40" s="423"/>
      <c r="AH40" s="423"/>
      <c r="AI40" s="423"/>
      <c r="AJ40" s="423"/>
      <c r="AK40" s="423"/>
      <c r="AL40" s="423"/>
      <c r="AM40" s="423"/>
      <c r="AN40" s="423"/>
      <c r="AO40" s="423"/>
      <c r="AP40" s="423"/>
      <c r="AQ40" s="422"/>
      <c r="AR40" s="422"/>
      <c r="AS40" s="422"/>
      <c r="AT40" s="422"/>
      <c r="AU40" s="422"/>
      <c r="AV40" s="422"/>
      <c r="AW40" s="422"/>
      <c r="AX40" s="422"/>
      <c r="AY40" s="422"/>
      <c r="AZ40" s="422"/>
      <c r="BA40" s="422"/>
      <c r="BB40" s="422"/>
      <c r="BC40" s="422"/>
    </row>
    <row r="41" spans="2:55" ht="14.1" customHeight="1">
      <c r="B41" s="422"/>
      <c r="C41" s="422"/>
      <c r="D41" s="422"/>
      <c r="E41" s="422"/>
      <c r="F41" s="422"/>
      <c r="G41" s="422"/>
      <c r="H41" s="422"/>
      <c r="I41" s="422"/>
      <c r="J41" s="422"/>
      <c r="K41" s="422"/>
      <c r="L41" s="422"/>
      <c r="M41" s="422"/>
      <c r="N41" s="422"/>
      <c r="O41" s="422"/>
      <c r="P41" s="422"/>
      <c r="Q41" s="422"/>
      <c r="R41" s="422"/>
      <c r="S41" s="422"/>
      <c r="T41" s="422"/>
      <c r="U41" s="422"/>
      <c r="V41" s="422"/>
      <c r="W41" s="422"/>
      <c r="X41" s="422"/>
      <c r="Y41" s="422"/>
      <c r="Z41" s="422"/>
      <c r="AA41" s="422"/>
      <c r="AB41" s="422"/>
      <c r="AC41" s="422"/>
      <c r="AD41" s="420"/>
      <c r="AE41" s="422"/>
      <c r="AF41" s="422"/>
      <c r="AG41" s="422"/>
      <c r="AH41" s="422"/>
      <c r="AI41" s="422"/>
      <c r="AJ41" s="422"/>
      <c r="AK41" s="422"/>
      <c r="AL41" s="422"/>
      <c r="AM41" s="422"/>
      <c r="AN41" s="422"/>
      <c r="AO41" s="422"/>
      <c r="AP41" s="422"/>
      <c r="AQ41" s="422"/>
      <c r="AR41" s="422"/>
      <c r="AS41" s="422"/>
      <c r="AT41" s="422"/>
      <c r="AU41" s="422"/>
      <c r="AV41" s="422"/>
      <c r="AW41" s="422"/>
      <c r="AX41" s="422"/>
      <c r="AY41" s="422"/>
      <c r="AZ41" s="422"/>
      <c r="BA41" s="422"/>
      <c r="BB41" s="422"/>
      <c r="BC41" s="422"/>
    </row>
    <row r="42" spans="2:55" ht="14.1" customHeight="1">
      <c r="B42" s="422"/>
      <c r="C42" s="422"/>
      <c r="D42" s="422"/>
      <c r="E42" s="422"/>
      <c r="F42" s="422"/>
      <c r="G42" s="422"/>
      <c r="H42" s="422"/>
      <c r="I42" s="422"/>
      <c r="J42" s="422"/>
      <c r="K42" s="422"/>
      <c r="L42" s="422"/>
      <c r="M42" s="422"/>
      <c r="N42" s="422"/>
      <c r="O42" s="422"/>
      <c r="P42" s="422"/>
      <c r="Q42" s="422"/>
      <c r="R42" s="422"/>
      <c r="S42" s="422"/>
      <c r="T42" s="422"/>
      <c r="U42" s="422"/>
      <c r="V42" s="422"/>
      <c r="W42" s="422"/>
      <c r="X42" s="422"/>
      <c r="Y42" s="422"/>
      <c r="Z42" s="422"/>
      <c r="AA42" s="422"/>
      <c r="AB42" s="422"/>
      <c r="AC42" s="422"/>
      <c r="AD42" s="422"/>
      <c r="AE42" s="422"/>
      <c r="AF42" s="422"/>
      <c r="AG42" s="422"/>
      <c r="AH42" s="422"/>
      <c r="AI42" s="422"/>
      <c r="AJ42" s="422"/>
      <c r="AK42" s="422"/>
      <c r="AL42" s="422"/>
      <c r="AM42"/>
      <c r="AN42" s="422"/>
      <c r="AO42" s="422"/>
      <c r="AP42" s="422"/>
      <c r="AQ42" s="422"/>
      <c r="AR42" s="422"/>
      <c r="AS42" s="422"/>
      <c r="AT42" s="422"/>
      <c r="AU42" s="422"/>
      <c r="AV42" s="422"/>
      <c r="AW42" s="422"/>
      <c r="AX42" s="422"/>
      <c r="AY42" s="422"/>
      <c r="AZ42" s="422"/>
      <c r="BA42" s="422"/>
      <c r="BB42" s="422"/>
      <c r="BC42" s="422"/>
    </row>
    <row r="43" spans="2:55" ht="14.1" customHeight="1">
      <c r="B43" s="422"/>
      <c r="C43" s="422"/>
      <c r="D43" s="422"/>
      <c r="E43" s="422"/>
      <c r="F43" s="422"/>
      <c r="G43" s="422"/>
      <c r="H43" s="422"/>
      <c r="I43" s="422"/>
      <c r="J43" s="422"/>
      <c r="K43" s="422"/>
      <c r="L43" s="422"/>
      <c r="M43" s="422"/>
      <c r="N43" s="422"/>
      <c r="O43" s="422"/>
      <c r="P43" s="422"/>
      <c r="Q43" s="422"/>
      <c r="R43" s="422"/>
      <c r="S43" s="422"/>
      <c r="T43" s="422"/>
      <c r="U43" s="422"/>
      <c r="V43" s="422"/>
      <c r="W43" s="422"/>
      <c r="X43" s="422"/>
      <c r="Y43" s="422"/>
      <c r="Z43" s="422"/>
      <c r="AA43" s="422"/>
      <c r="AB43" s="422"/>
      <c r="AC43" s="422"/>
      <c r="AD43" s="422"/>
      <c r="AE43" s="422"/>
      <c r="AF43" s="422"/>
      <c r="AG43" s="422"/>
      <c r="AH43" s="422"/>
      <c r="AI43" s="422"/>
      <c r="AJ43" s="422"/>
      <c r="AK43" s="422"/>
      <c r="AL43" s="422"/>
      <c r="AM43" s="422"/>
      <c r="AN43" s="422"/>
      <c r="AO43" s="422"/>
      <c r="AP43" s="422"/>
      <c r="AQ43" s="422"/>
      <c r="AR43" s="422"/>
      <c r="AS43" s="422"/>
      <c r="AT43" s="422"/>
      <c r="AU43" s="422"/>
      <c r="AV43" s="422"/>
      <c r="AW43" s="422"/>
      <c r="AX43" s="422"/>
      <c r="AY43" s="422"/>
      <c r="AZ43" s="422"/>
      <c r="BA43" s="422"/>
      <c r="BB43" s="422"/>
      <c r="BC43" s="422"/>
    </row>
    <row r="44" spans="2:55" ht="14.1" customHeight="1">
      <c r="B44" s="422"/>
      <c r="C44" s="422"/>
      <c r="D44" s="422"/>
      <c r="E44" s="422"/>
      <c r="F44" s="422"/>
      <c r="G44" s="422"/>
      <c r="H44" s="422"/>
      <c r="I44" s="422"/>
      <c r="J44" s="422"/>
      <c r="K44" s="422"/>
      <c r="L44" s="422"/>
      <c r="M44" s="422"/>
      <c r="N44" s="422"/>
      <c r="O44" s="422"/>
      <c r="P44" s="422"/>
      <c r="Q44" s="422"/>
      <c r="R44" s="422"/>
      <c r="S44" s="422"/>
      <c r="T44" s="422"/>
      <c r="U44" s="422"/>
      <c r="V44" s="422"/>
      <c r="W44" s="422"/>
      <c r="X44" s="422"/>
      <c r="Y44" s="422"/>
      <c r="Z44" s="422"/>
      <c r="AA44" s="422"/>
      <c r="AB44" s="422"/>
      <c r="AC44" s="422"/>
      <c r="AD44" s="422"/>
      <c r="AE44" s="422"/>
      <c r="AF44" s="422"/>
      <c r="AG44" s="422"/>
      <c r="AH44" s="422"/>
      <c r="AI44" s="422"/>
      <c r="AJ44" s="422"/>
      <c r="AK44" s="422"/>
      <c r="AL44" s="422"/>
      <c r="AM44" s="422"/>
      <c r="AN44" s="422"/>
      <c r="AO44" s="422"/>
      <c r="AP44" s="422"/>
      <c r="AQ44" s="422"/>
      <c r="AR44" s="422"/>
      <c r="AS44" s="422"/>
      <c r="AT44" s="422"/>
      <c r="AU44" s="422"/>
      <c r="AV44" s="422"/>
      <c r="AW44" s="422"/>
      <c r="AX44" s="422"/>
      <c r="AY44" s="422"/>
      <c r="AZ44" s="422"/>
      <c r="BA44" s="422"/>
      <c r="BB44" s="422"/>
      <c r="BC44" s="422"/>
    </row>
    <row r="45" spans="2:55" ht="14.1" customHeight="1">
      <c r="B45" s="422"/>
      <c r="C45" s="422"/>
      <c r="D45" s="422"/>
      <c r="E45" s="422"/>
      <c r="F45" s="422"/>
      <c r="G45" s="422"/>
      <c r="H45" s="422"/>
      <c r="I45" s="422"/>
      <c r="J45" s="422"/>
      <c r="K45" s="422"/>
      <c r="L45" s="422"/>
      <c r="M45" s="422"/>
      <c r="N45" s="422"/>
      <c r="O45" s="422"/>
      <c r="P45" s="422"/>
      <c r="Q45" s="422"/>
      <c r="R45" s="422"/>
      <c r="S45" s="422"/>
      <c r="T45" s="422"/>
      <c r="U45" s="422"/>
      <c r="V45" s="422"/>
      <c r="W45" s="422"/>
      <c r="X45" s="422"/>
      <c r="Y45" s="422"/>
      <c r="Z45" s="422"/>
      <c r="AA45" s="422"/>
      <c r="AB45" s="422"/>
      <c r="AC45" s="422"/>
      <c r="AD45" s="422"/>
      <c r="AE45" s="422"/>
      <c r="AF45" s="422"/>
      <c r="AG45" s="422"/>
      <c r="AH45" s="422"/>
      <c r="AI45" s="422"/>
      <c r="AJ45" s="422"/>
      <c r="AK45" s="422"/>
      <c r="AL45" s="422"/>
      <c r="AM45" s="422"/>
      <c r="AN45" s="422"/>
      <c r="AO45" s="422"/>
      <c r="AP45" s="422"/>
      <c r="AQ45" s="422"/>
      <c r="AR45" s="422"/>
      <c r="AS45" s="422"/>
      <c r="AT45" s="422"/>
      <c r="AU45" s="422"/>
      <c r="AV45" s="422"/>
      <c r="AW45" s="422"/>
      <c r="AX45" s="422"/>
      <c r="AY45" s="422"/>
      <c r="AZ45" s="422"/>
      <c r="BA45" s="422"/>
      <c r="BB45" s="422"/>
      <c r="BC45" s="422"/>
    </row>
    <row r="46" spans="2:55" ht="14.1" customHeight="1">
      <c r="B46" s="1334" t="s">
        <v>1876</v>
      </c>
      <c r="C46" s="1335"/>
      <c r="D46" s="1335"/>
      <c r="E46" s="1335"/>
      <c r="F46" s="1335"/>
      <c r="G46" s="1335"/>
      <c r="H46" s="1335"/>
      <c r="I46" s="1335"/>
      <c r="J46" s="1335"/>
      <c r="K46" s="1335"/>
      <c r="L46" s="1335"/>
      <c r="M46" s="1335"/>
      <c r="N46" s="1335"/>
      <c r="O46" s="1335"/>
      <c r="P46" s="1335"/>
      <c r="Q46" s="1335"/>
      <c r="R46" s="1335"/>
      <c r="S46" s="1335"/>
      <c r="T46" s="1335"/>
      <c r="U46" s="1335"/>
      <c r="V46" s="1335"/>
      <c r="W46" s="1335"/>
      <c r="X46" s="1335"/>
      <c r="Y46" s="1335"/>
      <c r="Z46" s="1335"/>
      <c r="AA46" s="1335"/>
      <c r="AB46" s="1335"/>
      <c r="AC46" s="1335"/>
      <c r="AD46" s="1335"/>
      <c r="AE46" s="1335"/>
      <c r="AF46" s="1335"/>
      <c r="AG46" s="1335"/>
      <c r="AH46" s="1335"/>
      <c r="AI46" s="1335"/>
      <c r="AJ46" s="1335"/>
      <c r="AK46" s="1335"/>
      <c r="AL46" s="1335"/>
      <c r="AM46" s="1335"/>
      <c r="AN46" s="1335"/>
      <c r="AO46" s="1335"/>
      <c r="AP46" s="1335"/>
      <c r="AQ46" s="1335"/>
      <c r="AR46" s="1335"/>
      <c r="AS46" s="1336"/>
      <c r="AT46" s="422"/>
      <c r="AU46" s="422"/>
      <c r="AV46" s="422"/>
      <c r="AW46" s="422"/>
      <c r="AX46" s="422"/>
      <c r="AY46" s="422"/>
      <c r="AZ46" s="422"/>
      <c r="BA46" s="422"/>
      <c r="BB46" s="422"/>
      <c r="BC46" s="422"/>
    </row>
    <row r="47" spans="2:55" ht="14.1" customHeight="1">
      <c r="B47" s="1337" t="s">
        <v>1877</v>
      </c>
      <c r="C47" s="1337"/>
      <c r="D47" s="1337" t="s">
        <v>1878</v>
      </c>
      <c r="E47" s="1337"/>
      <c r="F47" s="1337"/>
      <c r="G47" s="1337"/>
      <c r="H47" s="1337"/>
      <c r="I47" s="1337"/>
      <c r="J47" s="1337"/>
      <c r="K47" s="1337"/>
      <c r="L47" s="1337"/>
      <c r="M47" s="1337"/>
      <c r="N47" s="1338">
        <v>2015</v>
      </c>
      <c r="O47" s="1339"/>
      <c r="P47" s="1339"/>
      <c r="Q47" s="1339"/>
      <c r="R47" s="1339"/>
      <c r="S47" s="1339"/>
      <c r="T47" s="1339"/>
      <c r="U47" s="1340"/>
      <c r="V47" s="1338">
        <v>2016</v>
      </c>
      <c r="W47" s="1339"/>
      <c r="X47" s="1339"/>
      <c r="Y47" s="1339"/>
      <c r="Z47" s="1339"/>
      <c r="AA47" s="1339"/>
      <c r="AB47" s="1339"/>
      <c r="AC47" s="1340"/>
      <c r="AD47" s="1338">
        <v>2017</v>
      </c>
      <c r="AE47" s="1339"/>
      <c r="AF47" s="1339"/>
      <c r="AG47" s="1339"/>
      <c r="AH47" s="1339"/>
      <c r="AI47" s="1339"/>
      <c r="AJ47" s="1339"/>
      <c r="AK47" s="1340"/>
      <c r="AL47" s="1338">
        <v>2018</v>
      </c>
      <c r="AM47" s="1339"/>
      <c r="AN47" s="1339"/>
      <c r="AO47" s="1339"/>
      <c r="AP47" s="1339"/>
      <c r="AQ47" s="1339"/>
      <c r="AR47" s="1339"/>
      <c r="AS47" s="1340"/>
      <c r="AT47" s="422"/>
      <c r="AU47" s="422"/>
      <c r="AV47" s="422"/>
      <c r="AW47" s="422"/>
      <c r="AX47" s="422"/>
      <c r="AY47" s="422"/>
      <c r="AZ47" s="422"/>
      <c r="BA47" s="422"/>
      <c r="BB47" s="422"/>
      <c r="BC47" s="422"/>
    </row>
    <row r="48" spans="2:55" ht="14.1" customHeight="1">
      <c r="B48" s="1316" t="s">
        <v>1822</v>
      </c>
      <c r="C48" s="1317"/>
      <c r="D48" s="1318" t="s">
        <v>1879</v>
      </c>
      <c r="E48" s="1318"/>
      <c r="F48" s="1318"/>
      <c r="G48" s="1318"/>
      <c r="H48" s="1318"/>
      <c r="I48" s="1318"/>
      <c r="J48" s="1318"/>
      <c r="K48" s="1318"/>
      <c r="L48" s="1318"/>
      <c r="M48" s="1318"/>
      <c r="N48" s="1331" t="s">
        <v>3</v>
      </c>
      <c r="O48" s="1331"/>
      <c r="P48" s="1331"/>
      <c r="Q48" s="1331"/>
      <c r="R48" s="1331"/>
      <c r="S48" s="1331"/>
      <c r="T48" s="1331"/>
      <c r="U48" s="1331"/>
      <c r="V48" s="1331" t="s">
        <v>3</v>
      </c>
      <c r="W48" s="1331"/>
      <c r="X48" s="1331"/>
      <c r="Y48" s="1331"/>
      <c r="Z48" s="1331"/>
      <c r="AA48" s="1331"/>
      <c r="AB48" s="1331"/>
      <c r="AC48" s="1331"/>
      <c r="AD48" s="1331" t="s">
        <v>2557</v>
      </c>
      <c r="AE48" s="1331"/>
      <c r="AF48" s="1331"/>
      <c r="AG48" s="1331"/>
      <c r="AH48" s="1331"/>
      <c r="AI48" s="1331"/>
      <c r="AJ48" s="1331"/>
      <c r="AK48" s="1331"/>
      <c r="AL48" s="1332" t="str">
        <f>L6</f>
        <v>Rizky Pujakesuma</v>
      </c>
      <c r="AM48" s="1329"/>
      <c r="AN48" s="1329"/>
      <c r="AO48" s="1329"/>
      <c r="AP48" s="1329"/>
      <c r="AQ48" s="1329"/>
      <c r="AR48" s="1329"/>
      <c r="AS48" s="1330"/>
      <c r="AT48" s="422"/>
      <c r="AU48" s="422"/>
      <c r="AV48" s="422"/>
      <c r="AW48" s="422"/>
      <c r="AX48" s="422"/>
      <c r="AY48" s="422"/>
      <c r="AZ48" s="422"/>
      <c r="BA48" s="422"/>
      <c r="BB48" s="422"/>
      <c r="BC48" s="422"/>
    </row>
    <row r="49" spans="2:76" ht="14.1" customHeight="1">
      <c r="B49" s="1316" t="s">
        <v>1823</v>
      </c>
      <c r="C49" s="1317"/>
      <c r="D49" s="1318" t="s">
        <v>1771</v>
      </c>
      <c r="E49" s="1318"/>
      <c r="F49" s="1318"/>
      <c r="G49" s="1318"/>
      <c r="H49" s="1318"/>
      <c r="I49" s="1318"/>
      <c r="J49" s="1318"/>
      <c r="K49" s="1318"/>
      <c r="L49" s="1318"/>
      <c r="M49" s="1318"/>
      <c r="N49" s="1331" t="s">
        <v>3</v>
      </c>
      <c r="O49" s="1331"/>
      <c r="P49" s="1331"/>
      <c r="Q49" s="1331"/>
      <c r="R49" s="1331"/>
      <c r="S49" s="1331"/>
      <c r="T49" s="1331"/>
      <c r="U49" s="1331"/>
      <c r="V49" s="1331" t="s">
        <v>3</v>
      </c>
      <c r="W49" s="1331"/>
      <c r="X49" s="1331"/>
      <c r="Y49" s="1331"/>
      <c r="Z49" s="1331"/>
      <c r="AA49" s="1331"/>
      <c r="AB49" s="1331"/>
      <c r="AC49" s="1331"/>
      <c r="AD49" s="1331" t="s">
        <v>2558</v>
      </c>
      <c r="AE49" s="1331"/>
      <c r="AF49" s="1331"/>
      <c r="AG49" s="1331"/>
      <c r="AH49" s="1331"/>
      <c r="AI49" s="1331"/>
      <c r="AJ49" s="1331"/>
      <c r="AK49" s="1331"/>
      <c r="AL49" s="1328">
        <f>L8</f>
        <v>43216</v>
      </c>
      <c r="AM49" s="1329"/>
      <c r="AN49" s="1329"/>
      <c r="AO49" s="1329"/>
      <c r="AP49" s="1329"/>
      <c r="AQ49" s="1329"/>
      <c r="AR49" s="1329"/>
      <c r="AS49" s="1330"/>
      <c r="AT49" s="422"/>
      <c r="AU49" s="422"/>
      <c r="AV49" s="422"/>
      <c r="AW49" s="422"/>
      <c r="AX49" s="422"/>
      <c r="AY49" s="422"/>
      <c r="AZ49" s="422"/>
      <c r="BA49" s="422"/>
      <c r="BB49" s="422"/>
      <c r="BC49" s="422"/>
    </row>
    <row r="50" spans="2:76" ht="14.1" customHeight="1">
      <c r="B50" s="1316" t="s">
        <v>1880</v>
      </c>
      <c r="C50" s="1317"/>
      <c r="D50" s="1318" t="s">
        <v>1881</v>
      </c>
      <c r="E50" s="1318"/>
      <c r="F50" s="1318"/>
      <c r="G50" s="1318"/>
      <c r="H50" s="1318"/>
      <c r="I50" s="1318"/>
      <c r="J50" s="1318"/>
      <c r="K50" s="1318"/>
      <c r="L50" s="1318"/>
      <c r="M50" s="1318"/>
      <c r="N50" s="1325">
        <v>0</v>
      </c>
      <c r="O50" s="1326"/>
      <c r="P50" s="1326"/>
      <c r="Q50" s="1326"/>
      <c r="R50" s="1326"/>
      <c r="S50" s="1326"/>
      <c r="T50" s="1326"/>
      <c r="U50" s="1327"/>
      <c r="V50" s="1325">
        <v>0</v>
      </c>
      <c r="W50" s="1326"/>
      <c r="X50" s="1326"/>
      <c r="Y50" s="1326"/>
      <c r="Z50" s="1326"/>
      <c r="AA50" s="1326"/>
      <c r="AB50" s="1326"/>
      <c r="AC50" s="1327"/>
      <c r="AD50" s="1325">
        <v>249</v>
      </c>
      <c r="AE50" s="1326"/>
      <c r="AF50" s="1326"/>
      <c r="AG50" s="1326"/>
      <c r="AH50" s="1326"/>
      <c r="AI50" s="1326"/>
      <c r="AJ50" s="1326"/>
      <c r="AK50" s="1327"/>
      <c r="AL50" s="1322">
        <f>Tnh!AK113</f>
        <v>249</v>
      </c>
      <c r="AM50" s="1323"/>
      <c r="AN50" s="1323"/>
      <c r="AO50" s="1323"/>
      <c r="AP50" s="1323"/>
      <c r="AQ50" s="1323"/>
      <c r="AR50" s="1323"/>
      <c r="AS50" s="1324"/>
      <c r="AT50" s="422"/>
      <c r="AU50" s="422"/>
      <c r="AV50" s="422"/>
      <c r="AW50" s="422"/>
      <c r="AX50" s="422"/>
      <c r="AY50" s="422"/>
      <c r="AZ50" s="422"/>
      <c r="BA50" s="422"/>
      <c r="BB50" s="422"/>
      <c r="BC50" s="422"/>
    </row>
    <row r="51" spans="2:76" ht="14.1" customHeight="1">
      <c r="B51" s="1316" t="s">
        <v>1882</v>
      </c>
      <c r="C51" s="1317"/>
      <c r="D51" s="1318" t="s">
        <v>1883</v>
      </c>
      <c r="E51" s="1318"/>
      <c r="F51" s="1318"/>
      <c r="G51" s="1318"/>
      <c r="H51" s="1318"/>
      <c r="I51" s="1318"/>
      <c r="J51" s="1318"/>
      <c r="K51" s="1318"/>
      <c r="L51" s="1318"/>
      <c r="M51" s="1318"/>
      <c r="N51" s="1325">
        <v>0</v>
      </c>
      <c r="O51" s="1326"/>
      <c r="P51" s="1326"/>
      <c r="Q51" s="1326"/>
      <c r="R51" s="1326"/>
      <c r="S51" s="1326"/>
      <c r="T51" s="1326"/>
      <c r="U51" s="1327"/>
      <c r="V51" s="1325">
        <v>0</v>
      </c>
      <c r="W51" s="1326"/>
      <c r="X51" s="1326"/>
      <c r="Y51" s="1326"/>
      <c r="Z51" s="1326"/>
      <c r="AA51" s="1326"/>
      <c r="AB51" s="1326"/>
      <c r="AC51" s="1327"/>
      <c r="AD51" s="1325">
        <v>249</v>
      </c>
      <c r="AE51" s="1326"/>
      <c r="AF51" s="1326"/>
      <c r="AG51" s="1326"/>
      <c r="AH51" s="1326"/>
      <c r="AI51" s="1326"/>
      <c r="AJ51" s="1326"/>
      <c r="AK51" s="1327"/>
      <c r="AL51" s="1322">
        <f>'B1'!AI32</f>
        <v>249</v>
      </c>
      <c r="AM51" s="1323"/>
      <c r="AN51" s="1323"/>
      <c r="AO51" s="1323"/>
      <c r="AP51" s="1323"/>
      <c r="AQ51" s="1323"/>
      <c r="AR51" s="1323"/>
      <c r="AS51" s="1324"/>
      <c r="BL51" s="430"/>
      <c r="BM51" s="430"/>
      <c r="BN51" s="430"/>
      <c r="BO51" s="430"/>
      <c r="BP51" s="430"/>
      <c r="BQ51" s="430"/>
      <c r="BR51" s="430"/>
      <c r="BS51" s="430"/>
      <c r="BT51" s="430"/>
      <c r="BU51" s="430"/>
      <c r="BV51" s="430"/>
      <c r="BW51" s="430"/>
      <c r="BX51" s="430"/>
    </row>
    <row r="52" spans="2:76" s="430" customFormat="1" ht="14.1" customHeight="1">
      <c r="B52" s="1316" t="s">
        <v>1884</v>
      </c>
      <c r="C52" s="1317"/>
      <c r="D52" s="1318" t="s">
        <v>1885</v>
      </c>
      <c r="E52" s="1318"/>
      <c r="F52" s="1318"/>
      <c r="G52" s="1318"/>
      <c r="H52" s="1318"/>
      <c r="I52" s="1318"/>
      <c r="J52" s="1318"/>
      <c r="K52" s="1318"/>
      <c r="L52" s="1318"/>
      <c r="M52" s="1318"/>
      <c r="N52" s="1319">
        <v>0</v>
      </c>
      <c r="O52" s="1320"/>
      <c r="P52" s="1320"/>
      <c r="Q52" s="1320"/>
      <c r="R52" s="1320"/>
      <c r="S52" s="1320"/>
      <c r="T52" s="1320"/>
      <c r="U52" s="1321"/>
      <c r="V52" s="1319">
        <v>0</v>
      </c>
      <c r="W52" s="1320"/>
      <c r="X52" s="1320"/>
      <c r="Y52" s="1320"/>
      <c r="Z52" s="1320"/>
      <c r="AA52" s="1320"/>
      <c r="AB52" s="1320"/>
      <c r="AC52" s="1321"/>
      <c r="AD52" s="1319">
        <v>5000000</v>
      </c>
      <c r="AE52" s="1320"/>
      <c r="AF52" s="1320"/>
      <c r="AG52" s="1320"/>
      <c r="AH52" s="1320"/>
      <c r="AI52" s="1320"/>
      <c r="AJ52" s="1320"/>
      <c r="AK52" s="1321"/>
      <c r="AL52" s="1319">
        <f>DB!Q64</f>
        <v>5000000</v>
      </c>
      <c r="AM52" s="1320"/>
      <c r="AN52" s="1320"/>
      <c r="AO52" s="1320"/>
      <c r="AP52" s="1320"/>
      <c r="AQ52" s="1320"/>
      <c r="AR52" s="1320"/>
      <c r="AS52" s="1321"/>
      <c r="AT52"/>
      <c r="AU52"/>
      <c r="AV52"/>
      <c r="AW52"/>
      <c r="AX52"/>
      <c r="AY52"/>
      <c r="AZ52"/>
      <c r="BA52"/>
      <c r="BB52"/>
      <c r="BC52"/>
      <c r="BD52"/>
      <c r="BE52"/>
    </row>
    <row r="53" spans="2:76" s="430" customFormat="1" ht="14.1" customHeight="1">
      <c r="B53" s="1316" t="s">
        <v>1886</v>
      </c>
      <c r="C53" s="1317"/>
      <c r="D53" s="1318" t="s">
        <v>1887</v>
      </c>
      <c r="E53" s="1318"/>
      <c r="F53" s="1318"/>
      <c r="G53" s="1318"/>
      <c r="H53" s="1318"/>
      <c r="I53" s="1318"/>
      <c r="J53" s="1318"/>
      <c r="K53" s="1318"/>
      <c r="L53" s="1318"/>
      <c r="M53" s="1318"/>
      <c r="N53" s="1319">
        <v>0</v>
      </c>
      <c r="O53" s="1320"/>
      <c r="P53" s="1320"/>
      <c r="Q53" s="1320"/>
      <c r="R53" s="1320"/>
      <c r="S53" s="1320"/>
      <c r="T53" s="1320"/>
      <c r="U53" s="1321"/>
      <c r="V53" s="1319">
        <v>0</v>
      </c>
      <c r="W53" s="1320"/>
      <c r="X53" s="1320"/>
      <c r="Y53" s="1320"/>
      <c r="Z53" s="1320"/>
      <c r="AA53" s="1320"/>
      <c r="AB53" s="1320"/>
      <c r="AC53" s="1321"/>
      <c r="AD53" s="1319">
        <v>1000000</v>
      </c>
      <c r="AE53" s="1320"/>
      <c r="AF53" s="1320"/>
      <c r="AG53" s="1320"/>
      <c r="AH53" s="1320"/>
      <c r="AI53" s="1320"/>
      <c r="AJ53" s="1320"/>
      <c r="AK53" s="1321"/>
      <c r="AL53" s="1319">
        <f ca="1">BTB!CA93</f>
        <v>995999.99999999977</v>
      </c>
      <c r="AM53" s="1320"/>
      <c r="AN53" s="1320"/>
      <c r="AO53" s="1320"/>
      <c r="AP53" s="1320"/>
      <c r="AQ53" s="1320"/>
      <c r="AR53" s="1320"/>
      <c r="AS53" s="1321"/>
      <c r="AT53"/>
      <c r="AU53"/>
      <c r="AV53"/>
      <c r="AW53"/>
      <c r="AX53"/>
      <c r="AY53"/>
      <c r="AZ53"/>
      <c r="BA53"/>
      <c r="BB53"/>
      <c r="BC53"/>
      <c r="BD53"/>
      <c r="BE53"/>
      <c r="BF53" s="429"/>
    </row>
    <row r="54" spans="2:76" s="430" customFormat="1" ht="14.1" customHeight="1">
      <c r="B54" s="1316" t="s">
        <v>1888</v>
      </c>
      <c r="C54" s="1317"/>
      <c r="D54" s="1318" t="s">
        <v>1889</v>
      </c>
      <c r="E54" s="1318"/>
      <c r="F54" s="1318"/>
      <c r="G54" s="1318"/>
      <c r="H54" s="1318"/>
      <c r="I54" s="1318"/>
      <c r="J54" s="1318"/>
      <c r="K54" s="1318"/>
      <c r="L54" s="1318"/>
      <c r="M54" s="1318"/>
      <c r="N54" s="1319">
        <v>0</v>
      </c>
      <c r="O54" s="1320"/>
      <c r="P54" s="1320"/>
      <c r="Q54" s="1320"/>
      <c r="R54" s="1320"/>
      <c r="S54" s="1320"/>
      <c r="T54" s="1320"/>
      <c r="U54" s="1321"/>
      <c r="V54" s="1319">
        <v>0</v>
      </c>
      <c r="W54" s="1320"/>
      <c r="X54" s="1320"/>
      <c r="Y54" s="1320"/>
      <c r="Z54" s="1320"/>
      <c r="AA54" s="1320"/>
      <c r="AB54" s="1320"/>
      <c r="AC54" s="1321"/>
      <c r="AD54" s="1319">
        <v>1345000000</v>
      </c>
      <c r="AE54" s="1320"/>
      <c r="AF54" s="1320"/>
      <c r="AG54" s="1320"/>
      <c r="AH54" s="1320"/>
      <c r="AI54" s="1320"/>
      <c r="AJ54" s="1320"/>
      <c r="AK54" s="1321"/>
      <c r="AL54" s="1319">
        <f>'Surat-02'!T19</f>
        <v>1493000000</v>
      </c>
      <c r="AM54" s="1320"/>
      <c r="AN54" s="1320"/>
      <c r="AO54" s="1320"/>
      <c r="AP54" s="1320"/>
      <c r="AQ54" s="1320"/>
      <c r="AR54" s="1320"/>
      <c r="AS54" s="1321"/>
      <c r="BL54" s="431"/>
      <c r="BM54" s="431"/>
      <c r="BN54" s="431"/>
      <c r="BO54" s="431"/>
      <c r="BP54" s="431"/>
      <c r="BQ54" s="431"/>
      <c r="BR54" s="431"/>
      <c r="BS54" s="431"/>
      <c r="BT54" s="431"/>
      <c r="BU54" s="431"/>
      <c r="BV54" s="431"/>
      <c r="BW54" s="431"/>
      <c r="BX54" s="431"/>
    </row>
    <row r="55" spans="2:76" s="431" customFormat="1" ht="14.1" customHeight="1">
      <c r="B55" s="1316" t="s">
        <v>1890</v>
      </c>
      <c r="C55" s="1317"/>
      <c r="D55" s="1318" t="s">
        <v>1891</v>
      </c>
      <c r="E55" s="1318"/>
      <c r="F55" s="1318"/>
      <c r="G55" s="1318"/>
      <c r="H55" s="1318"/>
      <c r="I55" s="1318"/>
      <c r="J55" s="1318"/>
      <c r="K55" s="1318"/>
      <c r="L55" s="1318"/>
      <c r="M55" s="1318"/>
      <c r="N55" s="1319">
        <v>0</v>
      </c>
      <c r="O55" s="1320"/>
      <c r="P55" s="1320"/>
      <c r="Q55" s="1320"/>
      <c r="R55" s="1320"/>
      <c r="S55" s="1320"/>
      <c r="T55" s="1320"/>
      <c r="U55" s="1321"/>
      <c r="V55" s="1319">
        <v>0</v>
      </c>
      <c r="W55" s="1320"/>
      <c r="X55" s="1320"/>
      <c r="Y55" s="1320"/>
      <c r="Z55" s="1320"/>
      <c r="AA55" s="1320"/>
      <c r="AB55" s="1320"/>
      <c r="AC55" s="1321"/>
      <c r="AD55" s="1319">
        <v>0</v>
      </c>
      <c r="AE55" s="1320"/>
      <c r="AF55" s="1320"/>
      <c r="AG55" s="1320"/>
      <c r="AH55" s="1320"/>
      <c r="AI55" s="1320"/>
      <c r="AJ55" s="1320"/>
      <c r="AK55" s="1321"/>
      <c r="AL55" s="1319">
        <f>'Surat-02'!AD19</f>
        <v>896000000</v>
      </c>
      <c r="AM55" s="1320"/>
      <c r="AN55" s="1320"/>
      <c r="AO55" s="1320"/>
      <c r="AP55" s="1320"/>
      <c r="AQ55" s="1320"/>
      <c r="AR55" s="1320"/>
      <c r="AS55" s="1321"/>
    </row>
    <row r="56" spans="2:76" s="431" customFormat="1" ht="14.1" customHeight="1">
      <c r="AD56" s="1315"/>
      <c r="AE56" s="1315"/>
      <c r="AF56" s="1315"/>
      <c r="AG56" s="1315"/>
      <c r="AH56" s="1315"/>
      <c r="AI56" s="1315"/>
      <c r="AJ56" s="1315"/>
      <c r="AK56" s="1315"/>
      <c r="BL56" s="389"/>
      <c r="BM56" s="389"/>
      <c r="BN56" s="389"/>
      <c r="BO56" s="389"/>
      <c r="BP56" s="389"/>
      <c r="BQ56" s="389"/>
      <c r="BR56" s="389"/>
      <c r="BS56" s="389"/>
      <c r="BT56" s="389"/>
      <c r="BU56" s="389"/>
      <c r="BV56" s="389"/>
      <c r="BW56" s="389"/>
      <c r="BX56" s="389"/>
    </row>
    <row r="57" spans="2:76" ht="17.100000000000001" customHeight="1">
      <c r="BL57" s="417"/>
      <c r="BM57" s="417"/>
      <c r="BN57" s="417"/>
      <c r="BO57" s="417"/>
      <c r="BP57" s="417"/>
      <c r="BQ57" s="417"/>
      <c r="BR57" s="417"/>
      <c r="BS57" s="417"/>
      <c r="BT57" s="417"/>
      <c r="BU57" s="417"/>
      <c r="BV57" s="417"/>
      <c r="BW57" s="417"/>
      <c r="BX57" s="417"/>
    </row>
    <row r="58" spans="2:76" s="417" customFormat="1" ht="12.95" hidden="1" customHeight="1">
      <c r="D58" s="404" t="s">
        <v>2370</v>
      </c>
    </row>
    <row r="59" spans="2:76" s="417" customFormat="1" ht="12.95" hidden="1" customHeight="1">
      <c r="D59" s="432" t="s">
        <v>1892</v>
      </c>
    </row>
    <row r="60" spans="2:76" s="417" customFormat="1" ht="12.95" hidden="1" customHeight="1">
      <c r="C60" s="417">
        <v>1</v>
      </c>
      <c r="D60" s="417" t="s">
        <v>1893</v>
      </c>
    </row>
    <row r="61" spans="2:76" s="417" customFormat="1" ht="12.95" hidden="1" customHeight="1">
      <c r="C61" s="417">
        <v>2</v>
      </c>
      <c r="D61" s="417" t="s">
        <v>1870</v>
      </c>
    </row>
    <row r="62" spans="2:76" s="417" customFormat="1" ht="12.95" hidden="1" customHeight="1">
      <c r="C62" s="417">
        <v>3</v>
      </c>
      <c r="D62" s="417" t="s">
        <v>1870</v>
      </c>
    </row>
    <row r="63" spans="2:76" s="417" customFormat="1" ht="12.95" hidden="1" customHeight="1">
      <c r="C63" s="417">
        <v>4</v>
      </c>
      <c r="D63" s="417" t="s">
        <v>1870</v>
      </c>
    </row>
    <row r="64" spans="2:76" s="417" customFormat="1" ht="12.95" hidden="1" customHeight="1">
      <c r="C64" s="417">
        <v>5</v>
      </c>
      <c r="D64" s="417" t="s">
        <v>1870</v>
      </c>
    </row>
    <row r="65" spans="3:64" s="417" customFormat="1" ht="12.95" hidden="1" customHeight="1">
      <c r="C65" s="417">
        <v>6</v>
      </c>
      <c r="D65" s="417" t="s">
        <v>1870</v>
      </c>
    </row>
    <row r="66" spans="3:64" s="417" customFormat="1" ht="12.95" hidden="1" customHeight="1">
      <c r="C66" s="417">
        <v>7</v>
      </c>
      <c r="D66" s="417" t="s">
        <v>1870</v>
      </c>
    </row>
    <row r="67" spans="3:64" s="417" customFormat="1" ht="12.95" hidden="1" customHeight="1">
      <c r="C67" s="417">
        <v>8</v>
      </c>
      <c r="D67" s="417" t="s">
        <v>1870</v>
      </c>
    </row>
    <row r="68" spans="3:64" s="417" customFormat="1" ht="12.95" hidden="1" customHeight="1">
      <c r="C68" s="417">
        <v>9</v>
      </c>
      <c r="D68" s="417" t="s">
        <v>1870</v>
      </c>
    </row>
    <row r="69" spans="3:64" s="417" customFormat="1" ht="12.95" hidden="1" customHeight="1">
      <c r="C69" s="417">
        <v>10</v>
      </c>
      <c r="D69" s="417" t="s">
        <v>1870</v>
      </c>
    </row>
    <row r="70" spans="3:64" s="417" customFormat="1" ht="12.95" hidden="1" customHeight="1">
      <c r="C70" s="417">
        <v>11</v>
      </c>
      <c r="D70" s="417" t="s">
        <v>1870</v>
      </c>
    </row>
    <row r="71" spans="3:64" s="417" customFormat="1" ht="12.95" hidden="1" customHeight="1">
      <c r="C71" s="417">
        <v>12</v>
      </c>
      <c r="D71" s="417" t="s">
        <v>1870</v>
      </c>
    </row>
    <row r="72" spans="3:64" s="417" customFormat="1" ht="12.95" hidden="1" customHeight="1">
      <c r="C72" s="417">
        <v>13</v>
      </c>
      <c r="D72" s="417" t="s">
        <v>1870</v>
      </c>
    </row>
    <row r="73" spans="3:64" s="417" customFormat="1" ht="12.95" hidden="1" customHeight="1"/>
    <row r="74" spans="3:64" s="417" customFormat="1" ht="12.95" hidden="1" customHeight="1">
      <c r="C74" s="417">
        <v>14</v>
      </c>
      <c r="D74" s="433" t="s">
        <v>1894</v>
      </c>
    </row>
    <row r="75" spans="3:64" s="417" customFormat="1" ht="12.95" hidden="1" customHeight="1">
      <c r="C75" s="417">
        <v>15</v>
      </c>
      <c r="D75" s="433" t="s">
        <v>1894</v>
      </c>
    </row>
    <row r="76" spans="3:64" s="417" customFormat="1" ht="12.95" hidden="1" customHeight="1">
      <c r="C76" s="417">
        <v>16</v>
      </c>
      <c r="D76" s="433" t="s">
        <v>1858</v>
      </c>
    </row>
    <row r="77" spans="3:64" s="417" customFormat="1" ht="12.95" hidden="1" customHeight="1">
      <c r="C77" s="417">
        <v>17</v>
      </c>
      <c r="D77" s="433" t="s">
        <v>1894</v>
      </c>
    </row>
    <row r="78" spans="3:64" s="417" customFormat="1" ht="12.95" hidden="1" customHeight="1">
      <c r="C78" s="417">
        <v>18</v>
      </c>
      <c r="D78" s="433" t="s">
        <v>1894</v>
      </c>
    </row>
    <row r="79" spans="3:64" s="417" customFormat="1" ht="12.95" hidden="1" customHeight="1">
      <c r="C79" s="417">
        <v>19</v>
      </c>
      <c r="D79" s="433" t="s">
        <v>1894</v>
      </c>
      <c r="AG79" s="389"/>
      <c r="AH79" s="389"/>
      <c r="AI79" s="389"/>
      <c r="AJ79" s="389"/>
      <c r="AK79" s="389"/>
      <c r="AL79" s="711"/>
      <c r="AM79" s="711"/>
      <c r="AN79" s="711"/>
      <c r="AO79" s="711"/>
      <c r="AP79" s="714"/>
      <c r="AQ79" s="712"/>
      <c r="AR79" s="389"/>
      <c r="AS79" s="389"/>
      <c r="AT79" s="420"/>
      <c r="AU79" s="420"/>
      <c r="AV79" s="420"/>
      <c r="AW79" s="420"/>
      <c r="AX79" s="420"/>
      <c r="AY79" s="420"/>
      <c r="AZ79" s="420"/>
      <c r="BA79" s="420"/>
      <c r="BB79" s="420"/>
      <c r="BC79" s="420"/>
      <c r="BD79" s="420"/>
      <c r="BE79" s="420"/>
      <c r="BF79" s="420"/>
      <c r="BG79" s="420"/>
      <c r="BH79" s="420"/>
      <c r="BI79" s="420"/>
      <c r="BJ79" s="420"/>
      <c r="BK79" s="420"/>
      <c r="BL79" s="420"/>
    </row>
    <row r="80" spans="3:64" s="417" customFormat="1" ht="12.95" hidden="1" customHeight="1">
      <c r="D80" s="434"/>
      <c r="AG80" s="389"/>
      <c r="AH80" s="389"/>
      <c r="AI80" s="389"/>
      <c r="AJ80" s="389"/>
      <c r="AK80" s="389"/>
      <c r="AL80" s="711"/>
      <c r="AM80" s="711"/>
      <c r="AN80" s="711"/>
      <c r="AO80" s="711"/>
      <c r="AP80" s="714"/>
      <c r="AQ80" s="712"/>
      <c r="AR80" s="389"/>
      <c r="AS80" s="389"/>
      <c r="AT80" s="389"/>
      <c r="AU80" s="389"/>
      <c r="AV80" s="389"/>
      <c r="AW80" s="389"/>
      <c r="AX80" s="389"/>
      <c r="AY80" s="389"/>
      <c r="AZ80" s="389"/>
      <c r="BA80" s="389"/>
      <c r="BB80" s="389"/>
      <c r="BC80" s="389"/>
      <c r="BD80" s="389"/>
      <c r="BE80" s="389"/>
      <c r="BF80" s="389"/>
      <c r="BG80" s="389"/>
      <c r="BH80" s="389"/>
      <c r="BI80" s="389"/>
      <c r="BJ80" s="389"/>
      <c r="BK80" s="389"/>
      <c r="BL80" s="389"/>
    </row>
    <row r="81" spans="3:76" s="417" customFormat="1" ht="12.95" hidden="1" customHeight="1">
      <c r="AJ81" s="420"/>
      <c r="AK81" s="420"/>
      <c r="AL81" s="420"/>
      <c r="AM81" s="420"/>
      <c r="AN81" s="420"/>
      <c r="AO81" s="420"/>
      <c r="AP81" s="420"/>
      <c r="AQ81" s="420"/>
      <c r="AR81" s="420"/>
      <c r="AS81" s="420"/>
      <c r="AT81" s="420"/>
      <c r="AU81" s="420"/>
      <c r="AV81" s="420"/>
      <c r="AW81" s="420"/>
      <c r="AX81" s="420"/>
      <c r="AY81" s="420"/>
      <c r="AZ81" s="420"/>
      <c r="BA81" s="420"/>
      <c r="BL81" s="435"/>
      <c r="BM81" s="435"/>
      <c r="BN81" s="435"/>
      <c r="BO81" s="435"/>
      <c r="BP81" s="435"/>
      <c r="BQ81" s="435"/>
      <c r="BR81" s="435"/>
      <c r="BS81" s="435"/>
      <c r="BT81" s="435"/>
      <c r="BU81" s="435"/>
      <c r="BV81" s="435"/>
      <c r="BW81" s="435"/>
      <c r="BX81" s="435"/>
    </row>
    <row r="82" spans="3:76" s="435" customFormat="1" ht="23.25" hidden="1" customHeight="1">
      <c r="C82" s="390" t="s">
        <v>1895</v>
      </c>
      <c r="D82" s="390"/>
      <c r="E82" s="390"/>
      <c r="F82" s="390"/>
      <c r="G82" s="390"/>
      <c r="H82" s="390"/>
      <c r="I82" s="390"/>
      <c r="J82" s="390"/>
      <c r="K82" s="390"/>
      <c r="L82" s="390"/>
      <c r="M82" s="390"/>
      <c r="N82" s="390"/>
      <c r="O82" s="390"/>
      <c r="P82" s="390"/>
      <c r="Q82" s="390"/>
      <c r="R82" s="390"/>
      <c r="S82" s="390"/>
      <c r="T82" s="390"/>
      <c r="U82" s="390"/>
      <c r="V82" s="390"/>
      <c r="W82" s="390"/>
      <c r="X82" s="390"/>
      <c r="Y82" s="390"/>
      <c r="Z82" s="390"/>
      <c r="AA82" s="390"/>
      <c r="AB82" s="390"/>
      <c r="AC82" s="390"/>
      <c r="AD82" s="390"/>
      <c r="AE82" s="390"/>
      <c r="AF82" s="390"/>
      <c r="AG82" s="390"/>
      <c r="AH82" s="390"/>
      <c r="AI82" s="407"/>
      <c r="AJ82" s="407"/>
      <c r="AK82" s="407"/>
      <c r="AL82" s="407"/>
      <c r="AM82" s="407"/>
      <c r="AN82" s="407"/>
      <c r="AO82" s="407"/>
      <c r="AP82" s="407"/>
      <c r="AQ82" s="407"/>
      <c r="AR82" s="407"/>
      <c r="AS82" s="407"/>
      <c r="AT82" s="407"/>
      <c r="AU82" s="407"/>
      <c r="AV82" s="407"/>
      <c r="AW82" s="407"/>
      <c r="AX82" s="407"/>
      <c r="AY82" s="407"/>
      <c r="AZ82" s="407"/>
      <c r="BA82" s="407"/>
      <c r="BB82" s="407"/>
      <c r="BC82" s="407"/>
      <c r="BD82" s="407"/>
      <c r="BL82" s="437"/>
      <c r="BM82" s="437"/>
      <c r="BN82" s="437"/>
      <c r="BO82" s="437"/>
      <c r="BP82" s="437"/>
      <c r="BQ82" s="437"/>
      <c r="BR82" s="437"/>
      <c r="BS82" s="437"/>
      <c r="BT82" s="437"/>
      <c r="BU82" s="437"/>
      <c r="BV82" s="437"/>
      <c r="BW82" s="437"/>
      <c r="BX82" s="437"/>
    </row>
    <row r="83" spans="3:76" s="437" customFormat="1" ht="15.95" hidden="1" customHeight="1">
      <c r="C83" s="436"/>
      <c r="E83" s="392"/>
      <c r="F83" s="392"/>
      <c r="G83" s="392"/>
      <c r="H83" s="392"/>
      <c r="I83" s="392"/>
      <c r="J83" s="392"/>
      <c r="K83" s="392"/>
      <c r="L83" s="392"/>
      <c r="M83" s="392"/>
      <c r="N83" s="392"/>
      <c r="O83" s="392"/>
      <c r="P83" s="392"/>
      <c r="Q83" s="392"/>
      <c r="R83" s="392"/>
      <c r="S83" s="392"/>
      <c r="T83" s="391"/>
      <c r="U83" s="392"/>
      <c r="V83" s="392"/>
      <c r="W83" s="392"/>
      <c r="X83" s="392"/>
      <c r="Y83" s="392"/>
      <c r="Z83" s="392"/>
      <c r="AA83" s="392"/>
      <c r="AB83" s="392"/>
      <c r="AC83" s="392"/>
      <c r="AD83" s="392"/>
      <c r="AE83" s="438"/>
      <c r="AF83" s="308"/>
      <c r="AG83" s="308"/>
      <c r="AH83" s="308"/>
      <c r="AI83" s="407"/>
      <c r="AJ83" s="407"/>
      <c r="BD83" s="407"/>
      <c r="BL83" s="447"/>
      <c r="BM83" s="447"/>
      <c r="BN83" s="447"/>
      <c r="BO83" s="447"/>
      <c r="BP83" s="447"/>
      <c r="BQ83" s="447"/>
      <c r="BR83" s="447"/>
      <c r="BS83" s="447"/>
      <c r="BT83" s="447"/>
      <c r="BU83" s="447"/>
      <c r="BV83" s="447"/>
      <c r="BW83" s="447"/>
      <c r="BX83" s="447"/>
    </row>
    <row r="84" spans="3:76" s="447" customFormat="1" ht="15.95" hidden="1" customHeight="1">
      <c r="C84" s="439"/>
      <c r="D84" s="440" t="s">
        <v>1824</v>
      </c>
      <c r="E84" s="396" t="s">
        <v>1896</v>
      </c>
      <c r="F84" s="441"/>
      <c r="G84" s="441"/>
      <c r="H84" s="441"/>
      <c r="I84" s="441"/>
      <c r="J84" s="441"/>
      <c r="K84" s="441"/>
      <c r="L84" s="441"/>
      <c r="M84" s="441"/>
      <c r="N84" s="441"/>
      <c r="O84" s="441"/>
      <c r="P84" s="441"/>
      <c r="Q84" s="441"/>
      <c r="R84" s="441"/>
      <c r="S84" s="441"/>
      <c r="T84" s="442"/>
      <c r="U84" s="443" t="s">
        <v>1824</v>
      </c>
      <c r="V84" s="444" t="s">
        <v>1897</v>
      </c>
      <c r="W84" s="445"/>
      <c r="X84" s="445"/>
      <c r="Y84" s="445"/>
      <c r="Z84" s="445"/>
      <c r="AA84" s="445"/>
      <c r="AB84" s="445"/>
      <c r="AC84" s="445"/>
      <c r="AD84" s="445"/>
      <c r="AE84" s="446"/>
      <c r="AF84" s="308"/>
      <c r="AG84" s="308"/>
      <c r="AH84" s="308"/>
      <c r="AI84" s="407"/>
      <c r="AJ84" s="407"/>
      <c r="AL84" s="443" t="s">
        <v>1824</v>
      </c>
      <c r="AM84" s="444" t="s">
        <v>2352</v>
      </c>
      <c r="AN84" s="420"/>
      <c r="BD84" s="407"/>
      <c r="BL84" s="393"/>
      <c r="BM84" s="393"/>
      <c r="BN84" s="393"/>
      <c r="BO84" s="393"/>
      <c r="BP84" s="393"/>
      <c r="BQ84" s="393"/>
      <c r="BR84" s="393"/>
      <c r="BS84" s="393"/>
      <c r="BT84" s="393"/>
      <c r="BU84" s="393"/>
      <c r="BV84" s="393"/>
      <c r="BW84" s="393"/>
      <c r="BX84" s="393"/>
    </row>
    <row r="85" spans="3:76" s="393" customFormat="1" ht="15.95" hidden="1" customHeight="1">
      <c r="C85" s="448"/>
      <c r="E85" s="400" t="s">
        <v>1827</v>
      </c>
      <c r="T85" s="407"/>
      <c r="U85" s="449"/>
      <c r="V85" s="450" t="s">
        <v>1827</v>
      </c>
      <c r="W85" s="449"/>
      <c r="X85" s="449"/>
      <c r="Y85" s="449"/>
      <c r="Z85" s="449"/>
      <c r="AA85" s="449"/>
      <c r="AB85" s="449"/>
      <c r="AC85" s="449"/>
      <c r="AD85" s="449"/>
      <c r="AE85" s="435"/>
      <c r="AF85" s="308"/>
      <c r="AG85" s="308"/>
      <c r="AH85" s="308"/>
      <c r="AI85" s="407"/>
      <c r="AJ85" s="407"/>
      <c r="AL85" s="449"/>
      <c r="AM85" s="450" t="s">
        <v>1827</v>
      </c>
      <c r="AN85" s="450" t="s">
        <v>1827</v>
      </c>
      <c r="BD85" s="407"/>
    </row>
    <row r="86" spans="3:76" s="393" customFormat="1" ht="15.95" hidden="1" customHeight="1">
      <c r="C86" s="448"/>
      <c r="D86" s="402">
        <v>1</v>
      </c>
      <c r="E86" s="403" t="s">
        <v>2477</v>
      </c>
      <c r="T86" s="407"/>
      <c r="U86" s="402">
        <v>1</v>
      </c>
      <c r="V86" s="393" t="s">
        <v>1177</v>
      </c>
      <c r="AE86" s="435"/>
      <c r="AF86" s="308"/>
      <c r="AG86" s="402"/>
      <c r="AH86" s="402"/>
      <c r="AI86" s="407"/>
      <c r="AJ86" s="407"/>
      <c r="AL86" s="402">
        <v>1</v>
      </c>
      <c r="AM86" s="393" t="s">
        <v>2450</v>
      </c>
      <c r="AU86" s="393" t="s">
        <v>2453</v>
      </c>
      <c r="BD86" s="407"/>
    </row>
    <row r="87" spans="3:76" s="393" customFormat="1" ht="15.95" hidden="1" customHeight="1">
      <c r="C87" s="448"/>
      <c r="D87" s="402">
        <v>2</v>
      </c>
      <c r="E87" s="403" t="s">
        <v>1898</v>
      </c>
      <c r="T87" s="407"/>
      <c r="U87" s="402">
        <v>2</v>
      </c>
      <c r="V87" s="393" t="s">
        <v>1179</v>
      </c>
      <c r="W87" s="451"/>
      <c r="X87" s="451"/>
      <c r="Y87" s="451"/>
      <c r="Z87" s="451"/>
      <c r="AE87" s="435"/>
      <c r="AF87" s="308"/>
      <c r="AG87" s="452"/>
      <c r="AH87" s="452"/>
      <c r="AI87" s="407"/>
      <c r="AJ87" s="407"/>
      <c r="AL87" s="402">
        <v>2</v>
      </c>
      <c r="AM87" s="393" t="s">
        <v>2451</v>
      </c>
      <c r="AU87" s="393" t="s">
        <v>2454</v>
      </c>
      <c r="BD87" s="407"/>
    </row>
    <row r="88" spans="3:76" s="393" customFormat="1" ht="15.95" hidden="1" customHeight="1">
      <c r="C88" s="448"/>
      <c r="D88" s="402">
        <v>3</v>
      </c>
      <c r="E88" s="403" t="s">
        <v>1899</v>
      </c>
      <c r="T88" s="407"/>
      <c r="U88" s="402">
        <v>3</v>
      </c>
      <c r="V88" s="393" t="s">
        <v>1180</v>
      </c>
      <c r="W88" s="451"/>
      <c r="X88" s="451"/>
      <c r="Y88" s="451"/>
      <c r="Z88" s="451"/>
      <c r="AE88" s="435"/>
      <c r="AF88" s="308"/>
      <c r="AG88" s="452"/>
      <c r="AH88" s="452"/>
      <c r="AI88" s="407"/>
      <c r="AJ88" s="407"/>
      <c r="AL88" s="402">
        <v>3</v>
      </c>
      <c r="AM88" s="393" t="s">
        <v>2452</v>
      </c>
      <c r="AU88" s="393" t="s">
        <v>2455</v>
      </c>
      <c r="BD88" s="407"/>
    </row>
    <row r="89" spans="3:76" s="393" customFormat="1" ht="15.95" hidden="1" customHeight="1">
      <c r="C89" s="448"/>
      <c r="D89" s="402">
        <v>4</v>
      </c>
      <c r="E89" s="406"/>
      <c r="T89" s="407"/>
      <c r="U89" s="402">
        <v>4</v>
      </c>
      <c r="V89" s="393" t="s">
        <v>1181</v>
      </c>
      <c r="W89" s="451"/>
      <c r="X89" s="451"/>
      <c r="Y89" s="451"/>
      <c r="Z89" s="451"/>
      <c r="AE89" s="435"/>
      <c r="AF89" s="308"/>
      <c r="AG89" s="452"/>
      <c r="AH89" s="452"/>
      <c r="AI89" s="407"/>
      <c r="AJ89" s="407"/>
      <c r="AL89" s="402">
        <v>4</v>
      </c>
      <c r="AM89" s="393" t="s">
        <v>2473</v>
      </c>
      <c r="AU89" s="393" t="s">
        <v>2456</v>
      </c>
      <c r="BD89" s="407"/>
    </row>
    <row r="90" spans="3:76" s="393" customFormat="1" ht="15.95" hidden="1" customHeight="1">
      <c r="C90" s="448"/>
      <c r="D90" s="402">
        <v>5</v>
      </c>
      <c r="E90" s="406"/>
      <c r="T90" s="407"/>
      <c r="U90" s="402">
        <v>5</v>
      </c>
      <c r="V90" s="393" t="s">
        <v>1182</v>
      </c>
      <c r="W90" s="451"/>
      <c r="X90" s="451"/>
      <c r="Y90" s="451"/>
      <c r="AE90" s="435"/>
      <c r="AF90" s="308"/>
      <c r="AG90" s="452"/>
      <c r="AH90" s="452"/>
      <c r="AI90" s="407"/>
      <c r="AJ90" s="407"/>
      <c r="AL90" s="402">
        <v>5</v>
      </c>
      <c r="AM90" s="968" t="s">
        <v>1827</v>
      </c>
      <c r="AU90" s="968" t="s">
        <v>1827</v>
      </c>
      <c r="BD90" s="407"/>
    </row>
    <row r="91" spans="3:76" s="393" customFormat="1" ht="15.95" hidden="1" customHeight="1">
      <c r="C91" s="448"/>
      <c r="D91" s="402">
        <v>6</v>
      </c>
      <c r="E91" s="406"/>
      <c r="T91" s="407"/>
      <c r="U91" s="402">
        <v>6</v>
      </c>
      <c r="V91" s="393" t="s">
        <v>1183</v>
      </c>
      <c r="W91" s="451"/>
      <c r="X91" s="451"/>
      <c r="Y91" s="451"/>
      <c r="AE91" s="435"/>
      <c r="AF91" s="308"/>
      <c r="AG91" s="452"/>
      <c r="AH91" s="452"/>
      <c r="AI91" s="407"/>
      <c r="AJ91" s="407"/>
      <c r="AL91" s="402">
        <v>6</v>
      </c>
      <c r="AM91" s="968" t="s">
        <v>1827</v>
      </c>
      <c r="AU91" s="968" t="s">
        <v>1827</v>
      </c>
      <c r="BD91" s="407"/>
    </row>
    <row r="92" spans="3:76" s="393" customFormat="1" ht="15.95" hidden="1" customHeight="1">
      <c r="C92" s="448"/>
      <c r="D92" s="402">
        <v>7</v>
      </c>
      <c r="E92" s="406"/>
      <c r="T92" s="407"/>
      <c r="U92" s="402">
        <v>7</v>
      </c>
      <c r="V92" s="393" t="s">
        <v>1184</v>
      </c>
      <c r="W92" s="451"/>
      <c r="X92" s="451"/>
      <c r="Y92" s="451"/>
      <c r="Z92" s="451"/>
      <c r="AE92" s="435"/>
      <c r="AF92" s="308"/>
      <c r="AG92" s="452"/>
      <c r="AH92" s="452"/>
      <c r="AI92" s="407"/>
      <c r="AJ92" s="407"/>
      <c r="AL92" s="402">
        <v>7</v>
      </c>
      <c r="AM92" s="406" t="s">
        <v>2357</v>
      </c>
      <c r="AU92" s="968" t="s">
        <v>1827</v>
      </c>
      <c r="BD92" s="407"/>
    </row>
    <row r="93" spans="3:76" s="393" customFormat="1" ht="15.95" hidden="1" customHeight="1">
      <c r="C93" s="448"/>
      <c r="D93" s="402">
        <v>8</v>
      </c>
      <c r="E93" s="406"/>
      <c r="T93" s="407"/>
      <c r="U93" s="402">
        <v>8</v>
      </c>
      <c r="V93" s="393" t="s">
        <v>1185</v>
      </c>
      <c r="W93" s="451"/>
      <c r="X93" s="451"/>
      <c r="Y93" s="451"/>
      <c r="AE93" s="435"/>
      <c r="AG93" s="452"/>
      <c r="AH93" s="452"/>
      <c r="AI93" s="407"/>
      <c r="AJ93" s="407"/>
      <c r="AL93" s="402">
        <v>8</v>
      </c>
      <c r="AM93" s="968" t="s">
        <v>1827</v>
      </c>
      <c r="AU93" s="968" t="s">
        <v>1827</v>
      </c>
      <c r="BD93" s="407"/>
    </row>
    <row r="94" spans="3:76" s="393" customFormat="1" ht="15.95" hidden="1" customHeight="1">
      <c r="C94" s="448"/>
      <c r="D94" s="402">
        <v>9</v>
      </c>
      <c r="E94" s="406"/>
      <c r="T94" s="407"/>
      <c r="U94" s="402">
        <v>9</v>
      </c>
      <c r="V94" s="393" t="s">
        <v>1186</v>
      </c>
      <c r="W94" s="451"/>
      <c r="X94" s="451"/>
      <c r="Y94" s="451"/>
      <c r="AE94" s="435"/>
      <c r="AG94" s="452"/>
      <c r="AH94" s="452"/>
      <c r="AI94" s="407"/>
      <c r="AJ94" s="407"/>
      <c r="AL94" s="402">
        <v>9</v>
      </c>
      <c r="AM94" s="449"/>
      <c r="AU94" s="969"/>
      <c r="BD94" s="407"/>
    </row>
    <row r="95" spans="3:76" s="393" customFormat="1" ht="15.95" hidden="1" customHeight="1">
      <c r="C95" s="448"/>
      <c r="D95" s="402">
        <v>10</v>
      </c>
      <c r="E95" s="406"/>
      <c r="T95" s="407"/>
      <c r="U95" s="402">
        <v>10</v>
      </c>
      <c r="V95" s="393" t="s">
        <v>1900</v>
      </c>
      <c r="W95" s="451"/>
      <c r="X95" s="451"/>
      <c r="Y95" s="451"/>
      <c r="AE95" s="435"/>
      <c r="AG95" s="452"/>
      <c r="AH95" s="452"/>
      <c r="AI95" s="407"/>
      <c r="AJ95" s="407"/>
      <c r="AL95" s="402">
        <v>10</v>
      </c>
      <c r="AM95" s="449"/>
      <c r="AU95" s="969"/>
      <c r="BD95" s="407"/>
    </row>
    <row r="96" spans="3:76" s="393" customFormat="1" ht="15.95" hidden="1" customHeight="1">
      <c r="C96" s="399"/>
      <c r="D96" s="399"/>
      <c r="E96" s="399"/>
      <c r="F96" s="399"/>
      <c r="G96" s="399"/>
      <c r="H96" s="399"/>
      <c r="I96" s="399"/>
      <c r="J96" s="399"/>
      <c r="K96" s="399"/>
      <c r="L96" s="399"/>
      <c r="M96" s="399"/>
      <c r="N96" s="399"/>
      <c r="O96" s="399"/>
      <c r="P96" s="399"/>
      <c r="Q96" s="399"/>
      <c r="R96" s="399"/>
      <c r="S96" s="399"/>
      <c r="T96" s="407"/>
      <c r="U96" s="402">
        <v>11</v>
      </c>
      <c r="V96" s="393" t="s">
        <v>1187</v>
      </c>
      <c r="W96" s="451"/>
      <c r="X96" s="451"/>
      <c r="Y96" s="451"/>
      <c r="AE96" s="435"/>
      <c r="AG96" s="452"/>
      <c r="AH96" s="452"/>
      <c r="AI96" s="407"/>
      <c r="AJ96" s="407"/>
      <c r="AL96" s="402">
        <v>11</v>
      </c>
      <c r="AM96" s="449"/>
      <c r="AU96" s="969"/>
      <c r="BD96" s="407"/>
    </row>
    <row r="97" spans="3:89" s="393" customFormat="1" ht="15.95" hidden="1" customHeight="1">
      <c r="C97" s="399"/>
      <c r="T97" s="407"/>
      <c r="U97" s="402">
        <v>12</v>
      </c>
      <c r="V97" s="393" t="s">
        <v>1188</v>
      </c>
      <c r="W97" s="451"/>
      <c r="X97" s="451"/>
      <c r="Y97" s="451"/>
      <c r="AE97" s="435"/>
      <c r="AG97" s="452"/>
      <c r="AH97" s="452"/>
      <c r="AI97" s="407"/>
      <c r="AJ97" s="407"/>
      <c r="AL97" s="402">
        <v>12</v>
      </c>
      <c r="AM97" s="449"/>
      <c r="AU97" s="969"/>
      <c r="BD97" s="407"/>
    </row>
    <row r="98" spans="3:89" s="393" customFormat="1" ht="15.95" hidden="1" customHeight="1">
      <c r="C98" s="399"/>
      <c r="D98" s="440" t="s">
        <v>1824</v>
      </c>
      <c r="E98" s="396" t="s">
        <v>2353</v>
      </c>
      <c r="T98" s="407"/>
      <c r="U98" s="402">
        <v>13</v>
      </c>
      <c r="V98" s="393" t="s">
        <v>1189</v>
      </c>
      <c r="W98" s="451"/>
      <c r="X98" s="451"/>
      <c r="Y98" s="451"/>
      <c r="AE98" s="435"/>
      <c r="AG98" s="452"/>
      <c r="AH98" s="452"/>
      <c r="AI98" s="407"/>
      <c r="AJ98" s="407"/>
      <c r="AL98" s="402">
        <v>13</v>
      </c>
      <c r="AM98" s="449"/>
      <c r="AU98" s="969"/>
      <c r="BD98" s="407"/>
    </row>
    <row r="99" spans="3:89" s="393" customFormat="1" ht="15.95" hidden="1" customHeight="1">
      <c r="C99" s="399"/>
      <c r="E99" s="400" t="s">
        <v>1827</v>
      </c>
      <c r="T99" s="407"/>
      <c r="U99" s="402">
        <v>14</v>
      </c>
      <c r="V99" s="393" t="s">
        <v>1190</v>
      </c>
      <c r="W99" s="451"/>
      <c r="X99" s="451"/>
      <c r="Y99" s="451"/>
      <c r="AE99" s="435"/>
      <c r="AG99" s="452"/>
      <c r="AH99" s="452"/>
      <c r="AI99" s="407"/>
      <c r="AJ99" s="407"/>
      <c r="AL99" s="402">
        <v>14</v>
      </c>
      <c r="AM99" s="449"/>
      <c r="AU99" s="969"/>
      <c r="BD99" s="407"/>
    </row>
    <row r="100" spans="3:89" s="393" customFormat="1" ht="15.95" hidden="1" customHeight="1">
      <c r="C100" s="399"/>
      <c r="D100" s="402">
        <v>1</v>
      </c>
      <c r="E100" s="403" t="s">
        <v>2354</v>
      </c>
      <c r="T100" s="407"/>
      <c r="U100" s="402">
        <v>15</v>
      </c>
      <c r="V100" s="393" t="s">
        <v>1191</v>
      </c>
      <c r="W100" s="451"/>
      <c r="X100" s="451"/>
      <c r="Y100" s="451"/>
      <c r="AE100" s="435"/>
      <c r="AG100" s="452"/>
      <c r="AH100" s="452"/>
      <c r="AI100" s="407"/>
      <c r="AJ100" s="407"/>
      <c r="AL100" s="402">
        <v>15</v>
      </c>
      <c r="AM100" s="449"/>
      <c r="AU100" s="969"/>
      <c r="BD100" s="407"/>
    </row>
    <row r="101" spans="3:89" s="393" customFormat="1" ht="15.95" hidden="1" customHeight="1">
      <c r="C101" s="399"/>
      <c r="D101" s="402">
        <v>2</v>
      </c>
      <c r="E101" s="403" t="s">
        <v>2356</v>
      </c>
      <c r="T101" s="407"/>
      <c r="U101" s="402">
        <v>16</v>
      </c>
      <c r="V101" s="406"/>
      <c r="AI101" s="407"/>
      <c r="AJ101" s="407"/>
      <c r="AL101" s="402">
        <v>16</v>
      </c>
      <c r="AM101" s="449"/>
      <c r="AU101" s="969"/>
      <c r="BD101" s="407"/>
    </row>
    <row r="102" spans="3:89" s="393" customFormat="1" ht="15.95" hidden="1" customHeight="1">
      <c r="C102" s="399"/>
      <c r="D102" s="402">
        <v>3</v>
      </c>
      <c r="E102" s="403" t="s">
        <v>2355</v>
      </c>
      <c r="T102" s="407"/>
      <c r="U102" s="402">
        <v>17</v>
      </c>
      <c r="V102" s="406"/>
      <c r="W102" s="437"/>
      <c r="X102" s="437"/>
      <c r="Y102" s="437"/>
      <c r="Z102" s="437"/>
      <c r="AA102" s="437"/>
      <c r="AB102" s="437"/>
      <c r="AC102" s="437"/>
      <c r="AD102" s="437"/>
      <c r="AE102" s="437"/>
      <c r="AF102" s="437"/>
      <c r="AG102" s="437"/>
      <c r="AH102" s="437"/>
      <c r="AI102" s="407"/>
      <c r="AJ102" s="407"/>
      <c r="AL102" s="402">
        <v>17</v>
      </c>
      <c r="AM102" s="449"/>
      <c r="AU102" s="969"/>
      <c r="BD102" s="407"/>
    </row>
    <row r="103" spans="3:89" s="393" customFormat="1" ht="15.95" hidden="1" customHeight="1">
      <c r="C103" s="399"/>
      <c r="D103" s="402">
        <v>4</v>
      </c>
      <c r="E103" s="406"/>
      <c r="T103" s="407"/>
      <c r="U103" s="402">
        <v>18</v>
      </c>
      <c r="V103" s="406"/>
      <c r="W103" s="417"/>
      <c r="X103" s="417"/>
      <c r="Y103" s="417"/>
      <c r="Z103" s="417"/>
      <c r="AA103" s="417"/>
      <c r="AB103" s="417"/>
      <c r="AC103" s="417"/>
      <c r="AD103" s="417"/>
      <c r="AE103" s="417"/>
      <c r="AF103" s="417"/>
      <c r="AG103" s="417"/>
      <c r="AH103" s="417"/>
      <c r="AI103" s="407"/>
      <c r="AJ103" s="407"/>
      <c r="AL103" s="402">
        <v>18</v>
      </c>
      <c r="AM103" s="449"/>
      <c r="AU103" s="969"/>
      <c r="BD103" s="407"/>
    </row>
    <row r="104" spans="3:89" s="393" customFormat="1" ht="15.95" hidden="1" customHeight="1">
      <c r="C104" s="399"/>
      <c r="D104" s="402">
        <v>5</v>
      </c>
      <c r="E104" s="406"/>
      <c r="T104" s="407"/>
      <c r="U104" s="402">
        <v>19</v>
      </c>
      <c r="V104" s="406"/>
      <c r="W104" s="417"/>
      <c r="X104" s="417"/>
      <c r="Y104" s="417"/>
      <c r="Z104" s="417"/>
      <c r="AA104" s="417"/>
      <c r="AB104" s="417"/>
      <c r="AC104" s="417"/>
      <c r="AD104" s="417"/>
      <c r="AE104" s="417"/>
      <c r="AF104" s="417"/>
      <c r="AG104" s="417"/>
      <c r="AH104" s="417"/>
      <c r="AI104" s="407"/>
      <c r="AJ104" s="407"/>
      <c r="AL104" s="402">
        <v>19</v>
      </c>
      <c r="AM104" s="449"/>
      <c r="AU104" s="969"/>
      <c r="BD104" s="407"/>
    </row>
    <row r="105" spans="3:89" s="393" customFormat="1" ht="15.95" hidden="1" customHeight="1">
      <c r="C105" s="399"/>
      <c r="T105" s="407"/>
      <c r="U105" s="402">
        <v>20</v>
      </c>
      <c r="V105" s="406"/>
      <c r="W105" s="417"/>
      <c r="X105" s="417"/>
      <c r="Y105" s="417"/>
      <c r="Z105" s="417"/>
      <c r="AA105" s="417"/>
      <c r="AB105" s="417"/>
      <c r="AC105" s="417"/>
      <c r="AD105" s="417"/>
      <c r="AE105" s="417"/>
      <c r="AF105" s="417"/>
      <c r="AG105" s="417"/>
      <c r="AH105" s="417"/>
      <c r="AI105" s="407"/>
      <c r="AJ105" s="407"/>
      <c r="AL105" s="402">
        <v>20</v>
      </c>
      <c r="AM105" s="449"/>
      <c r="AU105" s="969"/>
      <c r="BD105" s="407"/>
    </row>
    <row r="106" spans="3:89" s="393" customFormat="1" ht="15.95" hidden="1" customHeight="1">
      <c r="C106" s="399"/>
      <c r="D106" s="399"/>
      <c r="E106" s="399"/>
      <c r="F106" s="399"/>
      <c r="G106" s="399"/>
      <c r="H106" s="399"/>
      <c r="I106" s="399"/>
      <c r="J106" s="399"/>
      <c r="K106" s="399"/>
      <c r="L106" s="399"/>
      <c r="M106" s="399"/>
      <c r="N106" s="399"/>
      <c r="O106" s="399"/>
      <c r="P106" s="399"/>
      <c r="Q106" s="399"/>
      <c r="R106" s="399"/>
      <c r="S106" s="399"/>
      <c r="T106" s="399"/>
      <c r="U106" s="407"/>
      <c r="V106" s="407"/>
      <c r="W106" s="407"/>
      <c r="X106" s="407"/>
      <c r="Y106" s="407"/>
      <c r="Z106" s="407"/>
      <c r="AA106" s="407"/>
      <c r="AB106" s="407"/>
      <c r="AC106" s="407"/>
      <c r="AD106" s="407"/>
      <c r="AE106" s="407"/>
      <c r="AF106" s="407"/>
      <c r="AG106" s="407"/>
      <c r="AH106" s="407"/>
      <c r="AI106" s="407"/>
      <c r="AJ106" s="407"/>
      <c r="AK106" s="407"/>
      <c r="AL106" s="407"/>
      <c r="AM106" s="407"/>
      <c r="AN106" s="407"/>
      <c r="AO106" s="407"/>
      <c r="AP106" s="407"/>
      <c r="AQ106" s="407"/>
      <c r="AR106" s="407"/>
      <c r="AS106" s="407"/>
      <c r="AT106" s="407"/>
      <c r="AU106" s="407"/>
      <c r="AV106" s="407"/>
      <c r="AW106" s="407"/>
      <c r="AX106" s="407"/>
      <c r="AY106" s="407"/>
      <c r="AZ106" s="407"/>
      <c r="BA106" s="407"/>
      <c r="BB106" s="407"/>
      <c r="BC106" s="407"/>
      <c r="BD106" s="407"/>
    </row>
    <row r="107" spans="3:89" s="393" customFormat="1" ht="15.95" hidden="1" customHeight="1">
      <c r="C107" s="453"/>
      <c r="T107" s="417"/>
      <c r="U107" s="417"/>
      <c r="V107" s="417"/>
      <c r="W107" s="417"/>
      <c r="X107" s="417"/>
      <c r="Y107" s="417"/>
      <c r="Z107" s="417"/>
      <c r="AA107" s="417"/>
      <c r="AB107" s="417"/>
      <c r="AC107" s="417"/>
      <c r="AD107" s="417"/>
      <c r="AE107" s="417"/>
      <c r="AF107" s="417"/>
      <c r="AG107" s="417"/>
      <c r="AH107" s="417"/>
      <c r="AJ107" s="449"/>
      <c r="AK107" s="449"/>
      <c r="AL107" s="449"/>
      <c r="AM107" s="449"/>
      <c r="AN107" s="449"/>
      <c r="AO107" s="449"/>
      <c r="AP107" s="449"/>
      <c r="AQ107" s="449"/>
      <c r="AR107" s="449"/>
      <c r="AS107" s="449"/>
      <c r="AT107" s="449"/>
      <c r="AU107" s="449"/>
      <c r="AV107" s="449"/>
      <c r="AW107" s="449"/>
      <c r="AX107" s="449"/>
      <c r="AY107" s="449"/>
      <c r="AZ107" s="449"/>
      <c r="BA107" s="449"/>
      <c r="CK107" s="435"/>
    </row>
    <row r="108" spans="3:89" s="393" customFormat="1" ht="15.95" hidden="1" customHeight="1">
      <c r="C108" s="417"/>
      <c r="D108" s="417"/>
      <c r="E108" s="417"/>
      <c r="F108" s="417"/>
      <c r="G108" s="417"/>
      <c r="H108" s="417"/>
      <c r="I108" s="417"/>
      <c r="J108" s="417"/>
      <c r="K108" s="417"/>
      <c r="L108" s="417"/>
      <c r="M108" s="417"/>
      <c r="N108" s="417"/>
      <c r="O108" s="417"/>
      <c r="P108" s="417"/>
      <c r="Q108" s="417"/>
      <c r="R108" s="417"/>
      <c r="S108" s="417"/>
      <c r="T108" s="417"/>
      <c r="U108" s="417"/>
      <c r="V108" s="417"/>
      <c r="W108" s="417"/>
      <c r="X108" s="417"/>
      <c r="Y108" s="417"/>
      <c r="Z108" s="417"/>
      <c r="AA108" s="417"/>
      <c r="AB108" s="417"/>
      <c r="AC108" s="417"/>
      <c r="AD108" s="417"/>
      <c r="AE108" s="417"/>
      <c r="AF108" s="417"/>
      <c r="AG108" s="417"/>
      <c r="AH108" s="417"/>
      <c r="AI108" s="417"/>
      <c r="AJ108" s="417"/>
      <c r="AK108" s="449"/>
      <c r="AL108" s="449"/>
      <c r="AM108" s="449"/>
      <c r="AN108" s="449"/>
      <c r="AO108" s="449"/>
      <c r="AP108" s="449"/>
      <c r="AQ108" s="449"/>
      <c r="AR108" s="449"/>
      <c r="AS108" s="449"/>
      <c r="AT108" s="449"/>
      <c r="AU108" s="449"/>
      <c r="AV108" s="449"/>
      <c r="AW108" s="449"/>
      <c r="AX108" s="449"/>
      <c r="AY108" s="449"/>
      <c r="AZ108" s="449"/>
      <c r="BA108" s="449"/>
    </row>
    <row r="109" spans="3:89" s="393" customFormat="1" ht="15.95" hidden="1" customHeight="1">
      <c r="C109" s="417"/>
      <c r="D109" s="417"/>
      <c r="E109" s="417"/>
      <c r="F109" s="417"/>
      <c r="G109" s="417"/>
      <c r="H109" s="417"/>
      <c r="I109" s="1033"/>
      <c r="J109" s="1033"/>
      <c r="K109" s="1033"/>
      <c r="L109" s="1033"/>
      <c r="M109" s="1033"/>
      <c r="N109" s="1033"/>
      <c r="O109" s="1033"/>
      <c r="P109" s="1033"/>
      <c r="Q109" s="1033"/>
      <c r="R109" s="1033"/>
      <c r="S109" s="1033"/>
      <c r="T109" s="1033"/>
      <c r="U109" s="1033"/>
      <c r="V109" s="1033"/>
      <c r="W109" s="1033"/>
      <c r="X109" s="1033"/>
      <c r="Y109" s="1033"/>
      <c r="Z109" s="1033"/>
      <c r="AA109" s="417"/>
      <c r="AB109" s="417"/>
      <c r="AC109" s="417"/>
      <c r="AD109" s="417"/>
      <c r="AE109" s="417"/>
      <c r="AF109" s="417"/>
      <c r="AG109" s="417"/>
      <c r="AH109" s="417"/>
      <c r="AI109" s="417"/>
      <c r="AJ109" s="417"/>
      <c r="AK109" s="449"/>
      <c r="AL109" s="449"/>
      <c r="AM109" s="449"/>
      <c r="AN109" s="449"/>
      <c r="AO109" s="449"/>
      <c r="AP109" s="449"/>
      <c r="AQ109" s="449"/>
      <c r="AR109" s="449"/>
      <c r="AS109" s="449"/>
      <c r="AT109" s="449"/>
      <c r="AU109" s="449"/>
      <c r="AV109" s="449"/>
      <c r="AW109" s="449"/>
      <c r="AX109" s="449"/>
      <c r="AY109" s="449"/>
      <c r="AZ109" s="449"/>
      <c r="BA109" s="449"/>
    </row>
    <row r="110" spans="3:89" s="393" customFormat="1" ht="15.95" hidden="1" customHeight="1">
      <c r="C110" s="1028"/>
      <c r="D110" s="1028"/>
      <c r="E110" s="1028"/>
      <c r="F110" s="1028"/>
      <c r="G110" s="1028"/>
      <c r="H110" s="1028"/>
      <c r="I110" s="1028"/>
      <c r="J110" s="1028" t="s">
        <v>2386</v>
      </c>
      <c r="K110" s="1028"/>
      <c r="L110" s="1028"/>
      <c r="M110" s="1028"/>
      <c r="N110" s="1028"/>
      <c r="O110" s="1028"/>
      <c r="P110" s="1028"/>
      <c r="Q110" s="1028"/>
      <c r="R110" s="1028"/>
      <c r="S110" s="1028"/>
      <c r="T110" s="1028"/>
      <c r="U110" s="1028"/>
      <c r="V110" s="1028"/>
      <c r="W110" s="1028"/>
      <c r="X110" s="1028"/>
      <c r="Y110" s="1028"/>
      <c r="Z110" s="1028"/>
      <c r="AA110" s="417"/>
      <c r="AB110" s="417"/>
      <c r="AC110" s="417"/>
      <c r="AD110" s="417"/>
      <c r="AE110" s="417"/>
      <c r="AF110" s="417"/>
      <c r="AG110" s="417"/>
      <c r="AH110" s="417"/>
      <c r="AI110" s="417"/>
      <c r="AJ110" s="417"/>
    </row>
    <row r="111" spans="3:89" s="393" customFormat="1" ht="15.95" hidden="1" customHeight="1">
      <c r="C111" s="417"/>
      <c r="D111" s="417"/>
      <c r="E111" s="417"/>
      <c r="F111" s="417"/>
      <c r="G111" s="417"/>
      <c r="H111" s="417"/>
      <c r="I111" s="417"/>
      <c r="J111" s="417"/>
      <c r="K111" s="434"/>
      <c r="L111" s="417"/>
      <c r="M111" s="417"/>
      <c r="N111" s="417"/>
      <c r="O111" s="417"/>
      <c r="P111" s="417"/>
      <c r="Q111" s="417"/>
      <c r="R111" s="417"/>
      <c r="S111" s="1035"/>
      <c r="T111" s="1035"/>
      <c r="U111" s="417"/>
      <c r="V111" s="417"/>
      <c r="W111" s="417"/>
      <c r="X111" s="417"/>
      <c r="Y111" s="417"/>
      <c r="Z111" s="417"/>
      <c r="AA111" s="417"/>
      <c r="AB111" s="417"/>
      <c r="AC111" s="417"/>
      <c r="AD111" s="417"/>
      <c r="AE111" s="417"/>
      <c r="AF111" s="417"/>
      <c r="AG111" s="417"/>
      <c r="AH111" s="417"/>
      <c r="AI111" s="417"/>
      <c r="AJ111" s="417"/>
    </row>
    <row r="112" spans="3:89" s="393" customFormat="1" ht="15.95" hidden="1" customHeight="1">
      <c r="C112" s="417"/>
      <c r="D112" s="417"/>
      <c r="E112" s="417"/>
      <c r="F112" s="417"/>
      <c r="G112" s="417"/>
      <c r="H112" s="417"/>
      <c r="I112" s="706" t="s">
        <v>2441</v>
      </c>
      <c r="J112" s="417"/>
      <c r="K112" s="417"/>
      <c r="L112" s="417"/>
      <c r="M112" s="417"/>
      <c r="N112" s="417"/>
      <c r="O112" s="417"/>
      <c r="P112" s="417"/>
      <c r="Q112" s="1029"/>
      <c r="R112" s="1035"/>
      <c r="S112" s="706" t="s">
        <v>2022</v>
      </c>
      <c r="T112" s="417"/>
      <c r="U112" s="417"/>
      <c r="V112" s="417"/>
      <c r="W112" s="417"/>
      <c r="X112" s="417"/>
      <c r="Y112" s="417"/>
      <c r="Z112" s="417"/>
      <c r="AA112" s="417"/>
      <c r="AB112" s="417"/>
      <c r="AC112" s="417"/>
      <c r="AD112" s="417"/>
      <c r="AE112" s="417"/>
      <c r="AF112" s="434" t="s">
        <v>1892</v>
      </c>
      <c r="AG112" s="417"/>
      <c r="AH112" s="417"/>
      <c r="AI112" s="417"/>
      <c r="AJ112" s="417"/>
    </row>
    <row r="113" spans="2:76" s="393" customFormat="1" ht="15.95" hidden="1" customHeight="1">
      <c r="C113" s="417"/>
      <c r="D113" s="417"/>
      <c r="E113" s="417"/>
      <c r="F113" s="417"/>
      <c r="G113" s="417"/>
      <c r="H113" s="417"/>
      <c r="I113" s="709" t="s">
        <v>2388</v>
      </c>
      <c r="J113" s="629"/>
      <c r="K113" s="613"/>
      <c r="L113" s="707"/>
      <c r="M113" s="613"/>
      <c r="N113" s="613"/>
      <c r="O113" s="613"/>
      <c r="P113" s="613"/>
      <c r="Q113" s="613"/>
      <c r="R113" s="420"/>
      <c r="S113" s="709" t="s">
        <v>2160</v>
      </c>
      <c r="T113" s="1035"/>
      <c r="U113" s="417"/>
      <c r="V113" s="417"/>
      <c r="W113" s="417"/>
      <c r="X113" s="629"/>
      <c r="Y113" s="417"/>
      <c r="Z113" s="417"/>
      <c r="AA113" s="613"/>
      <c r="AB113" s="707"/>
      <c r="AC113" s="613"/>
      <c r="AD113" s="613"/>
      <c r="AE113" s="417"/>
      <c r="AF113" s="434" t="s">
        <v>1892</v>
      </c>
      <c r="AG113" s="417"/>
      <c r="AH113" s="417"/>
      <c r="AI113" s="417"/>
      <c r="AJ113" s="417"/>
    </row>
    <row r="114" spans="2:76" s="393" customFormat="1" ht="15.95" hidden="1" customHeight="1">
      <c r="C114" s="711" t="s">
        <v>2161</v>
      </c>
      <c r="D114" s="417"/>
      <c r="E114" s="417"/>
      <c r="G114" s="417"/>
      <c r="H114" s="417" t="s">
        <v>5</v>
      </c>
      <c r="I114" s="711" t="s">
        <v>2389</v>
      </c>
      <c r="J114" s="417"/>
      <c r="K114" s="417"/>
      <c r="L114" s="417"/>
      <c r="M114" s="417"/>
      <c r="N114" s="417"/>
      <c r="O114" s="417"/>
      <c r="P114" s="711"/>
      <c r="Q114" s="711"/>
      <c r="R114" s="420"/>
      <c r="S114" s="711" t="s">
        <v>2162</v>
      </c>
      <c r="T114" s="417"/>
      <c r="U114" s="417"/>
      <c r="V114" s="417"/>
      <c r="W114" s="417"/>
      <c r="X114" s="711"/>
      <c r="Y114" s="417"/>
      <c r="Z114" s="417"/>
      <c r="AA114" s="711"/>
      <c r="AB114" s="711"/>
      <c r="AC114" s="712"/>
      <c r="AD114" s="417"/>
      <c r="AE114" s="417"/>
      <c r="AF114" s="434" t="s">
        <v>1892</v>
      </c>
      <c r="AG114" s="417"/>
      <c r="AH114" s="417"/>
      <c r="AI114" s="417"/>
      <c r="AJ114" s="417"/>
    </row>
    <row r="115" spans="2:76" s="393" customFormat="1" ht="15.95" hidden="1" customHeight="1">
      <c r="C115" s="711" t="s">
        <v>2163</v>
      </c>
      <c r="D115" s="417"/>
      <c r="E115" s="417"/>
      <c r="G115" s="417"/>
      <c r="H115" s="417" t="s">
        <v>5</v>
      </c>
      <c r="I115" s="711" t="s">
        <v>2390</v>
      </c>
      <c r="J115" s="417"/>
      <c r="K115" s="417"/>
      <c r="L115" s="417"/>
      <c r="M115" s="417"/>
      <c r="N115" s="417"/>
      <c r="O115" s="417"/>
      <c r="P115" s="711"/>
      <c r="Q115" s="711"/>
      <c r="R115" s="420"/>
      <c r="S115" s="711" t="s">
        <v>2164</v>
      </c>
      <c r="T115" s="417"/>
      <c r="U115" s="417"/>
      <c r="V115" s="417"/>
      <c r="W115" s="417"/>
      <c r="X115" s="711"/>
      <c r="Y115" s="417"/>
      <c r="Z115" s="417"/>
      <c r="AA115" s="711"/>
      <c r="AB115" s="711"/>
      <c r="AC115" s="712"/>
      <c r="AD115" s="417"/>
      <c r="AE115" s="417"/>
      <c r="AF115" s="434" t="s">
        <v>1892</v>
      </c>
      <c r="AG115" s="417"/>
      <c r="AH115" s="417"/>
      <c r="AI115" s="417"/>
      <c r="AJ115" s="417"/>
    </row>
    <row r="116" spans="2:76" s="393" customFormat="1" ht="15.95" hidden="1" customHeight="1">
      <c r="C116" s="711" t="s">
        <v>2165</v>
      </c>
      <c r="D116" s="417"/>
      <c r="E116" s="417"/>
      <c r="G116" s="417"/>
      <c r="H116" s="417" t="s">
        <v>5</v>
      </c>
      <c r="I116" s="711" t="s">
        <v>2391</v>
      </c>
      <c r="J116" s="417"/>
      <c r="K116" s="417"/>
      <c r="L116" s="417"/>
      <c r="M116" s="417"/>
      <c r="N116" s="417"/>
      <c r="O116" s="417"/>
      <c r="P116" s="711"/>
      <c r="Q116" s="711"/>
      <c r="R116" s="420"/>
      <c r="S116" s="711" t="s">
        <v>2166</v>
      </c>
      <c r="T116" s="417"/>
      <c r="U116" s="417"/>
      <c r="V116" s="417"/>
      <c r="W116" s="417"/>
      <c r="X116" s="711"/>
      <c r="Y116" s="417"/>
      <c r="Z116" s="417"/>
      <c r="AA116" s="711"/>
      <c r="AB116" s="711"/>
      <c r="AC116" s="712"/>
      <c r="AD116" s="417"/>
      <c r="AE116" s="417"/>
      <c r="AF116" s="434" t="s">
        <v>1892</v>
      </c>
      <c r="AG116" s="417"/>
      <c r="AH116" s="417"/>
      <c r="AI116" s="417"/>
      <c r="AJ116" s="417"/>
    </row>
    <row r="117" spans="2:76" s="393" customFormat="1" ht="15.95" hidden="1" customHeight="1">
      <c r="C117" s="711"/>
      <c r="D117" s="417"/>
      <c r="E117" s="417"/>
      <c r="G117" s="417"/>
      <c r="H117" s="417"/>
      <c r="I117" s="711" t="s">
        <v>2392</v>
      </c>
      <c r="J117" s="417"/>
      <c r="K117" s="417"/>
      <c r="L117" s="417"/>
      <c r="M117" s="417"/>
      <c r="N117" s="417"/>
      <c r="O117" s="417"/>
      <c r="P117" s="711"/>
      <c r="Q117" s="711"/>
      <c r="R117" s="420"/>
      <c r="S117" s="711" t="s">
        <v>2168</v>
      </c>
      <c r="T117" s="417"/>
      <c r="U117" s="417"/>
      <c r="V117" s="417"/>
      <c r="W117" s="417"/>
      <c r="X117" s="711"/>
      <c r="Y117" s="417"/>
      <c r="Z117" s="417"/>
      <c r="AA117" s="711"/>
      <c r="AB117" s="711"/>
      <c r="AC117" s="417"/>
      <c r="AD117" s="417"/>
      <c r="AE117" s="417"/>
      <c r="AF117" s="434" t="s">
        <v>1892</v>
      </c>
      <c r="AG117" s="417"/>
      <c r="AH117" s="417"/>
      <c r="AI117" s="417"/>
      <c r="AJ117" s="417"/>
    </row>
    <row r="118" spans="2:76" s="393" customFormat="1" ht="15.95" hidden="1" customHeight="1">
      <c r="C118" s="711" t="s">
        <v>2167</v>
      </c>
      <c r="D118" s="417"/>
      <c r="E118" s="417"/>
      <c r="G118" s="417"/>
      <c r="H118" s="417" t="s">
        <v>5</v>
      </c>
      <c r="I118" s="711" t="s">
        <v>2393</v>
      </c>
      <c r="J118" s="417"/>
      <c r="K118" s="417"/>
      <c r="L118" s="417"/>
      <c r="M118" s="417"/>
      <c r="N118" s="417"/>
      <c r="O118" s="417"/>
      <c r="P118" s="711"/>
      <c r="Q118" s="711"/>
      <c r="R118" s="420"/>
      <c r="S118" s="711" t="s">
        <v>1858</v>
      </c>
      <c r="T118" s="417"/>
      <c r="U118" s="417"/>
      <c r="V118" s="417"/>
      <c r="W118" s="417"/>
      <c r="X118" s="417"/>
      <c r="Y118" s="417"/>
      <c r="Z118" s="417"/>
      <c r="AA118" s="417"/>
      <c r="AB118" s="417"/>
      <c r="AC118" s="712"/>
      <c r="AD118" s="417"/>
      <c r="AE118" s="417"/>
      <c r="AF118" s="434" t="s">
        <v>1892</v>
      </c>
      <c r="AG118" s="417"/>
      <c r="AH118" s="417"/>
      <c r="AI118" s="417"/>
      <c r="AJ118" s="417"/>
    </row>
    <row r="119" spans="2:76" s="393" customFormat="1" ht="15.95" hidden="1" customHeight="1">
      <c r="C119" s="417"/>
      <c r="D119" s="417"/>
      <c r="E119" s="420"/>
      <c r="F119" s="420"/>
      <c r="G119" s="420"/>
      <c r="H119" s="420"/>
      <c r="I119" s="420"/>
      <c r="J119" s="420"/>
      <c r="K119" s="420"/>
      <c r="L119" s="420"/>
      <c r="M119" s="420"/>
      <c r="N119" s="420"/>
      <c r="O119" s="420"/>
      <c r="P119" s="420"/>
      <c r="Q119" s="420"/>
      <c r="R119" s="420"/>
      <c r="S119" s="420"/>
      <c r="T119" s="420"/>
      <c r="U119" s="420"/>
      <c r="V119" s="420"/>
      <c r="W119" s="420"/>
      <c r="X119" s="420"/>
      <c r="Y119" s="420"/>
      <c r="Z119" s="420"/>
      <c r="AA119" s="420"/>
      <c r="AB119" s="420"/>
      <c r="AC119" s="420"/>
      <c r="AD119" s="420"/>
      <c r="AE119" s="420"/>
      <c r="AF119" s="420"/>
      <c r="AG119" s="420"/>
      <c r="AH119" s="420"/>
      <c r="AI119" s="417"/>
      <c r="AJ119" s="417"/>
    </row>
    <row r="120" spans="2:76" s="393" customFormat="1" ht="15.95" hidden="1" customHeight="1">
      <c r="C120" s="417"/>
      <c r="D120" s="417"/>
      <c r="E120" s="420"/>
      <c r="F120" s="420"/>
      <c r="G120" s="420"/>
      <c r="H120" s="420"/>
      <c r="I120" s="1103" t="str">
        <f>+L4</f>
        <v>Ir. Usep Delianta Prawira, MAPPI (Cert.)</v>
      </c>
      <c r="J120" s="420"/>
      <c r="K120" s="420"/>
      <c r="L120" s="420"/>
      <c r="M120" s="420"/>
      <c r="N120" s="420"/>
      <c r="O120" s="420"/>
      <c r="P120" s="420"/>
      <c r="Q120" s="420"/>
      <c r="R120" s="420"/>
      <c r="S120" s="420"/>
      <c r="T120" s="420"/>
      <c r="U120" s="420"/>
      <c r="V120" s="420"/>
      <c r="W120" s="420"/>
      <c r="X120" s="420"/>
      <c r="Y120" s="420"/>
      <c r="Z120" s="420"/>
      <c r="AA120" s="420"/>
      <c r="AB120" s="420"/>
      <c r="AC120" s="420"/>
      <c r="AD120" s="420"/>
      <c r="AE120" s="420"/>
      <c r="AF120" s="420"/>
      <c r="AG120" s="420"/>
      <c r="AH120" s="420"/>
      <c r="AI120" s="417"/>
      <c r="AJ120" s="417"/>
    </row>
    <row r="121" spans="2:76" s="393" customFormat="1" ht="15.95" hidden="1" customHeight="1">
      <c r="C121" s="420"/>
      <c r="D121" s="420"/>
      <c r="E121" s="420"/>
      <c r="F121" s="420"/>
      <c r="G121" s="420"/>
      <c r="H121" s="420"/>
      <c r="I121" s="420" t="str">
        <f>HLOOKUP($I$120,$I$112:$AF$118,2,FALSE)</f>
        <v>Senior Partner</v>
      </c>
      <c r="J121" s="420"/>
      <c r="K121" s="420"/>
      <c r="L121" s="420"/>
      <c r="M121" s="420"/>
      <c r="N121" s="420"/>
      <c r="O121" s="420"/>
      <c r="P121" s="420"/>
      <c r="Q121" s="420"/>
      <c r="R121" s="420"/>
      <c r="S121" s="434" t="s">
        <v>1892</v>
      </c>
      <c r="T121" s="420"/>
      <c r="U121" s="420"/>
      <c r="V121" s="420"/>
      <c r="W121" s="420"/>
      <c r="X121" s="434" t="s">
        <v>1892</v>
      </c>
      <c r="Y121" s="417"/>
      <c r="Z121" s="422"/>
      <c r="AA121" s="420"/>
      <c r="AB121" s="420"/>
      <c r="AC121" s="420"/>
      <c r="AD121" s="420"/>
      <c r="AE121" s="420"/>
      <c r="AF121" s="420"/>
      <c r="AG121" s="420"/>
      <c r="AH121" s="420"/>
      <c r="AI121" s="417"/>
      <c r="AJ121" s="417"/>
    </row>
    <row r="122" spans="2:76" s="393" customFormat="1" ht="15.95" hidden="1" customHeight="1">
      <c r="C122" s="711" t="s">
        <v>2161</v>
      </c>
      <c r="D122" s="417"/>
      <c r="E122" s="420"/>
      <c r="F122" s="420"/>
      <c r="G122" s="420"/>
      <c r="H122" s="417" t="s">
        <v>5</v>
      </c>
      <c r="I122" s="420" t="str">
        <f>HLOOKUP($I$120,$I$112:$AF$119,3,FALSE)</f>
        <v>95-S-00575</v>
      </c>
      <c r="J122" s="420"/>
      <c r="K122" s="420"/>
      <c r="L122" s="420"/>
      <c r="M122" s="420"/>
      <c r="N122" s="420"/>
      <c r="O122" s="420"/>
      <c r="P122" s="420"/>
      <c r="Q122" s="420"/>
      <c r="R122" s="420"/>
      <c r="S122" s="706" t="s">
        <v>2441</v>
      </c>
      <c r="T122" s="422"/>
      <c r="U122" s="422"/>
      <c r="V122" s="422"/>
      <c r="W122" s="422"/>
      <c r="X122" s="1032" t="s">
        <v>2394</v>
      </c>
      <c r="Y122" s="417"/>
      <c r="Z122" s="422"/>
      <c r="AA122" s="420"/>
      <c r="AB122" s="420"/>
      <c r="AC122" s="420"/>
      <c r="AD122" s="420"/>
      <c r="AE122" s="420"/>
      <c r="AF122" s="420"/>
      <c r="AG122" s="420"/>
      <c r="AH122" s="420"/>
      <c r="AI122" s="417"/>
      <c r="AJ122" s="417"/>
    </row>
    <row r="123" spans="2:76" s="393" customFormat="1" ht="15.95" hidden="1" customHeight="1">
      <c r="C123" s="711" t="s">
        <v>2163</v>
      </c>
      <c r="D123" s="417"/>
      <c r="E123" s="420"/>
      <c r="F123" s="420"/>
      <c r="G123" s="420"/>
      <c r="H123" s="417" t="s">
        <v>5</v>
      </c>
      <c r="I123" s="420" t="str">
        <f>HLOOKUP($I$120,$I$112:$AF$119,4,FALSE)</f>
        <v>P-1.10.00275</v>
      </c>
      <c r="J123" s="420"/>
      <c r="K123" s="420"/>
      <c r="L123" s="420"/>
      <c r="M123" s="420"/>
      <c r="N123" s="420"/>
      <c r="O123" s="420"/>
      <c r="P123" s="420"/>
      <c r="Q123" s="420"/>
      <c r="R123" s="420"/>
      <c r="S123" s="706" t="s">
        <v>2022</v>
      </c>
      <c r="T123" s="422"/>
      <c r="U123" s="422"/>
      <c r="V123" s="422"/>
      <c r="W123" s="422"/>
      <c r="X123" s="1032" t="s">
        <v>2205</v>
      </c>
      <c r="Y123" s="417"/>
      <c r="Z123" s="422"/>
      <c r="AA123" s="420"/>
      <c r="AB123" s="420"/>
      <c r="AC123" s="420"/>
      <c r="AD123" s="420"/>
      <c r="AE123" s="420"/>
      <c r="AF123" s="420"/>
      <c r="AG123" s="420"/>
      <c r="AH123" s="420"/>
      <c r="AI123" s="417"/>
      <c r="AJ123" s="417"/>
    </row>
    <row r="124" spans="2:76" s="393" customFormat="1" ht="15.95" hidden="1" customHeight="1">
      <c r="C124" s="711" t="s">
        <v>2165</v>
      </c>
      <c r="D124" s="417"/>
      <c r="E124" s="420"/>
      <c r="F124" s="420"/>
      <c r="G124" s="420"/>
      <c r="H124" s="417" t="s">
        <v>5</v>
      </c>
      <c r="I124" s="420" t="str">
        <f>HLOOKUP($I$120,$I$112:$AF$119,5,FALSE)</f>
        <v>58/BL/STTD-P/A/2011</v>
      </c>
      <c r="J124" s="420"/>
      <c r="K124" s="420"/>
      <c r="L124" s="420"/>
      <c r="M124" s="420"/>
      <c r="N124" s="420"/>
      <c r="O124" s="420"/>
      <c r="P124" s="420"/>
      <c r="Q124" s="420"/>
      <c r="R124" s="420"/>
      <c r="S124" s="420"/>
      <c r="T124" s="422"/>
      <c r="U124" s="422"/>
      <c r="V124" s="422"/>
      <c r="W124" s="422"/>
      <c r="X124" s="420"/>
      <c r="Y124" s="420"/>
      <c r="Z124" s="420"/>
      <c r="AA124" s="420"/>
      <c r="AB124" s="420"/>
      <c r="AC124" s="420"/>
      <c r="AD124" s="420"/>
      <c r="AE124" s="420"/>
      <c r="AF124" s="420"/>
      <c r="AG124" s="420"/>
      <c r="AH124" s="420"/>
      <c r="AI124" s="417"/>
      <c r="AJ124" s="417"/>
    </row>
    <row r="125" spans="2:76" s="393" customFormat="1" ht="15.95" hidden="1" customHeight="1">
      <c r="C125" s="846" t="str">
        <f>+IF($I$120=$S$122," ","Kualifikasi Penilai")</f>
        <v>Kualifikasi Penilai</v>
      </c>
      <c r="D125" s="417"/>
      <c r="E125" s="420"/>
      <c r="F125" s="420"/>
      <c r="G125" s="420"/>
      <c r="H125" s="417" t="str">
        <f>+IF($I$120=$S$122," ",":")</f>
        <v>:</v>
      </c>
      <c r="I125" s="420" t="str">
        <f>HLOOKUP($I$120,$I$112:$AF$119,6,FALSE)</f>
        <v>Properti</v>
      </c>
      <c r="J125" s="420"/>
      <c r="K125" s="420"/>
      <c r="L125" s="420"/>
      <c r="M125" s="420"/>
      <c r="N125" s="420"/>
      <c r="O125" s="420"/>
      <c r="P125" s="420"/>
      <c r="Q125" s="420"/>
      <c r="R125" s="420"/>
      <c r="S125" s="420"/>
      <c r="T125" s="420"/>
      <c r="U125" s="420"/>
      <c r="V125" s="420"/>
      <c r="W125" s="420"/>
      <c r="X125" s="420"/>
      <c r="Y125" s="420"/>
      <c r="Z125" s="420"/>
      <c r="AA125" s="420"/>
      <c r="AB125" s="420"/>
      <c r="AC125" s="420"/>
      <c r="AD125" s="420"/>
      <c r="AE125" s="420"/>
      <c r="AF125" s="420"/>
      <c r="AG125" s="420"/>
      <c r="AH125" s="420"/>
      <c r="AI125" s="417"/>
      <c r="AJ125" s="417"/>
    </row>
    <row r="126" spans="2:76" s="393" customFormat="1" ht="15.95" hidden="1" customHeight="1">
      <c r="C126" s="846" t="str">
        <f>+IF($I$120=$S$122,"Kualifikasi Penilai"," ")</f>
        <v xml:space="preserve"> </v>
      </c>
      <c r="D126" s="417"/>
      <c r="E126" s="420"/>
      <c r="F126" s="420"/>
      <c r="G126" s="420"/>
      <c r="H126" s="417" t="str">
        <f>+IF($I$120=$S$122,":"," ")</f>
        <v xml:space="preserve"> </v>
      </c>
      <c r="I126" s="420" t="str">
        <f>HLOOKUP($I$120,$I$112:$AF$119,7,FALSE)</f>
        <v xml:space="preserve"> </v>
      </c>
      <c r="J126" s="420"/>
      <c r="K126" s="420"/>
      <c r="L126" s="420"/>
      <c r="M126" s="420"/>
      <c r="N126" s="420"/>
      <c r="O126" s="420"/>
      <c r="P126" s="420"/>
      <c r="Q126" s="420"/>
      <c r="R126" s="420"/>
      <c r="S126" s="417" t="str">
        <f>VLOOKUP(L4,S121:X124,6,FALSE)</f>
        <v>MAPPI No.: 95-S-00575</v>
      </c>
      <c r="T126" s="420"/>
      <c r="U126" s="420"/>
      <c r="V126" s="420"/>
      <c r="W126" s="420"/>
      <c r="X126" s="420"/>
      <c r="Y126" s="420"/>
      <c r="Z126" s="420"/>
      <c r="AA126" s="420"/>
      <c r="AB126" s="420"/>
      <c r="AC126" s="420"/>
      <c r="AD126" s="420"/>
      <c r="AE126" s="420"/>
      <c r="AF126" s="420"/>
      <c r="AG126" s="420"/>
      <c r="AH126" s="420"/>
      <c r="AI126" s="417"/>
      <c r="AJ126" s="417"/>
    </row>
    <row r="127" spans="2:76" s="393" customFormat="1" ht="15.95" hidden="1" customHeight="1">
      <c r="C127" s="420"/>
      <c r="D127" s="420"/>
      <c r="E127" s="420"/>
      <c r="F127" s="420"/>
      <c r="G127" s="420"/>
      <c r="H127" s="420"/>
      <c r="I127" s="420"/>
      <c r="J127" s="420"/>
      <c r="K127" s="420"/>
      <c r="L127" s="420"/>
      <c r="M127" s="420"/>
      <c r="N127" s="420"/>
      <c r="O127" s="420"/>
      <c r="P127" s="420"/>
      <c r="Q127" s="420"/>
      <c r="R127" s="420"/>
      <c r="S127" s="420"/>
      <c r="T127" s="420"/>
      <c r="U127" s="420"/>
      <c r="V127" s="420"/>
      <c r="W127" s="420"/>
      <c r="X127" s="420"/>
      <c r="Y127" s="420"/>
      <c r="Z127" s="420"/>
      <c r="AA127" s="420"/>
      <c r="AB127" s="420"/>
      <c r="AC127" s="420"/>
      <c r="AD127" s="420"/>
      <c r="AE127" s="420"/>
      <c r="AF127" s="420"/>
      <c r="AG127" s="420"/>
      <c r="AH127" s="420"/>
      <c r="AI127" s="417"/>
      <c r="AJ127" s="417"/>
      <c r="BL127" s="454"/>
      <c r="BM127" s="454"/>
      <c r="BN127" s="454"/>
      <c r="BO127" s="454"/>
      <c r="BP127" s="454"/>
      <c r="BQ127" s="454"/>
      <c r="BR127" s="454"/>
      <c r="BS127" s="454"/>
      <c r="BT127" s="454"/>
      <c r="BU127" s="454"/>
      <c r="BV127" s="454"/>
      <c r="BW127" s="454"/>
      <c r="BX127" s="454"/>
    </row>
    <row r="128" spans="2:76" s="454" customFormat="1" ht="15.95" hidden="1" customHeight="1">
      <c r="B128" s="393"/>
      <c r="C128" s="420"/>
      <c r="D128" s="420"/>
      <c r="E128" s="420"/>
      <c r="F128" s="420"/>
      <c r="G128" s="420"/>
      <c r="H128" s="711"/>
      <c r="I128" s="711"/>
      <c r="J128" s="711"/>
      <c r="K128" s="711"/>
      <c r="L128" s="714"/>
      <c r="M128" s="712"/>
      <c r="N128" s="420"/>
      <c r="O128" s="420"/>
      <c r="P128" s="420"/>
      <c r="Q128" s="420"/>
      <c r="R128" s="420"/>
      <c r="S128" s="420"/>
      <c r="T128" s="420"/>
      <c r="U128" s="420"/>
      <c r="V128" s="420"/>
      <c r="W128" s="420"/>
      <c r="X128" s="420"/>
      <c r="Y128" s="420"/>
      <c r="Z128" s="420"/>
      <c r="AA128" s="420"/>
      <c r="AB128" s="420"/>
      <c r="AC128" s="420"/>
      <c r="AD128" s="420"/>
      <c r="AE128" s="420"/>
      <c r="AF128" s="420"/>
      <c r="AG128" s="420"/>
      <c r="AH128" s="420"/>
      <c r="AI128" s="417"/>
      <c r="AJ128" s="417"/>
      <c r="AK128" s="437"/>
      <c r="AL128" s="437"/>
      <c r="AM128" s="437"/>
      <c r="AN128" s="437"/>
      <c r="AO128" s="437"/>
      <c r="AP128" s="437"/>
      <c r="AQ128" s="437"/>
      <c r="AR128" s="437"/>
      <c r="AS128" s="437"/>
      <c r="AT128" s="437"/>
      <c r="AU128" s="437"/>
      <c r="AV128" s="437"/>
      <c r="AW128" s="437"/>
      <c r="AX128" s="435"/>
      <c r="AY128" s="435"/>
      <c r="AZ128" s="435"/>
      <c r="BA128" s="435"/>
      <c r="BB128" s="435"/>
      <c r="BC128" s="435"/>
      <c r="BD128" s="435"/>
      <c r="BE128" s="435"/>
      <c r="BF128" s="435"/>
      <c r="BG128" s="435"/>
      <c r="BL128" s="417"/>
      <c r="BM128" s="417"/>
      <c r="BN128" s="417"/>
      <c r="BO128" s="417"/>
      <c r="BP128" s="417"/>
      <c r="BQ128" s="417"/>
      <c r="BR128" s="417"/>
      <c r="BS128" s="417"/>
      <c r="BT128" s="417"/>
      <c r="BU128" s="417"/>
      <c r="BV128" s="417"/>
      <c r="BW128" s="417"/>
      <c r="BX128" s="417"/>
    </row>
    <row r="129" spans="20:76" s="417" customFormat="1" ht="12.95" hidden="1" customHeight="1">
      <c r="T129" s="389"/>
      <c r="U129" s="389"/>
      <c r="V129" s="389"/>
      <c r="W129" s="389"/>
      <c r="X129" s="389"/>
      <c r="Y129" s="389"/>
      <c r="Z129" s="389"/>
      <c r="AA129" s="389"/>
      <c r="AB129" s="389"/>
      <c r="AC129" s="389"/>
      <c r="AD129" s="389"/>
      <c r="AE129" s="389"/>
      <c r="AF129" s="389"/>
      <c r="AG129" s="389"/>
      <c r="AH129" s="389"/>
    </row>
    <row r="130" spans="20:76" s="417" customFormat="1" ht="12.95" hidden="1" customHeight="1">
      <c r="T130" s="389"/>
      <c r="U130" s="389"/>
      <c r="V130" s="389"/>
      <c r="W130" s="389"/>
      <c r="X130" s="389"/>
      <c r="Y130" s="389"/>
      <c r="Z130" s="389"/>
      <c r="AA130" s="389"/>
      <c r="AB130" s="389"/>
      <c r="AC130" s="389"/>
      <c r="AD130" s="389"/>
      <c r="AE130" s="389"/>
      <c r="AF130" s="389"/>
      <c r="AG130" s="389"/>
      <c r="AH130" s="389"/>
    </row>
    <row r="131" spans="20:76" s="417" customFormat="1" ht="12.95" hidden="1" customHeight="1">
      <c r="T131" s="389"/>
      <c r="U131" s="389"/>
      <c r="V131" s="389"/>
      <c r="W131" s="389"/>
      <c r="X131" s="389"/>
      <c r="Y131" s="389"/>
      <c r="Z131" s="389"/>
      <c r="AA131" s="389"/>
      <c r="AB131" s="389"/>
      <c r="AC131" s="389"/>
      <c r="AD131" s="389"/>
      <c r="AE131" s="389"/>
      <c r="AF131" s="389"/>
      <c r="AG131" s="389"/>
      <c r="AH131" s="389"/>
    </row>
    <row r="132" spans="20:76" s="417" customFormat="1" ht="12.95" hidden="1" customHeight="1">
      <c r="T132" s="389"/>
      <c r="U132" s="389"/>
      <c r="V132" s="389"/>
      <c r="W132" s="389"/>
      <c r="X132" s="389"/>
      <c r="Y132" s="389"/>
      <c r="Z132" s="389"/>
      <c r="AA132" s="389"/>
      <c r="AB132" s="389"/>
      <c r="AC132" s="389"/>
      <c r="AD132" s="389"/>
      <c r="AE132" s="389"/>
      <c r="AF132" s="389"/>
      <c r="AG132" s="389"/>
      <c r="AH132" s="389"/>
    </row>
    <row r="133" spans="20:76" s="417" customFormat="1" ht="12.95" hidden="1" customHeight="1">
      <c r="T133" s="389"/>
      <c r="U133" s="389"/>
      <c r="V133" s="389"/>
      <c r="W133" s="389"/>
      <c r="X133" s="389"/>
      <c r="Y133" s="389"/>
      <c r="Z133" s="389"/>
      <c r="AA133" s="389"/>
      <c r="AB133" s="389"/>
      <c r="AC133" s="389"/>
      <c r="AD133" s="389"/>
      <c r="AE133" s="389"/>
      <c r="AF133" s="389"/>
      <c r="AG133" s="389"/>
      <c r="AH133" s="389"/>
    </row>
    <row r="134" spans="20:76" s="417" customFormat="1" ht="12.95" hidden="1" customHeight="1">
      <c r="T134" s="389"/>
      <c r="U134" s="389"/>
      <c r="V134" s="389"/>
      <c r="W134" s="389"/>
      <c r="X134" s="389"/>
      <c r="Y134" s="389"/>
      <c r="Z134" s="389"/>
      <c r="AA134" s="389"/>
      <c r="AB134" s="389"/>
      <c r="AC134" s="389"/>
      <c r="AD134" s="389"/>
      <c r="AE134" s="389"/>
      <c r="AF134" s="389"/>
      <c r="AG134" s="389"/>
      <c r="AH134" s="389"/>
    </row>
    <row r="135" spans="20:76" s="417" customFormat="1" ht="12.95" hidden="1" customHeight="1">
      <c r="T135" s="389"/>
      <c r="U135" s="389"/>
      <c r="V135" s="389"/>
      <c r="W135" s="389"/>
      <c r="X135" s="389"/>
      <c r="Y135" s="389"/>
      <c r="Z135" s="389"/>
      <c r="AA135" s="389"/>
      <c r="AB135" s="389"/>
      <c r="AC135" s="389"/>
      <c r="AD135" s="389"/>
      <c r="AE135" s="389"/>
      <c r="AF135" s="389"/>
      <c r="AG135" s="389"/>
      <c r="AH135" s="389"/>
    </row>
    <row r="136" spans="20:76" s="417" customFormat="1" ht="12.95" hidden="1" customHeight="1">
      <c r="T136" s="389"/>
      <c r="U136" s="389"/>
      <c r="V136" s="389"/>
      <c r="W136" s="389"/>
      <c r="X136" s="389"/>
      <c r="Y136" s="389"/>
      <c r="Z136" s="389"/>
      <c r="AA136" s="389"/>
      <c r="AB136" s="389"/>
      <c r="AC136" s="389"/>
      <c r="AD136" s="389"/>
      <c r="AE136" s="389"/>
      <c r="AF136" s="389"/>
      <c r="AG136" s="389"/>
      <c r="AH136" s="389"/>
      <c r="AI136" s="389"/>
    </row>
    <row r="137" spans="20:76" s="417" customFormat="1" ht="12.95" hidden="1" customHeight="1">
      <c r="T137" s="389"/>
      <c r="U137" s="389"/>
      <c r="V137" s="389"/>
      <c r="W137" s="389"/>
      <c r="X137" s="389" t="s">
        <v>1858</v>
      </c>
      <c r="Y137" s="389"/>
      <c r="Z137" s="389" t="str">
        <f>+X137</f>
        <v xml:space="preserve"> </v>
      </c>
      <c r="AA137" s="389"/>
      <c r="AB137" s="389"/>
      <c r="AC137" s="389"/>
      <c r="AD137" s="389"/>
      <c r="AE137" s="389"/>
      <c r="AF137" s="389"/>
      <c r="AG137" s="389"/>
      <c r="AH137" s="389"/>
      <c r="AI137" s="389"/>
      <c r="BL137" s="389"/>
      <c r="BM137" s="389"/>
      <c r="BN137" s="389"/>
      <c r="BO137" s="389"/>
      <c r="BP137" s="389"/>
      <c r="BQ137" s="389"/>
      <c r="BR137" s="389"/>
      <c r="BS137" s="389"/>
      <c r="BT137" s="389"/>
      <c r="BU137" s="389"/>
      <c r="BV137" s="389"/>
      <c r="BW137" s="389"/>
      <c r="BX137" s="389"/>
    </row>
  </sheetData>
  <sheetProtection formatCells="0" formatColumns="0" formatRows="0" insertColumns="0" insertRows="0" insertHyperlinks="0" deleteColumns="0" deleteRows="0" sort="0" autoFilter="0" pivotTables="0"/>
  <mergeCells count="94">
    <mergeCell ref="L8:AB8"/>
    <mergeCell ref="B1:AB1"/>
    <mergeCell ref="B3:AB3"/>
    <mergeCell ref="L5:AB5"/>
    <mergeCell ref="L6:AB6"/>
    <mergeCell ref="L7:AB7"/>
    <mergeCell ref="L4:AB4"/>
    <mergeCell ref="L17:AB17"/>
    <mergeCell ref="L18:AB18"/>
    <mergeCell ref="L19:AB19"/>
    <mergeCell ref="L20:AB20"/>
    <mergeCell ref="L21:AB21"/>
    <mergeCell ref="B16:J16"/>
    <mergeCell ref="L16:AB16"/>
    <mergeCell ref="L9:AB9"/>
    <mergeCell ref="L10:AB10"/>
    <mergeCell ref="B12:AB12"/>
    <mergeCell ref="L13:AB13"/>
    <mergeCell ref="L14:AB14"/>
    <mergeCell ref="B15:J15"/>
    <mergeCell ref="L15:AB15"/>
    <mergeCell ref="B37:I37"/>
    <mergeCell ref="L37:AB37"/>
    <mergeCell ref="L38:AB38"/>
    <mergeCell ref="L25:AB25"/>
    <mergeCell ref="L26:AB26"/>
    <mergeCell ref="L22:AB22"/>
    <mergeCell ref="B39:I39"/>
    <mergeCell ref="L39:AB39"/>
    <mergeCell ref="B24:AB24"/>
    <mergeCell ref="L27:AB27"/>
    <mergeCell ref="L28:AB28"/>
    <mergeCell ref="L29:AB29"/>
    <mergeCell ref="L30:AB30"/>
    <mergeCell ref="L31:AB31"/>
    <mergeCell ref="B33:AB33"/>
    <mergeCell ref="L34:AB36"/>
    <mergeCell ref="L40:AB40"/>
    <mergeCell ref="B46:AS46"/>
    <mergeCell ref="B47:C47"/>
    <mergeCell ref="D47:M47"/>
    <mergeCell ref="N47:U47"/>
    <mergeCell ref="V47:AC47"/>
    <mergeCell ref="AD47:AK47"/>
    <mergeCell ref="AL47:AS47"/>
    <mergeCell ref="AL48:AS48"/>
    <mergeCell ref="B49:C49"/>
    <mergeCell ref="D49:M49"/>
    <mergeCell ref="N49:U49"/>
    <mergeCell ref="V49:AC49"/>
    <mergeCell ref="AD49:AK49"/>
    <mergeCell ref="D51:M51"/>
    <mergeCell ref="N51:U51"/>
    <mergeCell ref="V51:AC51"/>
    <mergeCell ref="AD51:AK51"/>
    <mergeCell ref="AL49:AS49"/>
    <mergeCell ref="B48:C48"/>
    <mergeCell ref="D48:M48"/>
    <mergeCell ref="N48:U48"/>
    <mergeCell ref="V48:AC48"/>
    <mergeCell ref="AD48:AK48"/>
    <mergeCell ref="V53:AC53"/>
    <mergeCell ref="AD53:AK53"/>
    <mergeCell ref="AL51:AS51"/>
    <mergeCell ref="B50:C50"/>
    <mergeCell ref="D50:M50"/>
    <mergeCell ref="N50:U50"/>
    <mergeCell ref="V50:AC50"/>
    <mergeCell ref="AD50:AK50"/>
    <mergeCell ref="AL50:AS50"/>
    <mergeCell ref="B51:C51"/>
    <mergeCell ref="AL53:AS53"/>
    <mergeCell ref="B52:C52"/>
    <mergeCell ref="D52:M52"/>
    <mergeCell ref="N52:U52"/>
    <mergeCell ref="V52:AC52"/>
    <mergeCell ref="AD52:AK52"/>
    <mergeCell ref="AL52:AS52"/>
    <mergeCell ref="B53:C53"/>
    <mergeCell ref="D53:M53"/>
    <mergeCell ref="N53:U53"/>
    <mergeCell ref="AL55:AS55"/>
    <mergeCell ref="B54:C54"/>
    <mergeCell ref="D54:M54"/>
    <mergeCell ref="N54:U54"/>
    <mergeCell ref="V54:AC54"/>
    <mergeCell ref="AD54:AK54"/>
    <mergeCell ref="AL54:AS54"/>
    <mergeCell ref="AD56:AK56"/>
    <mergeCell ref="B55:C55"/>
    <mergeCell ref="D55:M55"/>
    <mergeCell ref="N55:U55"/>
    <mergeCell ref="V55:AC55"/>
    <mergeCell ref="AD55:AK55"/>
  </mergeCells>
  <dataValidations count="15">
    <dataValidation type="whole" operator="lessThan" allowBlank="1" showInputMessage="1" showErrorMessage="1" sqref="AI79:BJ80 A109:E129 G109:AF129 F109:F113 F119:F129 BY24:CO25 BN24:BX24 BN2:CO2">
      <formula1>-5</formula1>
    </dataValidation>
    <dataValidation operator="lessThan" allowBlank="1" showInputMessage="1" showErrorMessage="1" sqref="BE55:BK56 BY55:IU56 BL54:BX55 BG10:BG12"/>
    <dataValidation type="list" allowBlank="1" showInputMessage="1" showErrorMessage="1" sqref="B37:I37">
      <formula1>"Kel.,Ds.,'- - - - - - - - - -"</formula1>
    </dataValidation>
    <dataValidation type="list" allowBlank="1" showInputMessage="1" showErrorMessage="1" sqref="B39:I39">
      <formula1>"Kab.,Kota,Kota Adm.,'- - - - - - - - - -"</formula1>
    </dataValidation>
    <dataValidation type="whole" errorStyle="warning" operator="lessThan" allowBlank="1" showInputMessage="1" errorTitle="P E R H A T I A N  !!!!!" error="Apakah anda sudah mengisikan NOMOR &amp; RT / RW pada alamat ini !!!" sqref="L34:L35 L37:AB40">
      <formula1>0</formula1>
    </dataValidation>
    <dataValidation type="list" allowBlank="1" showInputMessage="1" showErrorMessage="1" sqref="L14:AB14">
      <formula1>$V$85:$V$100</formula1>
    </dataValidation>
    <dataValidation type="list" allowBlank="1" showInputMessage="1" showErrorMessage="1" sqref="L18:AB18">
      <formula1>"Dihuni,Kosong,Tahap pembangunan,'- - - - - - - - - -"</formula1>
    </dataValidation>
    <dataValidation type="list" allowBlank="1" showInputMessage="1" showErrorMessage="1" sqref="L13:AB13">
      <formula1>$E$85:$E$94</formula1>
    </dataValidation>
    <dataValidation type="list" allowBlank="1" showInputMessage="1" showErrorMessage="1" sqref="L5:AB5">
      <formula1>"Ir. Usep D. Prawira. MAPPI (Cert.), Moh. Sugianto. SE., Asno Minanda. SE.M.Ec.Dev.,'- - - - - - -"</formula1>
    </dataValidation>
    <dataValidation type="list" allowBlank="1" showInputMessage="1" showErrorMessage="1" sqref="L25:AB25">
      <formula1>$AM$85:$AM$93</formula1>
    </dataValidation>
    <dataValidation type="list" allowBlank="1" showInputMessage="1" showErrorMessage="1" sqref="L26:AB26">
      <formula1>$E$99:$E$104</formula1>
    </dataValidation>
    <dataValidation type="list" allowBlank="1" showInputMessage="1" showErrorMessage="1" sqref="L6:AB6">
      <formula1>$AY$5:$AY$13</formula1>
    </dataValidation>
    <dataValidation type="whole" operator="lessThanOrEqual" allowBlank="1" showInputMessage="1" showErrorMessage="1" sqref="L7:AB7">
      <formula1>-2</formula1>
    </dataValidation>
    <dataValidation type="list" allowBlank="1" showInputMessage="1" showErrorMessage="1" sqref="L4:AB4">
      <formula1>$S$121:$S$123</formula1>
    </dataValidation>
    <dataValidation type="list" allowBlank="1" showInputMessage="1" showErrorMessage="1" sqref="B16:J16">
      <formula1>"Calon Debitur, Debitur,'- - - - - - - - - -"</formula1>
    </dataValidation>
  </dataValidations>
  <printOptions horizontalCentered="1"/>
  <pageMargins left="0" right="0" top="0" bottom="0" header="0.511811023622047" footer="0.511811023622047"/>
  <pageSetup paperSize="9" scale="87" orientation="landscape"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0"/>
  </sheetPr>
  <dimension ref="A1:EJ176"/>
  <sheetViews>
    <sheetView showGridLines="0" topLeftCell="A4" zoomScaleNormal="100" zoomScaleSheetLayoutView="100" workbookViewId="0">
      <pane xSplit="21" topLeftCell="V1" activePane="topRight" state="frozen"/>
      <selection activeCell="AG14" sqref="AG14"/>
      <selection pane="topRight" activeCell="V14" sqref="V14:AG14"/>
    </sheetView>
  </sheetViews>
  <sheetFormatPr defaultColWidth="2.7109375" defaultRowHeight="12.95" customHeight="1"/>
  <cols>
    <col min="1" max="1" width="2.7109375" style="438" customWidth="1"/>
    <col min="2" max="2" width="2.7109375" style="298" customWidth="1"/>
    <col min="3" max="23" width="2.7109375" style="299" customWidth="1"/>
    <col min="24" max="25" width="2.7109375" style="299" hidden="1" customWidth="1"/>
    <col min="26" max="35" width="2.7109375" style="299" customWidth="1"/>
    <col min="36" max="37" width="2.7109375" style="299" hidden="1" customWidth="1"/>
    <col min="38" max="47" width="2.7109375" style="299" customWidth="1"/>
    <col min="48" max="49" width="2.7109375" style="299" hidden="1" customWidth="1"/>
    <col min="50" max="57" width="2.7109375" style="299" customWidth="1"/>
    <col min="58" max="58" width="2.7109375" style="438" customWidth="1"/>
    <col min="59" max="59" width="2.7109375" style="391" customWidth="1"/>
    <col min="60" max="60" width="2.7109375" style="438" customWidth="1"/>
    <col min="61" max="62" width="2.7109375" style="299" customWidth="1"/>
    <col min="63" max="64" width="2.7109375" style="299" hidden="1" customWidth="1"/>
    <col min="65" max="74" width="2.7109375" style="299" customWidth="1"/>
    <col min="75" max="76" width="2.7109375" style="299" hidden="1" customWidth="1"/>
    <col min="77" max="86" width="2.7109375" style="299" customWidth="1"/>
    <col min="87" max="88" width="2.7109375" style="299" hidden="1" customWidth="1"/>
    <col min="89" max="96" width="2.7109375" style="299" customWidth="1"/>
    <col min="97" max="97" width="2.7109375" customWidth="1"/>
    <col min="98" max="98" width="2.7109375" style="1187" customWidth="1"/>
    <col min="99" max="99" width="2.7109375" customWidth="1"/>
    <col min="100" max="101" width="2.7109375" style="299" customWidth="1"/>
    <col min="102" max="103" width="2.7109375" style="299" hidden="1" customWidth="1"/>
    <col min="104" max="113" width="2.7109375" style="299" customWidth="1"/>
    <col min="114" max="115" width="2.7109375" style="299" hidden="1" customWidth="1"/>
    <col min="116" max="125" width="2.7109375" style="299" customWidth="1"/>
    <col min="126" max="127" width="2.7109375" style="299" hidden="1" customWidth="1"/>
    <col min="128" max="135" width="2.7109375" style="299" customWidth="1"/>
    <col min="136" max="16384" width="2.7109375" style="438"/>
  </cols>
  <sheetData>
    <row r="1" spans="2:140" ht="12.95" customHeight="1">
      <c r="B1" s="1219"/>
      <c r="C1" s="1220"/>
      <c r="D1" s="1220"/>
      <c r="E1" s="1220"/>
      <c r="F1" s="1220"/>
      <c r="G1" s="1220"/>
      <c r="H1" s="1220"/>
      <c r="I1" s="1220"/>
      <c r="J1" s="1220"/>
      <c r="K1" s="1220"/>
      <c r="L1" s="1220"/>
      <c r="M1" s="1220"/>
      <c r="N1" s="1220"/>
      <c r="O1" s="1220"/>
      <c r="P1" s="1220"/>
      <c r="Q1" s="1220"/>
      <c r="R1" s="1220"/>
      <c r="S1" s="1220"/>
      <c r="T1" s="1220"/>
      <c r="U1" s="1220"/>
      <c r="W1" s="455"/>
      <c r="AM1" s="308"/>
      <c r="AN1" s="308"/>
      <c r="AQ1" s="308"/>
      <c r="AS1" s="308"/>
      <c r="AY1" s="308"/>
      <c r="BA1" s="308"/>
      <c r="BB1" s="308"/>
      <c r="BZ1" s="308"/>
      <c r="CA1" s="308"/>
      <c r="CD1" s="308"/>
      <c r="CF1" s="308"/>
      <c r="CL1" s="308"/>
      <c r="CN1" s="308"/>
      <c r="CO1" s="308"/>
      <c r="DM1" s="308"/>
      <c r="DN1" s="308"/>
      <c r="DQ1" s="308"/>
      <c r="DS1" s="308"/>
      <c r="DY1" s="308"/>
      <c r="EA1" s="308"/>
      <c r="EB1" s="308"/>
    </row>
    <row r="2" spans="2:140" s="456" customFormat="1" ht="36" customHeight="1">
      <c r="B2" s="1221"/>
      <c r="C2" s="1222"/>
      <c r="D2" s="1222"/>
      <c r="E2" s="1222"/>
      <c r="F2" s="1222"/>
      <c r="G2" s="1222"/>
      <c r="H2" s="1222"/>
      <c r="I2" s="1222"/>
      <c r="J2" s="1223"/>
      <c r="K2" s="1223"/>
      <c r="L2" s="1223"/>
      <c r="M2" s="1223"/>
      <c r="N2" s="1223"/>
      <c r="O2" s="1223"/>
      <c r="P2" s="1223"/>
      <c r="Q2" s="1223"/>
      <c r="R2" s="1223"/>
      <c r="S2" s="1223"/>
      <c r="T2" s="1223"/>
      <c r="U2" s="1223"/>
      <c r="V2" s="455"/>
      <c r="X2" s="455"/>
      <c r="Y2" s="455"/>
      <c r="Z2" s="1599" t="s">
        <v>2490</v>
      </c>
      <c r="AA2" s="1599"/>
      <c r="AB2" s="1599"/>
      <c r="AC2" s="1599"/>
      <c r="AD2" s="1599"/>
      <c r="AE2" s="1599"/>
      <c r="AF2" s="1599"/>
      <c r="AG2" s="1599"/>
      <c r="AH2" s="1599"/>
      <c r="AI2" s="1599"/>
      <c r="AJ2" s="1599"/>
      <c r="AK2" s="1599"/>
      <c r="AL2" s="1599"/>
      <c r="AM2" s="1599"/>
      <c r="AN2" s="1599"/>
      <c r="AO2" s="1599"/>
      <c r="AP2" s="1599"/>
      <c r="AQ2" s="1599"/>
      <c r="AR2" s="1599"/>
      <c r="AS2" s="1599"/>
      <c r="AT2" s="1599"/>
      <c r="AU2" s="1599"/>
      <c r="AV2" s="1599"/>
      <c r="AW2" s="1599"/>
      <c r="AX2" s="1599"/>
      <c r="AY2" s="1599"/>
      <c r="AZ2" s="455"/>
      <c r="BA2" s="455"/>
      <c r="BB2" s="455"/>
      <c r="BC2" s="455"/>
      <c r="BD2" s="455"/>
      <c r="BE2" s="317"/>
      <c r="BG2" s="457"/>
      <c r="BI2" s="455"/>
      <c r="BJ2" s="455"/>
      <c r="BK2" s="455"/>
      <c r="BL2" s="455"/>
      <c r="BM2" s="1599" t="s">
        <v>2491</v>
      </c>
      <c r="BN2" s="1599"/>
      <c r="BO2" s="1599"/>
      <c r="BP2" s="1599"/>
      <c r="BQ2" s="1599"/>
      <c r="BR2" s="1599"/>
      <c r="BS2" s="1599"/>
      <c r="BT2" s="1599"/>
      <c r="BU2" s="1599"/>
      <c r="BV2" s="1599"/>
      <c r="BW2" s="1599"/>
      <c r="BX2" s="1599"/>
      <c r="BY2" s="1599"/>
      <c r="BZ2" s="1599"/>
      <c r="CA2" s="1599"/>
      <c r="CB2" s="1599"/>
      <c r="CC2" s="1599"/>
      <c r="CD2" s="1599"/>
      <c r="CE2" s="1599"/>
      <c r="CF2" s="1599"/>
      <c r="CG2" s="1599"/>
      <c r="CH2" s="1599"/>
      <c r="CI2" s="1599"/>
      <c r="CJ2" s="1599"/>
      <c r="CK2" s="1599"/>
      <c r="CL2" s="1599"/>
      <c r="CM2" s="455"/>
      <c r="CN2" s="455"/>
      <c r="CO2" s="455"/>
      <c r="CP2" s="455"/>
      <c r="CQ2" s="455"/>
      <c r="CR2" s="317"/>
      <c r="CS2"/>
      <c r="CT2" s="1188"/>
      <c r="CU2"/>
      <c r="CV2" s="455"/>
      <c r="CW2" s="455"/>
      <c r="CX2" s="455"/>
      <c r="CY2" s="455"/>
      <c r="CZ2" s="1599" t="s">
        <v>2492</v>
      </c>
      <c r="DA2" s="1599"/>
      <c r="DB2" s="1599"/>
      <c r="DC2" s="1599"/>
      <c r="DD2" s="1599"/>
      <c r="DE2" s="1599"/>
      <c r="DF2" s="1599"/>
      <c r="DG2" s="1599"/>
      <c r="DH2" s="1599"/>
      <c r="DI2" s="1599"/>
      <c r="DJ2" s="1599"/>
      <c r="DK2" s="1599"/>
      <c r="DL2" s="1599"/>
      <c r="DM2" s="1599"/>
      <c r="DN2" s="1599"/>
      <c r="DO2" s="1599"/>
      <c r="DP2" s="1599"/>
      <c r="DQ2" s="1599"/>
      <c r="DR2" s="1599"/>
      <c r="DS2" s="1599"/>
      <c r="DT2" s="1599"/>
      <c r="DU2" s="1599"/>
      <c r="DV2" s="1599"/>
      <c r="DW2" s="1599"/>
      <c r="DX2" s="1599"/>
      <c r="DY2" s="1599"/>
      <c r="DZ2" s="455"/>
      <c r="EA2" s="455"/>
      <c r="EB2" s="455"/>
      <c r="EC2" s="455"/>
      <c r="ED2" s="455"/>
      <c r="EE2" s="317"/>
    </row>
    <row r="3" spans="2:140" s="458" customFormat="1" ht="15.95" customHeight="1">
      <c r="B3" s="1589" t="s">
        <v>1878</v>
      </c>
      <c r="C3" s="1590"/>
      <c r="D3" s="1590"/>
      <c r="E3" s="1590"/>
      <c r="F3" s="1590"/>
      <c r="G3" s="1590"/>
      <c r="H3" s="1590"/>
      <c r="I3" s="1590"/>
      <c r="J3" s="1591"/>
      <c r="K3" s="1587" t="s">
        <v>1901</v>
      </c>
      <c r="L3" s="1587"/>
      <c r="M3" s="1587"/>
      <c r="N3" s="1587"/>
      <c r="O3" s="1587"/>
      <c r="P3" s="1587"/>
      <c r="Q3" s="1587"/>
      <c r="R3" s="1587"/>
      <c r="S3" s="1587"/>
      <c r="T3" s="1587"/>
      <c r="U3" s="1587"/>
      <c r="V3" s="1587" t="s">
        <v>1902</v>
      </c>
      <c r="W3" s="1587"/>
      <c r="X3" s="1587"/>
      <c r="Y3" s="1587"/>
      <c r="Z3" s="1587"/>
      <c r="AA3" s="1587"/>
      <c r="AB3" s="1587"/>
      <c r="AC3" s="1587"/>
      <c r="AD3" s="1587"/>
      <c r="AE3" s="1587"/>
      <c r="AF3" s="1587"/>
      <c r="AG3" s="1587"/>
      <c r="AH3" s="1587" t="s">
        <v>1903</v>
      </c>
      <c r="AI3" s="1587"/>
      <c r="AJ3" s="1587"/>
      <c r="AK3" s="1587"/>
      <c r="AL3" s="1587"/>
      <c r="AM3" s="1587"/>
      <c r="AN3" s="1587"/>
      <c r="AO3" s="1587"/>
      <c r="AP3" s="1587"/>
      <c r="AQ3" s="1587"/>
      <c r="AR3" s="1587"/>
      <c r="AS3" s="1587"/>
      <c r="AT3" s="1587" t="s">
        <v>1904</v>
      </c>
      <c r="AU3" s="1587"/>
      <c r="AV3" s="1587"/>
      <c r="AW3" s="1587"/>
      <c r="AX3" s="1587"/>
      <c r="AY3" s="1587"/>
      <c r="AZ3" s="1587"/>
      <c r="BA3" s="1587"/>
      <c r="BB3" s="1587"/>
      <c r="BC3" s="1587"/>
      <c r="BD3" s="1587"/>
      <c r="BE3" s="1588"/>
      <c r="BG3" s="459"/>
      <c r="BI3" s="1587" t="s">
        <v>1905</v>
      </c>
      <c r="BJ3" s="1587"/>
      <c r="BK3" s="1587"/>
      <c r="BL3" s="1587"/>
      <c r="BM3" s="1587"/>
      <c r="BN3" s="1587"/>
      <c r="BO3" s="1587"/>
      <c r="BP3" s="1587"/>
      <c r="BQ3" s="1587"/>
      <c r="BR3" s="1587"/>
      <c r="BS3" s="1587"/>
      <c r="BT3" s="1587"/>
      <c r="BU3" s="1587" t="s">
        <v>1906</v>
      </c>
      <c r="BV3" s="1587"/>
      <c r="BW3" s="1587"/>
      <c r="BX3" s="1587"/>
      <c r="BY3" s="1587"/>
      <c r="BZ3" s="1587"/>
      <c r="CA3" s="1587"/>
      <c r="CB3" s="1587"/>
      <c r="CC3" s="1587"/>
      <c r="CD3" s="1587"/>
      <c r="CE3" s="1587"/>
      <c r="CF3" s="1587"/>
      <c r="CG3" s="1587" t="s">
        <v>1907</v>
      </c>
      <c r="CH3" s="1587"/>
      <c r="CI3" s="1587"/>
      <c r="CJ3" s="1587"/>
      <c r="CK3" s="1587"/>
      <c r="CL3" s="1587"/>
      <c r="CM3" s="1587"/>
      <c r="CN3" s="1587"/>
      <c r="CO3" s="1587"/>
      <c r="CP3" s="1587"/>
      <c r="CQ3" s="1587"/>
      <c r="CR3" s="1588"/>
      <c r="CS3"/>
      <c r="CT3" s="1189"/>
      <c r="CU3"/>
      <c r="CV3" s="1587" t="s">
        <v>2487</v>
      </c>
      <c r="CW3" s="1587"/>
      <c r="CX3" s="1587"/>
      <c r="CY3" s="1587"/>
      <c r="CZ3" s="1587"/>
      <c r="DA3" s="1587"/>
      <c r="DB3" s="1587"/>
      <c r="DC3" s="1587"/>
      <c r="DD3" s="1587"/>
      <c r="DE3" s="1587"/>
      <c r="DF3" s="1587"/>
      <c r="DG3" s="1587"/>
      <c r="DH3" s="1587" t="s">
        <v>2488</v>
      </c>
      <c r="DI3" s="1587"/>
      <c r="DJ3" s="1587"/>
      <c r="DK3" s="1587"/>
      <c r="DL3" s="1587"/>
      <c r="DM3" s="1587"/>
      <c r="DN3" s="1587"/>
      <c r="DO3" s="1587"/>
      <c r="DP3" s="1587"/>
      <c r="DQ3" s="1587"/>
      <c r="DR3" s="1587"/>
      <c r="DS3" s="1587"/>
      <c r="DT3" s="1587" t="s">
        <v>2489</v>
      </c>
      <c r="DU3" s="1587"/>
      <c r="DV3" s="1587"/>
      <c r="DW3" s="1587"/>
      <c r="DX3" s="1587"/>
      <c r="DY3" s="1587"/>
      <c r="DZ3" s="1587"/>
      <c r="EA3" s="1587"/>
      <c r="EB3" s="1587"/>
      <c r="EC3" s="1587"/>
      <c r="ED3" s="1587"/>
      <c r="EE3" s="1588"/>
    </row>
    <row r="4" spans="2:140" s="458" customFormat="1" ht="111" customHeight="1">
      <c r="B4" s="1592" t="s">
        <v>1908</v>
      </c>
      <c r="C4" s="1593"/>
      <c r="D4" s="1593"/>
      <c r="E4" s="1593"/>
      <c r="F4" s="1593"/>
      <c r="G4" s="1593"/>
      <c r="H4" s="1593"/>
      <c r="I4" s="1593"/>
      <c r="J4" s="1594"/>
      <c r="K4" s="1584" t="s">
        <v>1909</v>
      </c>
      <c r="L4" s="1585"/>
      <c r="M4" s="1585"/>
      <c r="N4" s="1585"/>
      <c r="O4" s="1585"/>
      <c r="P4" s="1585"/>
      <c r="Q4" s="1585"/>
      <c r="R4" s="1585"/>
      <c r="S4" s="1585"/>
      <c r="T4" s="1585"/>
      <c r="U4" s="1586"/>
      <c r="V4" s="1584" t="s">
        <v>1910</v>
      </c>
      <c r="W4" s="1585"/>
      <c r="X4" s="1585"/>
      <c r="Y4" s="1585"/>
      <c r="Z4" s="1585"/>
      <c r="AA4" s="1585"/>
      <c r="AB4" s="1585"/>
      <c r="AC4" s="1585"/>
      <c r="AD4" s="1585"/>
      <c r="AE4" s="1585"/>
      <c r="AF4" s="1585"/>
      <c r="AG4" s="1586"/>
      <c r="AH4" s="1584" t="s">
        <v>1910</v>
      </c>
      <c r="AI4" s="1585"/>
      <c r="AJ4" s="1585"/>
      <c r="AK4" s="1585"/>
      <c r="AL4" s="1585"/>
      <c r="AM4" s="1585"/>
      <c r="AN4" s="1585"/>
      <c r="AO4" s="1585"/>
      <c r="AP4" s="1585"/>
      <c r="AQ4" s="1585"/>
      <c r="AR4" s="1585"/>
      <c r="AS4" s="1586"/>
      <c r="AT4" s="1584" t="s">
        <v>1910</v>
      </c>
      <c r="AU4" s="1585"/>
      <c r="AV4" s="1585"/>
      <c r="AW4" s="1585"/>
      <c r="AX4" s="1585"/>
      <c r="AY4" s="1585"/>
      <c r="AZ4" s="1585"/>
      <c r="BA4" s="1585"/>
      <c r="BB4" s="1585"/>
      <c r="BC4" s="1585"/>
      <c r="BD4" s="1585"/>
      <c r="BE4" s="1586"/>
      <c r="BF4" s="308"/>
      <c r="BG4" s="459"/>
      <c r="BH4" s="308"/>
      <c r="BI4" s="1584" t="s">
        <v>1910</v>
      </c>
      <c r="BJ4" s="1585"/>
      <c r="BK4" s="1585"/>
      <c r="BL4" s="1585"/>
      <c r="BM4" s="1585"/>
      <c r="BN4" s="1585"/>
      <c r="BO4" s="1585"/>
      <c r="BP4" s="1585"/>
      <c r="BQ4" s="1585"/>
      <c r="BR4" s="1585"/>
      <c r="BS4" s="1585"/>
      <c r="BT4" s="1586"/>
      <c r="BU4" s="1584" t="s">
        <v>1910</v>
      </c>
      <c r="BV4" s="1585"/>
      <c r="BW4" s="1585"/>
      <c r="BX4" s="1585"/>
      <c r="BY4" s="1585"/>
      <c r="BZ4" s="1585"/>
      <c r="CA4" s="1585"/>
      <c r="CB4" s="1585"/>
      <c r="CC4" s="1585"/>
      <c r="CD4" s="1585"/>
      <c r="CE4" s="1585"/>
      <c r="CF4" s="1586"/>
      <c r="CG4" s="1584" t="s">
        <v>1910</v>
      </c>
      <c r="CH4" s="1585"/>
      <c r="CI4" s="1585"/>
      <c r="CJ4" s="1585"/>
      <c r="CK4" s="1585"/>
      <c r="CL4" s="1585"/>
      <c r="CM4" s="1585"/>
      <c r="CN4" s="1585"/>
      <c r="CO4" s="1585"/>
      <c r="CP4" s="1585"/>
      <c r="CQ4" s="1585"/>
      <c r="CR4" s="1586"/>
      <c r="CS4"/>
      <c r="CT4" s="1190"/>
      <c r="CU4"/>
      <c r="CV4" s="1584" t="s">
        <v>1910</v>
      </c>
      <c r="CW4" s="1585"/>
      <c r="CX4" s="1585"/>
      <c r="CY4" s="1585"/>
      <c r="CZ4" s="1585"/>
      <c r="DA4" s="1585"/>
      <c r="DB4" s="1585"/>
      <c r="DC4" s="1585"/>
      <c r="DD4" s="1585"/>
      <c r="DE4" s="1585"/>
      <c r="DF4" s="1585"/>
      <c r="DG4" s="1586"/>
      <c r="DH4" s="1584" t="s">
        <v>1910</v>
      </c>
      <c r="DI4" s="1585"/>
      <c r="DJ4" s="1585"/>
      <c r="DK4" s="1585"/>
      <c r="DL4" s="1585"/>
      <c r="DM4" s="1585"/>
      <c r="DN4" s="1585"/>
      <c r="DO4" s="1585"/>
      <c r="DP4" s="1585"/>
      <c r="DQ4" s="1585"/>
      <c r="DR4" s="1585"/>
      <c r="DS4" s="1586"/>
      <c r="DT4" s="1584" t="s">
        <v>1910</v>
      </c>
      <c r="DU4" s="1585"/>
      <c r="DV4" s="1585"/>
      <c r="DW4" s="1585"/>
      <c r="DX4" s="1585"/>
      <c r="DY4" s="1585"/>
      <c r="DZ4" s="1585"/>
      <c r="EA4" s="1585"/>
      <c r="EB4" s="1585"/>
      <c r="EC4" s="1585"/>
      <c r="ED4" s="1585"/>
      <c r="EE4" s="1586"/>
      <c r="EG4" s="308"/>
      <c r="EI4" s="308"/>
    </row>
    <row r="5" spans="2:140" s="458" customFormat="1" ht="105.75" customHeight="1">
      <c r="B5" s="1595"/>
      <c r="C5" s="1596"/>
      <c r="D5" s="1596"/>
      <c r="E5" s="1596"/>
      <c r="F5" s="1596"/>
      <c r="G5" s="1596"/>
      <c r="H5" s="1596"/>
      <c r="I5" s="1596"/>
      <c r="J5" s="1597"/>
      <c r="K5" s="1575" t="s">
        <v>1911</v>
      </c>
      <c r="L5" s="1576"/>
      <c r="M5" s="1576"/>
      <c r="N5" s="1576"/>
      <c r="O5" s="1576"/>
      <c r="P5" s="1576"/>
      <c r="Q5" s="1576"/>
      <c r="R5" s="1576"/>
      <c r="S5" s="1576"/>
      <c r="T5" s="1576"/>
      <c r="U5" s="1577"/>
      <c r="V5" s="1575" t="s">
        <v>1912</v>
      </c>
      <c r="W5" s="1576"/>
      <c r="X5" s="1576"/>
      <c r="Y5" s="1576"/>
      <c r="Z5" s="1576"/>
      <c r="AA5" s="1576"/>
      <c r="AB5" s="1576"/>
      <c r="AC5" s="1576"/>
      <c r="AD5" s="1576"/>
      <c r="AE5" s="1576"/>
      <c r="AF5" s="1576"/>
      <c r="AG5" s="1577"/>
      <c r="AH5" s="1575" t="s">
        <v>1912</v>
      </c>
      <c r="AI5" s="1576"/>
      <c r="AJ5" s="1576"/>
      <c r="AK5" s="1576"/>
      <c r="AL5" s="1576"/>
      <c r="AM5" s="1576"/>
      <c r="AN5" s="1576"/>
      <c r="AO5" s="1576"/>
      <c r="AP5" s="1576"/>
      <c r="AQ5" s="1576"/>
      <c r="AR5" s="1576"/>
      <c r="AS5" s="1577"/>
      <c r="AT5" s="1575" t="s">
        <v>1912</v>
      </c>
      <c r="AU5" s="1576"/>
      <c r="AV5" s="1576"/>
      <c r="AW5" s="1576"/>
      <c r="AX5" s="1576"/>
      <c r="AY5" s="1576"/>
      <c r="AZ5" s="1576"/>
      <c r="BA5" s="1576"/>
      <c r="BB5" s="1576"/>
      <c r="BC5" s="1576"/>
      <c r="BD5" s="1576"/>
      <c r="BE5" s="1577"/>
      <c r="BF5" s="308"/>
      <c r="BG5" s="459"/>
      <c r="BI5" s="1575" t="s">
        <v>1912</v>
      </c>
      <c r="BJ5" s="1576"/>
      <c r="BK5" s="1576"/>
      <c r="BL5" s="1576"/>
      <c r="BM5" s="1576"/>
      <c r="BN5" s="1576"/>
      <c r="BO5" s="1576"/>
      <c r="BP5" s="1576"/>
      <c r="BQ5" s="1576"/>
      <c r="BR5" s="1576"/>
      <c r="BS5" s="1576"/>
      <c r="BT5" s="1577"/>
      <c r="BU5" s="1575" t="s">
        <v>1912</v>
      </c>
      <c r="BV5" s="1576"/>
      <c r="BW5" s="1576"/>
      <c r="BX5" s="1576"/>
      <c r="BY5" s="1576"/>
      <c r="BZ5" s="1576"/>
      <c r="CA5" s="1576"/>
      <c r="CB5" s="1576"/>
      <c r="CC5" s="1576"/>
      <c r="CD5" s="1576"/>
      <c r="CE5" s="1576"/>
      <c r="CF5" s="1577"/>
      <c r="CG5" s="1575" t="s">
        <v>1912</v>
      </c>
      <c r="CH5" s="1576"/>
      <c r="CI5" s="1576"/>
      <c r="CJ5" s="1576"/>
      <c r="CK5" s="1576"/>
      <c r="CL5" s="1576"/>
      <c r="CM5" s="1576"/>
      <c r="CN5" s="1576"/>
      <c r="CO5" s="1576"/>
      <c r="CP5" s="1576"/>
      <c r="CQ5" s="1576"/>
      <c r="CR5" s="1577"/>
      <c r="CS5"/>
      <c r="CT5" s="1191"/>
      <c r="CU5"/>
      <c r="CV5" s="1575" t="s">
        <v>1912</v>
      </c>
      <c r="CW5" s="1576"/>
      <c r="CX5" s="1576"/>
      <c r="CY5" s="1576"/>
      <c r="CZ5" s="1576"/>
      <c r="DA5" s="1576"/>
      <c r="DB5" s="1576"/>
      <c r="DC5" s="1576"/>
      <c r="DD5" s="1576"/>
      <c r="DE5" s="1576"/>
      <c r="DF5" s="1576"/>
      <c r="DG5" s="1577"/>
      <c r="DH5" s="1575" t="s">
        <v>1912</v>
      </c>
      <c r="DI5" s="1576"/>
      <c r="DJ5" s="1576"/>
      <c r="DK5" s="1576"/>
      <c r="DL5" s="1576"/>
      <c r="DM5" s="1576"/>
      <c r="DN5" s="1576"/>
      <c r="DO5" s="1576"/>
      <c r="DP5" s="1576"/>
      <c r="DQ5" s="1576"/>
      <c r="DR5" s="1576"/>
      <c r="DS5" s="1577"/>
      <c r="DT5" s="1575" t="s">
        <v>1912</v>
      </c>
      <c r="DU5" s="1576"/>
      <c r="DV5" s="1576"/>
      <c r="DW5" s="1576"/>
      <c r="DX5" s="1576"/>
      <c r="DY5" s="1576"/>
      <c r="DZ5" s="1576"/>
      <c r="EA5" s="1576"/>
      <c r="EB5" s="1576"/>
      <c r="EC5" s="1576"/>
      <c r="ED5" s="1576"/>
      <c r="EE5" s="1577"/>
      <c r="EJ5" s="308"/>
    </row>
    <row r="6" spans="2:140" s="465" customFormat="1" ht="32.25" customHeight="1">
      <c r="B6" s="460" t="s">
        <v>1770</v>
      </c>
      <c r="C6" s="461" t="s">
        <v>2500</v>
      </c>
      <c r="D6" s="462"/>
      <c r="E6" s="462"/>
      <c r="F6" s="462"/>
      <c r="G6" s="462"/>
      <c r="H6" s="462"/>
      <c r="I6" s="462"/>
      <c r="J6" s="463"/>
      <c r="K6" s="1578" t="s">
        <v>2501</v>
      </c>
      <c r="L6" s="1579"/>
      <c r="M6" s="1579"/>
      <c r="N6" s="1579"/>
      <c r="O6" s="1579"/>
      <c r="P6" s="1579"/>
      <c r="Q6" s="1579"/>
      <c r="R6" s="1579"/>
      <c r="S6" s="1579"/>
      <c r="T6" s="1579"/>
      <c r="U6" s="1580"/>
      <c r="V6" s="1581" t="s">
        <v>2556</v>
      </c>
      <c r="W6" s="1582"/>
      <c r="X6" s="1582"/>
      <c r="Y6" s="1582"/>
      <c r="Z6" s="1582"/>
      <c r="AA6" s="1582"/>
      <c r="AB6" s="1582"/>
      <c r="AC6" s="1582"/>
      <c r="AD6" s="1582"/>
      <c r="AE6" s="1582"/>
      <c r="AF6" s="1582"/>
      <c r="AG6" s="1582"/>
      <c r="AH6" s="1581" t="s">
        <v>2555</v>
      </c>
      <c r="AI6" s="1582"/>
      <c r="AJ6" s="1582"/>
      <c r="AK6" s="1582"/>
      <c r="AL6" s="1582"/>
      <c r="AM6" s="1582"/>
      <c r="AN6" s="1582"/>
      <c r="AO6" s="1582"/>
      <c r="AP6" s="1582"/>
      <c r="AQ6" s="1582"/>
      <c r="AR6" s="1582"/>
      <c r="AS6" s="1582"/>
      <c r="AT6" s="1581" t="s">
        <v>2554</v>
      </c>
      <c r="AU6" s="1582"/>
      <c r="AV6" s="1582"/>
      <c r="AW6" s="1582"/>
      <c r="AX6" s="1582"/>
      <c r="AY6" s="1582"/>
      <c r="AZ6" s="1582"/>
      <c r="BA6" s="1582"/>
      <c r="BB6" s="1582"/>
      <c r="BC6" s="1582"/>
      <c r="BD6" s="1582"/>
      <c r="BE6" s="1582"/>
      <c r="BF6" s="464"/>
      <c r="BG6" s="459"/>
      <c r="BH6" s="464"/>
      <c r="BI6" s="1583"/>
      <c r="BJ6" s="1582"/>
      <c r="BK6" s="1582"/>
      <c r="BL6" s="1582"/>
      <c r="BM6" s="1582"/>
      <c r="BN6" s="1582"/>
      <c r="BO6" s="1582"/>
      <c r="BP6" s="1582"/>
      <c r="BQ6" s="1582"/>
      <c r="BR6" s="1582"/>
      <c r="BS6" s="1582"/>
      <c r="BT6" s="1582"/>
      <c r="BU6" s="1583"/>
      <c r="BV6" s="1582"/>
      <c r="BW6" s="1582"/>
      <c r="BX6" s="1582"/>
      <c r="BY6" s="1582"/>
      <c r="BZ6" s="1582"/>
      <c r="CA6" s="1582"/>
      <c r="CB6" s="1582"/>
      <c r="CC6" s="1582"/>
      <c r="CD6" s="1582"/>
      <c r="CE6" s="1582"/>
      <c r="CF6" s="1582"/>
      <c r="CG6" s="1583"/>
      <c r="CH6" s="1582"/>
      <c r="CI6" s="1582"/>
      <c r="CJ6" s="1582"/>
      <c r="CK6" s="1582"/>
      <c r="CL6" s="1582"/>
      <c r="CM6" s="1582"/>
      <c r="CN6" s="1582"/>
      <c r="CO6" s="1582"/>
      <c r="CP6" s="1582"/>
      <c r="CQ6" s="1582"/>
      <c r="CR6" s="1582"/>
      <c r="CS6"/>
      <c r="CT6" s="1192"/>
      <c r="CU6"/>
      <c r="CV6" s="1583"/>
      <c r="CW6" s="1582"/>
      <c r="CX6" s="1582"/>
      <c r="CY6" s="1582"/>
      <c r="CZ6" s="1582"/>
      <c r="DA6" s="1582"/>
      <c r="DB6" s="1582"/>
      <c r="DC6" s="1582"/>
      <c r="DD6" s="1582"/>
      <c r="DE6" s="1582"/>
      <c r="DF6" s="1582"/>
      <c r="DG6" s="1582"/>
      <c r="DH6" s="1583"/>
      <c r="DI6" s="1582"/>
      <c r="DJ6" s="1582"/>
      <c r="DK6" s="1582"/>
      <c r="DL6" s="1582"/>
      <c r="DM6" s="1582"/>
      <c r="DN6" s="1582"/>
      <c r="DO6" s="1582"/>
      <c r="DP6" s="1582"/>
      <c r="DQ6" s="1582"/>
      <c r="DR6" s="1582"/>
      <c r="DS6" s="1582"/>
      <c r="DT6" s="1583"/>
      <c r="DU6" s="1582"/>
      <c r="DV6" s="1582"/>
      <c r="DW6" s="1582"/>
      <c r="DX6" s="1582"/>
      <c r="DY6" s="1582"/>
      <c r="DZ6" s="1582"/>
      <c r="EA6" s="1582"/>
      <c r="EB6" s="1582"/>
      <c r="EC6" s="1582"/>
      <c r="ED6" s="1582"/>
      <c r="EE6" s="1582"/>
    </row>
    <row r="7" spans="2:140" s="360" customFormat="1" ht="15.95" customHeight="1">
      <c r="B7" s="1543" t="s">
        <v>1913</v>
      </c>
      <c r="C7" s="1544"/>
      <c r="D7" s="1544"/>
      <c r="E7" s="1544"/>
      <c r="F7" s="1544"/>
      <c r="G7" s="1544"/>
      <c r="H7" s="1544"/>
      <c r="I7" s="1544"/>
      <c r="J7" s="1544"/>
      <c r="K7" s="1545"/>
      <c r="L7" s="1545"/>
      <c r="M7" s="1545"/>
      <c r="N7" s="1545"/>
      <c r="O7" s="1545"/>
      <c r="P7" s="1545"/>
      <c r="Q7" s="1545"/>
      <c r="R7" s="1545"/>
      <c r="S7" s="1545"/>
      <c r="T7" s="1545"/>
      <c r="U7" s="1545"/>
      <c r="V7" s="1545"/>
      <c r="W7" s="1545"/>
      <c r="X7" s="1545"/>
      <c r="Y7" s="1545"/>
      <c r="Z7" s="1545"/>
      <c r="AA7" s="1545"/>
      <c r="AB7" s="1545"/>
      <c r="AC7" s="1545"/>
      <c r="AD7" s="1545"/>
      <c r="AE7" s="1545"/>
      <c r="AF7" s="1545"/>
      <c r="AG7" s="1545"/>
      <c r="AH7" s="1545"/>
      <c r="AI7" s="1545"/>
      <c r="AJ7" s="1545"/>
      <c r="AK7" s="1545"/>
      <c r="AL7" s="1545"/>
      <c r="AM7" s="1545"/>
      <c r="AN7" s="1545"/>
      <c r="AO7" s="1545"/>
      <c r="AP7" s="1545"/>
      <c r="AQ7" s="1545"/>
      <c r="AR7" s="1545"/>
      <c r="AS7" s="1545"/>
      <c r="AT7" s="1545"/>
      <c r="AU7" s="1545"/>
      <c r="AV7" s="1545"/>
      <c r="AW7" s="1545"/>
      <c r="AX7" s="1545"/>
      <c r="AY7" s="1545"/>
      <c r="AZ7" s="1545"/>
      <c r="BA7" s="1545"/>
      <c r="BB7" s="1545"/>
      <c r="BC7" s="1545"/>
      <c r="BD7" s="1545"/>
      <c r="BE7" s="1545"/>
      <c r="BG7" s="459"/>
      <c r="BI7" s="1545"/>
      <c r="BJ7" s="1545"/>
      <c r="BK7" s="1545"/>
      <c r="BL7" s="1545"/>
      <c r="BM7" s="1545"/>
      <c r="BN7" s="1545"/>
      <c r="BO7" s="1545"/>
      <c r="BP7" s="1545"/>
      <c r="BQ7" s="1545"/>
      <c r="BR7" s="1545"/>
      <c r="BS7" s="1545"/>
      <c r="BT7" s="1545"/>
      <c r="BU7" s="1545"/>
      <c r="BV7" s="1545"/>
      <c r="BW7" s="1545"/>
      <c r="BX7" s="1545"/>
      <c r="BY7" s="1545"/>
      <c r="BZ7" s="1545"/>
      <c r="CA7" s="1545"/>
      <c r="CB7" s="1545"/>
      <c r="CC7" s="1545"/>
      <c r="CD7" s="1545"/>
      <c r="CE7" s="1545"/>
      <c r="CF7" s="1545"/>
      <c r="CG7" s="1545"/>
      <c r="CH7" s="1545"/>
      <c r="CI7" s="1545"/>
      <c r="CJ7" s="1545"/>
      <c r="CK7" s="1545"/>
      <c r="CL7" s="1545"/>
      <c r="CM7" s="1545"/>
      <c r="CN7" s="1545"/>
      <c r="CO7" s="1545"/>
      <c r="CP7" s="1545"/>
      <c r="CQ7" s="1545"/>
      <c r="CR7" s="1545"/>
      <c r="CS7"/>
      <c r="CT7" s="1193"/>
      <c r="CU7"/>
      <c r="CV7" s="1545"/>
      <c r="CW7" s="1545"/>
      <c r="CX7" s="1545"/>
      <c r="CY7" s="1545"/>
      <c r="CZ7" s="1545"/>
      <c r="DA7" s="1545"/>
      <c r="DB7" s="1545"/>
      <c r="DC7" s="1545"/>
      <c r="DD7" s="1545"/>
      <c r="DE7" s="1545"/>
      <c r="DF7" s="1545"/>
      <c r="DG7" s="1545"/>
      <c r="DH7" s="1545"/>
      <c r="DI7" s="1545"/>
      <c r="DJ7" s="1545"/>
      <c r="DK7" s="1545"/>
      <c r="DL7" s="1545"/>
      <c r="DM7" s="1545"/>
      <c r="DN7" s="1545"/>
      <c r="DO7" s="1545"/>
      <c r="DP7" s="1545"/>
      <c r="DQ7" s="1545"/>
      <c r="DR7" s="1545"/>
      <c r="DS7" s="1545"/>
      <c r="DT7" s="1545"/>
      <c r="DU7" s="1545"/>
      <c r="DV7" s="1545"/>
      <c r="DW7" s="1545"/>
      <c r="DX7" s="1545"/>
      <c r="DY7" s="1545"/>
      <c r="DZ7" s="1545"/>
      <c r="EA7" s="1545"/>
      <c r="EB7" s="1545"/>
      <c r="EC7" s="1545"/>
      <c r="ED7" s="1545"/>
      <c r="EE7" s="1545"/>
    </row>
    <row r="8" spans="2:140" s="360" customFormat="1" ht="15" customHeight="1">
      <c r="B8" s="466" t="s">
        <v>1770</v>
      </c>
      <c r="C8" s="467" t="s">
        <v>1914</v>
      </c>
      <c r="D8" s="467"/>
      <c r="E8" s="467"/>
      <c r="F8" s="467"/>
      <c r="G8" s="467"/>
      <c r="H8" s="467"/>
      <c r="I8" s="467"/>
      <c r="J8" s="468"/>
      <c r="K8" s="1570" t="str">
        <f>Entry!L15</f>
        <v>PT. BANK ABCDE</v>
      </c>
      <c r="L8" s="1570"/>
      <c r="M8" s="1570"/>
      <c r="N8" s="1570"/>
      <c r="O8" s="1570"/>
      <c r="P8" s="1570"/>
      <c r="Q8" s="1570"/>
      <c r="R8" s="1570"/>
      <c r="S8" s="1570"/>
      <c r="T8" s="1570"/>
      <c r="U8" s="1570"/>
      <c r="V8" s="1567" t="s">
        <v>2539</v>
      </c>
      <c r="W8" s="1568"/>
      <c r="X8" s="1568"/>
      <c r="Y8" s="1568"/>
      <c r="Z8" s="1568"/>
      <c r="AA8" s="1568"/>
      <c r="AB8" s="1568"/>
      <c r="AC8" s="1568"/>
      <c r="AD8" s="1568"/>
      <c r="AE8" s="1568"/>
      <c r="AF8" s="1568"/>
      <c r="AG8" s="1569"/>
      <c r="AH8" s="1515" t="s">
        <v>2547</v>
      </c>
      <c r="AI8" s="1515"/>
      <c r="AJ8" s="1515"/>
      <c r="AK8" s="1515"/>
      <c r="AL8" s="1515"/>
      <c r="AM8" s="1515"/>
      <c r="AN8" s="1515"/>
      <c r="AO8" s="1515"/>
      <c r="AP8" s="1515"/>
      <c r="AQ8" s="1515"/>
      <c r="AR8" s="1515"/>
      <c r="AS8" s="1515"/>
      <c r="AT8" s="1515" t="s">
        <v>2549</v>
      </c>
      <c r="AU8" s="1515"/>
      <c r="AV8" s="1515"/>
      <c r="AW8" s="1515"/>
      <c r="AX8" s="1515"/>
      <c r="AY8" s="1515"/>
      <c r="AZ8" s="1515"/>
      <c r="BA8" s="1515"/>
      <c r="BB8" s="1515"/>
      <c r="BC8" s="1515"/>
      <c r="BD8" s="1515"/>
      <c r="BE8" s="1515"/>
      <c r="BG8" s="459"/>
      <c r="BI8" s="1567" t="s">
        <v>1915</v>
      </c>
      <c r="BJ8" s="1568"/>
      <c r="BK8" s="1568"/>
      <c r="BL8" s="1568"/>
      <c r="BM8" s="1568"/>
      <c r="BN8" s="1568"/>
      <c r="BO8" s="1568"/>
      <c r="BP8" s="1568"/>
      <c r="BQ8" s="1568"/>
      <c r="BR8" s="1568"/>
      <c r="BS8" s="1568"/>
      <c r="BT8" s="1569"/>
      <c r="BU8" s="1515" t="s">
        <v>1915</v>
      </c>
      <c r="BV8" s="1515"/>
      <c r="BW8" s="1515"/>
      <c r="BX8" s="1515"/>
      <c r="BY8" s="1515"/>
      <c r="BZ8" s="1515"/>
      <c r="CA8" s="1515"/>
      <c r="CB8" s="1515"/>
      <c r="CC8" s="1515"/>
      <c r="CD8" s="1515"/>
      <c r="CE8" s="1515"/>
      <c r="CF8" s="1515"/>
      <c r="CG8" s="1515" t="s">
        <v>1915</v>
      </c>
      <c r="CH8" s="1515"/>
      <c r="CI8" s="1515"/>
      <c r="CJ8" s="1515"/>
      <c r="CK8" s="1515"/>
      <c r="CL8" s="1515"/>
      <c r="CM8" s="1515"/>
      <c r="CN8" s="1515"/>
      <c r="CO8" s="1515"/>
      <c r="CP8" s="1515"/>
      <c r="CQ8" s="1515"/>
      <c r="CR8" s="1515"/>
      <c r="CS8"/>
      <c r="CT8" s="1194"/>
      <c r="CU8"/>
      <c r="CV8" s="1567" t="s">
        <v>1915</v>
      </c>
      <c r="CW8" s="1568"/>
      <c r="CX8" s="1568"/>
      <c r="CY8" s="1568"/>
      <c r="CZ8" s="1568"/>
      <c r="DA8" s="1568"/>
      <c r="DB8" s="1568"/>
      <c r="DC8" s="1568"/>
      <c r="DD8" s="1568"/>
      <c r="DE8" s="1568"/>
      <c r="DF8" s="1568"/>
      <c r="DG8" s="1569"/>
      <c r="DH8" s="1515" t="s">
        <v>1915</v>
      </c>
      <c r="DI8" s="1515"/>
      <c r="DJ8" s="1515"/>
      <c r="DK8" s="1515"/>
      <c r="DL8" s="1515"/>
      <c r="DM8" s="1515"/>
      <c r="DN8" s="1515"/>
      <c r="DO8" s="1515"/>
      <c r="DP8" s="1515"/>
      <c r="DQ8" s="1515"/>
      <c r="DR8" s="1515"/>
      <c r="DS8" s="1515"/>
      <c r="DT8" s="1515" t="s">
        <v>1915</v>
      </c>
      <c r="DU8" s="1515"/>
      <c r="DV8" s="1515"/>
      <c r="DW8" s="1515"/>
      <c r="DX8" s="1515"/>
      <c r="DY8" s="1515"/>
      <c r="DZ8" s="1515"/>
      <c r="EA8" s="1515"/>
      <c r="EB8" s="1515"/>
      <c r="EC8" s="1515"/>
      <c r="ED8" s="1515"/>
      <c r="EE8" s="1515"/>
    </row>
    <row r="9" spans="2:140" s="360" customFormat="1" ht="15" customHeight="1">
      <c r="B9" s="466" t="s">
        <v>1770</v>
      </c>
      <c r="C9" s="467" t="s">
        <v>1916</v>
      </c>
      <c r="D9" s="467"/>
      <c r="E9" s="467"/>
      <c r="F9" s="467"/>
      <c r="G9" s="467"/>
      <c r="H9" s="467"/>
      <c r="I9" s="467"/>
      <c r="J9" s="468"/>
      <c r="K9" s="1549"/>
      <c r="L9" s="1549"/>
      <c r="M9" s="1549"/>
      <c r="N9" s="1549"/>
      <c r="O9" s="1549"/>
      <c r="P9" s="1549"/>
      <c r="Q9" s="1549"/>
      <c r="R9" s="1549"/>
      <c r="S9" s="1549"/>
      <c r="T9" s="1549"/>
      <c r="U9" s="1549"/>
      <c r="V9" s="1563" t="s">
        <v>2540</v>
      </c>
      <c r="W9" s="1564"/>
      <c r="X9" s="1564"/>
      <c r="Y9" s="1564"/>
      <c r="Z9" s="1564"/>
      <c r="AA9" s="1564"/>
      <c r="AB9" s="1564"/>
      <c r="AC9" s="1564"/>
      <c r="AD9" s="1564"/>
      <c r="AE9" s="1564"/>
      <c r="AF9" s="1564"/>
      <c r="AG9" s="1565"/>
      <c r="AH9" s="1514" t="s">
        <v>2540</v>
      </c>
      <c r="AI9" s="1515"/>
      <c r="AJ9" s="1515"/>
      <c r="AK9" s="1515"/>
      <c r="AL9" s="1515"/>
      <c r="AM9" s="1515"/>
      <c r="AN9" s="1515"/>
      <c r="AO9" s="1515"/>
      <c r="AP9" s="1515"/>
      <c r="AQ9" s="1515"/>
      <c r="AR9" s="1515"/>
      <c r="AS9" s="1515"/>
      <c r="AT9" s="1514" t="s">
        <v>2540</v>
      </c>
      <c r="AU9" s="1515"/>
      <c r="AV9" s="1515"/>
      <c r="AW9" s="1515"/>
      <c r="AX9" s="1515"/>
      <c r="AY9" s="1515"/>
      <c r="AZ9" s="1515"/>
      <c r="BA9" s="1515"/>
      <c r="BB9" s="1515"/>
      <c r="BC9" s="1515"/>
      <c r="BD9" s="1515"/>
      <c r="BE9" s="1515"/>
      <c r="BG9" s="459"/>
      <c r="BI9" s="1563" t="s">
        <v>3</v>
      </c>
      <c r="BJ9" s="1564"/>
      <c r="BK9" s="1564"/>
      <c r="BL9" s="1564"/>
      <c r="BM9" s="1564"/>
      <c r="BN9" s="1564"/>
      <c r="BO9" s="1564"/>
      <c r="BP9" s="1564"/>
      <c r="BQ9" s="1564"/>
      <c r="BR9" s="1564"/>
      <c r="BS9" s="1564"/>
      <c r="BT9" s="1565"/>
      <c r="BU9" s="1514" t="s">
        <v>3</v>
      </c>
      <c r="BV9" s="1515"/>
      <c r="BW9" s="1515"/>
      <c r="BX9" s="1515"/>
      <c r="BY9" s="1515"/>
      <c r="BZ9" s="1515"/>
      <c r="CA9" s="1515"/>
      <c r="CB9" s="1515"/>
      <c r="CC9" s="1515"/>
      <c r="CD9" s="1515"/>
      <c r="CE9" s="1515"/>
      <c r="CF9" s="1515"/>
      <c r="CG9" s="1514" t="s">
        <v>3</v>
      </c>
      <c r="CH9" s="1515"/>
      <c r="CI9" s="1515"/>
      <c r="CJ9" s="1515"/>
      <c r="CK9" s="1515"/>
      <c r="CL9" s="1515"/>
      <c r="CM9" s="1515"/>
      <c r="CN9" s="1515"/>
      <c r="CO9" s="1515"/>
      <c r="CP9" s="1515"/>
      <c r="CQ9" s="1515"/>
      <c r="CR9" s="1515"/>
      <c r="CS9"/>
      <c r="CT9" s="1194"/>
      <c r="CU9"/>
      <c r="CV9" s="1563" t="s">
        <v>3</v>
      </c>
      <c r="CW9" s="1564"/>
      <c r="CX9" s="1564"/>
      <c r="CY9" s="1564"/>
      <c r="CZ9" s="1564"/>
      <c r="DA9" s="1564"/>
      <c r="DB9" s="1564"/>
      <c r="DC9" s="1564"/>
      <c r="DD9" s="1564"/>
      <c r="DE9" s="1564"/>
      <c r="DF9" s="1564"/>
      <c r="DG9" s="1565"/>
      <c r="DH9" s="1514" t="s">
        <v>3</v>
      </c>
      <c r="DI9" s="1515"/>
      <c r="DJ9" s="1515"/>
      <c r="DK9" s="1515"/>
      <c r="DL9" s="1515"/>
      <c r="DM9" s="1515"/>
      <c r="DN9" s="1515"/>
      <c r="DO9" s="1515"/>
      <c r="DP9" s="1515"/>
      <c r="DQ9" s="1515"/>
      <c r="DR9" s="1515"/>
      <c r="DS9" s="1515"/>
      <c r="DT9" s="1514" t="s">
        <v>3</v>
      </c>
      <c r="DU9" s="1515"/>
      <c r="DV9" s="1515"/>
      <c r="DW9" s="1515"/>
      <c r="DX9" s="1515"/>
      <c r="DY9" s="1515"/>
      <c r="DZ9" s="1515"/>
      <c r="EA9" s="1515"/>
      <c r="EB9" s="1515"/>
      <c r="EC9" s="1515"/>
      <c r="ED9" s="1515"/>
      <c r="EE9" s="1515"/>
    </row>
    <row r="10" spans="2:140" s="472" customFormat="1" ht="15" customHeight="1">
      <c r="B10" s="469" t="s">
        <v>1770</v>
      </c>
      <c r="C10" s="470" t="s">
        <v>1917</v>
      </c>
      <c r="D10" s="470"/>
      <c r="E10" s="470"/>
      <c r="F10" s="470"/>
      <c r="G10" s="470"/>
      <c r="H10" s="470"/>
      <c r="I10" s="470"/>
      <c r="J10" s="471"/>
      <c r="K10" s="1571" t="str">
        <f>Entry!L17</f>
        <v>-</v>
      </c>
      <c r="L10" s="1549"/>
      <c r="M10" s="1549"/>
      <c r="N10" s="1549"/>
      <c r="O10" s="1549"/>
      <c r="P10" s="1549"/>
      <c r="Q10" s="1549"/>
      <c r="R10" s="1549"/>
      <c r="S10" s="1549"/>
      <c r="T10" s="1549"/>
      <c r="U10" s="1549"/>
      <c r="V10" s="1572" t="s">
        <v>2541</v>
      </c>
      <c r="W10" s="1573"/>
      <c r="X10" s="1573"/>
      <c r="Y10" s="1573"/>
      <c r="Z10" s="1573"/>
      <c r="AA10" s="1573"/>
      <c r="AB10" s="1573"/>
      <c r="AC10" s="1573"/>
      <c r="AD10" s="1573"/>
      <c r="AE10" s="1573"/>
      <c r="AF10" s="1573"/>
      <c r="AG10" s="1574"/>
      <c r="AH10" s="1518" t="s">
        <v>2548</v>
      </c>
      <c r="AI10" s="1518"/>
      <c r="AJ10" s="1518"/>
      <c r="AK10" s="1518"/>
      <c r="AL10" s="1518"/>
      <c r="AM10" s="1518"/>
      <c r="AN10" s="1518"/>
      <c r="AO10" s="1518"/>
      <c r="AP10" s="1518"/>
      <c r="AQ10" s="1518"/>
      <c r="AR10" s="1518"/>
      <c r="AS10" s="1518"/>
      <c r="AT10" s="1518" t="s">
        <v>2550</v>
      </c>
      <c r="AU10" s="1518"/>
      <c r="AV10" s="1518"/>
      <c r="AW10" s="1518"/>
      <c r="AX10" s="1518"/>
      <c r="AY10" s="1518"/>
      <c r="AZ10" s="1518"/>
      <c r="BA10" s="1518"/>
      <c r="BB10" s="1518"/>
      <c r="BC10" s="1518"/>
      <c r="BD10" s="1518"/>
      <c r="BE10" s="1518"/>
      <c r="BG10" s="459"/>
      <c r="BI10" s="1572" t="s">
        <v>3</v>
      </c>
      <c r="BJ10" s="1573"/>
      <c r="BK10" s="1573"/>
      <c r="BL10" s="1573"/>
      <c r="BM10" s="1573"/>
      <c r="BN10" s="1573"/>
      <c r="BO10" s="1573"/>
      <c r="BP10" s="1573"/>
      <c r="BQ10" s="1573"/>
      <c r="BR10" s="1573"/>
      <c r="BS10" s="1573"/>
      <c r="BT10" s="1574"/>
      <c r="BU10" s="1518" t="s">
        <v>3</v>
      </c>
      <c r="BV10" s="1518"/>
      <c r="BW10" s="1518"/>
      <c r="BX10" s="1518"/>
      <c r="BY10" s="1518"/>
      <c r="BZ10" s="1518"/>
      <c r="CA10" s="1518"/>
      <c r="CB10" s="1518"/>
      <c r="CC10" s="1518"/>
      <c r="CD10" s="1518"/>
      <c r="CE10" s="1518"/>
      <c r="CF10" s="1518"/>
      <c r="CG10" s="1518" t="s">
        <v>3</v>
      </c>
      <c r="CH10" s="1518"/>
      <c r="CI10" s="1518"/>
      <c r="CJ10" s="1518"/>
      <c r="CK10" s="1518"/>
      <c r="CL10" s="1518"/>
      <c r="CM10" s="1518"/>
      <c r="CN10" s="1518"/>
      <c r="CO10" s="1518"/>
      <c r="CP10" s="1518"/>
      <c r="CQ10" s="1518"/>
      <c r="CR10" s="1518"/>
      <c r="CS10"/>
      <c r="CT10" s="1195"/>
      <c r="CU10"/>
      <c r="CV10" s="1572" t="s">
        <v>3</v>
      </c>
      <c r="CW10" s="1573"/>
      <c r="CX10" s="1573"/>
      <c r="CY10" s="1573"/>
      <c r="CZ10" s="1573"/>
      <c r="DA10" s="1573"/>
      <c r="DB10" s="1573"/>
      <c r="DC10" s="1573"/>
      <c r="DD10" s="1573"/>
      <c r="DE10" s="1573"/>
      <c r="DF10" s="1573"/>
      <c r="DG10" s="1574"/>
      <c r="DH10" s="1518" t="s">
        <v>3</v>
      </c>
      <c r="DI10" s="1518"/>
      <c r="DJ10" s="1518"/>
      <c r="DK10" s="1518"/>
      <c r="DL10" s="1518"/>
      <c r="DM10" s="1518"/>
      <c r="DN10" s="1518"/>
      <c r="DO10" s="1518"/>
      <c r="DP10" s="1518"/>
      <c r="DQ10" s="1518"/>
      <c r="DR10" s="1518"/>
      <c r="DS10" s="1518"/>
      <c r="DT10" s="1518" t="s">
        <v>3</v>
      </c>
      <c r="DU10" s="1518"/>
      <c r="DV10" s="1518"/>
      <c r="DW10" s="1518"/>
      <c r="DX10" s="1518"/>
      <c r="DY10" s="1518"/>
      <c r="DZ10" s="1518"/>
      <c r="EA10" s="1518"/>
      <c r="EB10" s="1518"/>
      <c r="EC10" s="1518"/>
      <c r="ED10" s="1518"/>
      <c r="EE10" s="1518"/>
    </row>
    <row r="11" spans="2:140" s="360" customFormat="1" ht="15" customHeight="1">
      <c r="B11" s="466" t="s">
        <v>1770</v>
      </c>
      <c r="C11" s="467" t="s">
        <v>1918</v>
      </c>
      <c r="D11" s="467"/>
      <c r="E11" s="467"/>
      <c r="F11" s="467"/>
      <c r="G11" s="467"/>
      <c r="H11" s="467"/>
      <c r="I11" s="467"/>
      <c r="J11" s="468"/>
      <c r="K11" s="1549" t="str">
        <f>Entry!L13</f>
        <v>Tanah, Bangunan Rumah Tinggal &amp; Sarana Pelengkap</v>
      </c>
      <c r="L11" s="1549"/>
      <c r="M11" s="1549"/>
      <c r="N11" s="1549"/>
      <c r="O11" s="1549"/>
      <c r="P11" s="1549"/>
      <c r="Q11" s="1549"/>
      <c r="R11" s="1549"/>
      <c r="S11" s="1549"/>
      <c r="T11" s="1549"/>
      <c r="U11" s="1549"/>
      <c r="V11" s="1563" t="s">
        <v>1974</v>
      </c>
      <c r="W11" s="1564"/>
      <c r="X11" s="1564"/>
      <c r="Y11" s="1564"/>
      <c r="Z11" s="1564"/>
      <c r="AA11" s="1564"/>
      <c r="AB11" s="1564"/>
      <c r="AC11" s="1564"/>
      <c r="AD11" s="1564"/>
      <c r="AE11" s="1564"/>
      <c r="AF11" s="1564"/>
      <c r="AG11" s="1565"/>
      <c r="AH11" s="1514" t="s">
        <v>1974</v>
      </c>
      <c r="AI11" s="1515"/>
      <c r="AJ11" s="1515"/>
      <c r="AK11" s="1515"/>
      <c r="AL11" s="1515"/>
      <c r="AM11" s="1515"/>
      <c r="AN11" s="1515"/>
      <c r="AO11" s="1515"/>
      <c r="AP11" s="1515"/>
      <c r="AQ11" s="1515"/>
      <c r="AR11" s="1515"/>
      <c r="AS11" s="1515"/>
      <c r="AT11" s="1514" t="s">
        <v>1974</v>
      </c>
      <c r="AU11" s="1515"/>
      <c r="AV11" s="1515"/>
      <c r="AW11" s="1515"/>
      <c r="AX11" s="1515"/>
      <c r="AY11" s="1515"/>
      <c r="AZ11" s="1515"/>
      <c r="BA11" s="1515"/>
      <c r="BB11" s="1515"/>
      <c r="BC11" s="1515"/>
      <c r="BD11" s="1515"/>
      <c r="BE11" s="1515"/>
      <c r="BG11" s="459"/>
      <c r="BI11" s="1563" t="s">
        <v>1827</v>
      </c>
      <c r="BJ11" s="1564"/>
      <c r="BK11" s="1564"/>
      <c r="BL11" s="1564"/>
      <c r="BM11" s="1564"/>
      <c r="BN11" s="1564"/>
      <c r="BO11" s="1564"/>
      <c r="BP11" s="1564"/>
      <c r="BQ11" s="1564"/>
      <c r="BR11" s="1564"/>
      <c r="BS11" s="1564"/>
      <c r="BT11" s="1565"/>
      <c r="BU11" s="1514" t="s">
        <v>1827</v>
      </c>
      <c r="BV11" s="1515"/>
      <c r="BW11" s="1515"/>
      <c r="BX11" s="1515"/>
      <c r="BY11" s="1515"/>
      <c r="BZ11" s="1515"/>
      <c r="CA11" s="1515"/>
      <c r="CB11" s="1515"/>
      <c r="CC11" s="1515"/>
      <c r="CD11" s="1515"/>
      <c r="CE11" s="1515"/>
      <c r="CF11" s="1515"/>
      <c r="CG11" s="1514" t="s">
        <v>1827</v>
      </c>
      <c r="CH11" s="1515"/>
      <c r="CI11" s="1515"/>
      <c r="CJ11" s="1515"/>
      <c r="CK11" s="1515"/>
      <c r="CL11" s="1515"/>
      <c r="CM11" s="1515"/>
      <c r="CN11" s="1515"/>
      <c r="CO11" s="1515"/>
      <c r="CP11" s="1515"/>
      <c r="CQ11" s="1515"/>
      <c r="CR11" s="1515"/>
      <c r="CS11"/>
      <c r="CT11" s="1194"/>
      <c r="CU11"/>
      <c r="CV11" s="1563" t="s">
        <v>1827</v>
      </c>
      <c r="CW11" s="1564"/>
      <c r="CX11" s="1564"/>
      <c r="CY11" s="1564"/>
      <c r="CZ11" s="1564"/>
      <c r="DA11" s="1564"/>
      <c r="DB11" s="1564"/>
      <c r="DC11" s="1564"/>
      <c r="DD11" s="1564"/>
      <c r="DE11" s="1564"/>
      <c r="DF11" s="1564"/>
      <c r="DG11" s="1565"/>
      <c r="DH11" s="1514" t="s">
        <v>1827</v>
      </c>
      <c r="DI11" s="1515"/>
      <c r="DJ11" s="1515"/>
      <c r="DK11" s="1515"/>
      <c r="DL11" s="1515"/>
      <c r="DM11" s="1515"/>
      <c r="DN11" s="1515"/>
      <c r="DO11" s="1515"/>
      <c r="DP11" s="1515"/>
      <c r="DQ11" s="1515"/>
      <c r="DR11" s="1515"/>
      <c r="DS11" s="1515"/>
      <c r="DT11" s="1514" t="s">
        <v>1827</v>
      </c>
      <c r="DU11" s="1515"/>
      <c r="DV11" s="1515"/>
      <c r="DW11" s="1515"/>
      <c r="DX11" s="1515"/>
      <c r="DY11" s="1515"/>
      <c r="DZ11" s="1515"/>
      <c r="EA11" s="1515"/>
      <c r="EB11" s="1515"/>
      <c r="EC11" s="1515"/>
      <c r="ED11" s="1515"/>
      <c r="EE11" s="1515"/>
    </row>
    <row r="12" spans="2:140" s="456" customFormat="1" ht="27" customHeight="1">
      <c r="B12" s="473" t="s">
        <v>1770</v>
      </c>
      <c r="C12" s="474" t="s">
        <v>1919</v>
      </c>
      <c r="D12" s="474"/>
      <c r="E12" s="474"/>
      <c r="F12" s="474"/>
      <c r="G12" s="474"/>
      <c r="H12" s="474"/>
      <c r="I12" s="474"/>
      <c r="J12" s="475"/>
      <c r="K12" s="1559" t="str">
        <f>Entry!L34</f>
        <v>Jl. ABCDE</v>
      </c>
      <c r="L12" s="1559"/>
      <c r="M12" s="1559"/>
      <c r="N12" s="1559"/>
      <c r="O12" s="1559"/>
      <c r="P12" s="1559"/>
      <c r="Q12" s="1559"/>
      <c r="R12" s="1559"/>
      <c r="S12" s="1559"/>
      <c r="T12" s="1559"/>
      <c r="U12" s="1559"/>
      <c r="V12" s="1560" t="s">
        <v>2510</v>
      </c>
      <c r="W12" s="1561"/>
      <c r="X12" s="1561"/>
      <c r="Y12" s="1561"/>
      <c r="Z12" s="1561"/>
      <c r="AA12" s="1561"/>
      <c r="AB12" s="1561"/>
      <c r="AC12" s="1561"/>
      <c r="AD12" s="1561"/>
      <c r="AE12" s="1561"/>
      <c r="AF12" s="1561"/>
      <c r="AG12" s="1562"/>
      <c r="AH12" s="1560" t="s">
        <v>2510</v>
      </c>
      <c r="AI12" s="1561"/>
      <c r="AJ12" s="1561"/>
      <c r="AK12" s="1561"/>
      <c r="AL12" s="1561"/>
      <c r="AM12" s="1561"/>
      <c r="AN12" s="1561"/>
      <c r="AO12" s="1561"/>
      <c r="AP12" s="1561"/>
      <c r="AQ12" s="1561"/>
      <c r="AR12" s="1561"/>
      <c r="AS12" s="1562"/>
      <c r="AT12" s="1560" t="s">
        <v>2510</v>
      </c>
      <c r="AU12" s="1561"/>
      <c r="AV12" s="1561"/>
      <c r="AW12" s="1561"/>
      <c r="AX12" s="1561"/>
      <c r="AY12" s="1561"/>
      <c r="AZ12" s="1561"/>
      <c r="BA12" s="1561"/>
      <c r="BB12" s="1561"/>
      <c r="BC12" s="1561"/>
      <c r="BD12" s="1561"/>
      <c r="BE12" s="1562"/>
      <c r="BG12" s="459"/>
      <c r="BI12" s="1560" t="s">
        <v>3</v>
      </c>
      <c r="BJ12" s="1561"/>
      <c r="BK12" s="1561"/>
      <c r="BL12" s="1561"/>
      <c r="BM12" s="1561"/>
      <c r="BN12" s="1561"/>
      <c r="BO12" s="1561"/>
      <c r="BP12" s="1561"/>
      <c r="BQ12" s="1561"/>
      <c r="BR12" s="1561"/>
      <c r="BS12" s="1561"/>
      <c r="BT12" s="1562"/>
      <c r="BU12" s="1566" t="s">
        <v>3</v>
      </c>
      <c r="BV12" s="1566"/>
      <c r="BW12" s="1566"/>
      <c r="BX12" s="1566"/>
      <c r="BY12" s="1566"/>
      <c r="BZ12" s="1566"/>
      <c r="CA12" s="1566"/>
      <c r="CB12" s="1566"/>
      <c r="CC12" s="1566"/>
      <c r="CD12" s="1566"/>
      <c r="CE12" s="1566"/>
      <c r="CF12" s="1566"/>
      <c r="CG12" s="1566" t="s">
        <v>3</v>
      </c>
      <c r="CH12" s="1566"/>
      <c r="CI12" s="1566"/>
      <c r="CJ12" s="1566"/>
      <c r="CK12" s="1566"/>
      <c r="CL12" s="1566"/>
      <c r="CM12" s="1566"/>
      <c r="CN12" s="1566"/>
      <c r="CO12" s="1566"/>
      <c r="CP12" s="1566"/>
      <c r="CQ12" s="1566"/>
      <c r="CR12" s="1566"/>
      <c r="CS12"/>
      <c r="CT12" s="1196"/>
      <c r="CU12"/>
      <c r="CV12" s="1560" t="s">
        <v>3</v>
      </c>
      <c r="CW12" s="1561"/>
      <c r="CX12" s="1561"/>
      <c r="CY12" s="1561"/>
      <c r="CZ12" s="1561"/>
      <c r="DA12" s="1561"/>
      <c r="DB12" s="1561"/>
      <c r="DC12" s="1561"/>
      <c r="DD12" s="1561"/>
      <c r="DE12" s="1561"/>
      <c r="DF12" s="1561"/>
      <c r="DG12" s="1562"/>
      <c r="DH12" s="1566" t="s">
        <v>3</v>
      </c>
      <c r="DI12" s="1566"/>
      <c r="DJ12" s="1566"/>
      <c r="DK12" s="1566"/>
      <c r="DL12" s="1566"/>
      <c r="DM12" s="1566"/>
      <c r="DN12" s="1566"/>
      <c r="DO12" s="1566"/>
      <c r="DP12" s="1566"/>
      <c r="DQ12" s="1566"/>
      <c r="DR12" s="1566"/>
      <c r="DS12" s="1566"/>
      <c r="DT12" s="1566" t="s">
        <v>3</v>
      </c>
      <c r="DU12" s="1566"/>
      <c r="DV12" s="1566"/>
      <c r="DW12" s="1566"/>
      <c r="DX12" s="1566"/>
      <c r="DY12" s="1566"/>
      <c r="DZ12" s="1566"/>
      <c r="EA12" s="1566"/>
      <c r="EB12" s="1566"/>
      <c r="EC12" s="1566"/>
      <c r="ED12" s="1566"/>
      <c r="EE12" s="1566"/>
    </row>
    <row r="13" spans="2:140" s="360" customFormat="1" ht="15" customHeight="1">
      <c r="B13" s="466" t="s">
        <v>1770</v>
      </c>
      <c r="C13" s="467" t="s">
        <v>1920</v>
      </c>
      <c r="D13" s="467"/>
      <c r="E13" s="467"/>
      <c r="F13" s="467"/>
      <c r="G13" s="467"/>
      <c r="H13" s="467"/>
      <c r="I13" s="467"/>
      <c r="J13" s="468"/>
      <c r="K13" s="1549"/>
      <c r="L13" s="1549"/>
      <c r="M13" s="1549"/>
      <c r="N13" s="1549"/>
      <c r="O13" s="1549"/>
      <c r="P13" s="1549"/>
      <c r="Q13" s="1549"/>
      <c r="R13" s="1549"/>
      <c r="S13" s="1549"/>
      <c r="T13" s="1549"/>
      <c r="U13" s="1549"/>
      <c r="V13" s="1556">
        <v>210</v>
      </c>
      <c r="W13" s="1557"/>
      <c r="X13" s="1557"/>
      <c r="Y13" s="1557"/>
      <c r="Z13" s="1557"/>
      <c r="AA13" s="1557"/>
      <c r="AB13" s="1557"/>
      <c r="AC13" s="1557"/>
      <c r="AD13" s="1557"/>
      <c r="AE13" s="1557"/>
      <c r="AF13" s="1557"/>
      <c r="AG13" s="1558"/>
      <c r="AH13" s="1521">
        <v>800</v>
      </c>
      <c r="AI13" s="1521"/>
      <c r="AJ13" s="1521"/>
      <c r="AK13" s="1521"/>
      <c r="AL13" s="1521"/>
      <c r="AM13" s="1521"/>
      <c r="AN13" s="1521"/>
      <c r="AO13" s="1521"/>
      <c r="AP13" s="1521"/>
      <c r="AQ13" s="1521"/>
      <c r="AR13" s="1521"/>
      <c r="AS13" s="1521"/>
      <c r="AT13" s="1521">
        <v>850</v>
      </c>
      <c r="AU13" s="1521"/>
      <c r="AV13" s="1521"/>
      <c r="AW13" s="1521"/>
      <c r="AX13" s="1521"/>
      <c r="AY13" s="1521"/>
      <c r="AZ13" s="1521"/>
      <c r="BA13" s="1521"/>
      <c r="BB13" s="1521"/>
      <c r="BC13" s="1521"/>
      <c r="BD13" s="1521"/>
      <c r="BE13" s="1521"/>
      <c r="BG13" s="459"/>
      <c r="BI13" s="1556">
        <v>0</v>
      </c>
      <c r="BJ13" s="1557"/>
      <c r="BK13" s="1557"/>
      <c r="BL13" s="1557"/>
      <c r="BM13" s="1557"/>
      <c r="BN13" s="1557"/>
      <c r="BO13" s="1557"/>
      <c r="BP13" s="1557"/>
      <c r="BQ13" s="1557"/>
      <c r="BR13" s="1557"/>
      <c r="BS13" s="1557"/>
      <c r="BT13" s="1558"/>
      <c r="BU13" s="1521">
        <v>0</v>
      </c>
      <c r="BV13" s="1521"/>
      <c r="BW13" s="1521"/>
      <c r="BX13" s="1521"/>
      <c r="BY13" s="1521"/>
      <c r="BZ13" s="1521"/>
      <c r="CA13" s="1521"/>
      <c r="CB13" s="1521"/>
      <c r="CC13" s="1521"/>
      <c r="CD13" s="1521"/>
      <c r="CE13" s="1521"/>
      <c r="CF13" s="1521"/>
      <c r="CG13" s="1521">
        <v>0</v>
      </c>
      <c r="CH13" s="1521"/>
      <c r="CI13" s="1521"/>
      <c r="CJ13" s="1521"/>
      <c r="CK13" s="1521"/>
      <c r="CL13" s="1521"/>
      <c r="CM13" s="1521"/>
      <c r="CN13" s="1521"/>
      <c r="CO13" s="1521"/>
      <c r="CP13" s="1521"/>
      <c r="CQ13" s="1521"/>
      <c r="CR13" s="1521"/>
      <c r="CS13"/>
      <c r="CT13" s="1197"/>
      <c r="CU13"/>
      <c r="CV13" s="1556">
        <v>0</v>
      </c>
      <c r="CW13" s="1557"/>
      <c r="CX13" s="1557"/>
      <c r="CY13" s="1557"/>
      <c r="CZ13" s="1557"/>
      <c r="DA13" s="1557"/>
      <c r="DB13" s="1557"/>
      <c r="DC13" s="1557"/>
      <c r="DD13" s="1557"/>
      <c r="DE13" s="1557"/>
      <c r="DF13" s="1557"/>
      <c r="DG13" s="1558"/>
      <c r="DH13" s="1521">
        <v>0</v>
      </c>
      <c r="DI13" s="1521"/>
      <c r="DJ13" s="1521"/>
      <c r="DK13" s="1521"/>
      <c r="DL13" s="1521"/>
      <c r="DM13" s="1521"/>
      <c r="DN13" s="1521"/>
      <c r="DO13" s="1521"/>
      <c r="DP13" s="1521"/>
      <c r="DQ13" s="1521"/>
      <c r="DR13" s="1521"/>
      <c r="DS13" s="1521"/>
      <c r="DT13" s="1521">
        <v>0</v>
      </c>
      <c r="DU13" s="1521"/>
      <c r="DV13" s="1521"/>
      <c r="DW13" s="1521"/>
      <c r="DX13" s="1521"/>
      <c r="DY13" s="1521"/>
      <c r="DZ13" s="1521"/>
      <c r="EA13" s="1521"/>
      <c r="EB13" s="1521"/>
      <c r="EC13" s="1521"/>
      <c r="ED13" s="1521"/>
      <c r="EE13" s="1521"/>
    </row>
    <row r="14" spans="2:140" s="360" customFormat="1" ht="15" customHeight="1">
      <c r="B14" s="466" t="s">
        <v>1770</v>
      </c>
      <c r="C14" s="467" t="s">
        <v>1921</v>
      </c>
      <c r="D14" s="467"/>
      <c r="E14" s="467"/>
      <c r="F14" s="467"/>
      <c r="G14" s="467"/>
      <c r="H14" s="467"/>
      <c r="I14" s="467"/>
      <c r="J14" s="468"/>
      <c r="K14" s="1549"/>
      <c r="L14" s="1549"/>
      <c r="M14" s="1549"/>
      <c r="N14" s="1549"/>
      <c r="O14" s="1549"/>
      <c r="P14" s="1549"/>
      <c r="Q14" s="1549"/>
      <c r="R14" s="1549"/>
      <c r="S14" s="1549"/>
      <c r="T14" s="1549"/>
      <c r="U14" s="1549"/>
      <c r="V14" s="1553">
        <f>300*5000000</f>
        <v>1500000000</v>
      </c>
      <c r="W14" s="1554"/>
      <c r="X14" s="1554"/>
      <c r="Y14" s="1554"/>
      <c r="Z14" s="1554"/>
      <c r="AA14" s="1554"/>
      <c r="AB14" s="1554"/>
      <c r="AC14" s="1554"/>
      <c r="AD14" s="1554"/>
      <c r="AE14" s="1554"/>
      <c r="AF14" s="1554"/>
      <c r="AG14" s="1555"/>
      <c r="AH14" s="1500">
        <v>3000000000</v>
      </c>
      <c r="AI14" s="1500"/>
      <c r="AJ14" s="1500"/>
      <c r="AK14" s="1500"/>
      <c r="AL14" s="1500"/>
      <c r="AM14" s="1500"/>
      <c r="AN14" s="1500"/>
      <c r="AO14" s="1500"/>
      <c r="AP14" s="1500"/>
      <c r="AQ14" s="1500"/>
      <c r="AR14" s="1500"/>
      <c r="AS14" s="1500"/>
      <c r="AT14" s="1500">
        <v>3500000000</v>
      </c>
      <c r="AU14" s="1500"/>
      <c r="AV14" s="1500"/>
      <c r="AW14" s="1500"/>
      <c r="AX14" s="1500"/>
      <c r="AY14" s="1500"/>
      <c r="AZ14" s="1500"/>
      <c r="BA14" s="1500"/>
      <c r="BB14" s="1500"/>
      <c r="BC14" s="1500"/>
      <c r="BD14" s="1500"/>
      <c r="BE14" s="1500"/>
      <c r="BG14" s="459"/>
      <c r="BI14" s="1553">
        <v>0</v>
      </c>
      <c r="BJ14" s="1554"/>
      <c r="BK14" s="1554"/>
      <c r="BL14" s="1554"/>
      <c r="BM14" s="1554"/>
      <c r="BN14" s="1554"/>
      <c r="BO14" s="1554"/>
      <c r="BP14" s="1554"/>
      <c r="BQ14" s="1554"/>
      <c r="BR14" s="1554"/>
      <c r="BS14" s="1554"/>
      <c r="BT14" s="1555"/>
      <c r="BU14" s="1500">
        <v>0</v>
      </c>
      <c r="BV14" s="1500"/>
      <c r="BW14" s="1500"/>
      <c r="BX14" s="1500"/>
      <c r="BY14" s="1500"/>
      <c r="BZ14" s="1500"/>
      <c r="CA14" s="1500"/>
      <c r="CB14" s="1500"/>
      <c r="CC14" s="1500"/>
      <c r="CD14" s="1500"/>
      <c r="CE14" s="1500"/>
      <c r="CF14" s="1500"/>
      <c r="CG14" s="1500">
        <v>0</v>
      </c>
      <c r="CH14" s="1500"/>
      <c r="CI14" s="1500"/>
      <c r="CJ14" s="1500"/>
      <c r="CK14" s="1500"/>
      <c r="CL14" s="1500"/>
      <c r="CM14" s="1500"/>
      <c r="CN14" s="1500"/>
      <c r="CO14" s="1500"/>
      <c r="CP14" s="1500"/>
      <c r="CQ14" s="1500"/>
      <c r="CR14" s="1500"/>
      <c r="CS14"/>
      <c r="CT14" s="1198"/>
      <c r="CU14"/>
      <c r="CV14" s="1553">
        <v>0</v>
      </c>
      <c r="CW14" s="1554"/>
      <c r="CX14" s="1554"/>
      <c r="CY14" s="1554"/>
      <c r="CZ14" s="1554"/>
      <c r="DA14" s="1554"/>
      <c r="DB14" s="1554"/>
      <c r="DC14" s="1554"/>
      <c r="DD14" s="1554"/>
      <c r="DE14" s="1554"/>
      <c r="DF14" s="1554"/>
      <c r="DG14" s="1555"/>
      <c r="DH14" s="1500">
        <v>0</v>
      </c>
      <c r="DI14" s="1500"/>
      <c r="DJ14" s="1500"/>
      <c r="DK14" s="1500"/>
      <c r="DL14" s="1500"/>
      <c r="DM14" s="1500"/>
      <c r="DN14" s="1500"/>
      <c r="DO14" s="1500"/>
      <c r="DP14" s="1500"/>
      <c r="DQ14" s="1500"/>
      <c r="DR14" s="1500"/>
      <c r="DS14" s="1500"/>
      <c r="DT14" s="1500">
        <v>0</v>
      </c>
      <c r="DU14" s="1500"/>
      <c r="DV14" s="1500"/>
      <c r="DW14" s="1500"/>
      <c r="DX14" s="1500"/>
      <c r="DY14" s="1500"/>
      <c r="DZ14" s="1500"/>
      <c r="EA14" s="1500"/>
      <c r="EB14" s="1500"/>
      <c r="EC14" s="1500"/>
      <c r="ED14" s="1500"/>
      <c r="EE14" s="1500"/>
    </row>
    <row r="15" spans="2:140" s="360" customFormat="1" ht="15" customHeight="1">
      <c r="B15" s="466" t="s">
        <v>1770</v>
      </c>
      <c r="C15" s="467" t="s">
        <v>1922</v>
      </c>
      <c r="D15" s="467"/>
      <c r="E15" s="467"/>
      <c r="F15" s="467"/>
      <c r="G15" s="467"/>
      <c r="H15" s="467"/>
      <c r="I15" s="467"/>
      <c r="J15" s="468"/>
      <c r="K15" s="1549"/>
      <c r="L15" s="1549"/>
      <c r="M15" s="1549"/>
      <c r="N15" s="1549"/>
      <c r="O15" s="1549"/>
      <c r="P15" s="1549"/>
      <c r="Q15" s="1549"/>
      <c r="R15" s="1549"/>
      <c r="S15" s="1549"/>
      <c r="T15" s="1549"/>
      <c r="U15" s="1549"/>
      <c r="V15" s="1550">
        <v>0.1</v>
      </c>
      <c r="W15" s="1551"/>
      <c r="X15" s="1551"/>
      <c r="Y15" s="1551"/>
      <c r="Z15" s="1551"/>
      <c r="AA15" s="1551"/>
      <c r="AB15" s="1551"/>
      <c r="AC15" s="1551"/>
      <c r="AD15" s="1551"/>
      <c r="AE15" s="1551"/>
      <c r="AF15" s="1551"/>
      <c r="AG15" s="1552"/>
      <c r="AH15" s="1548">
        <v>0.1</v>
      </c>
      <c r="AI15" s="1548"/>
      <c r="AJ15" s="1548"/>
      <c r="AK15" s="1548"/>
      <c r="AL15" s="1548"/>
      <c r="AM15" s="1548"/>
      <c r="AN15" s="1548"/>
      <c r="AO15" s="1548"/>
      <c r="AP15" s="1548"/>
      <c r="AQ15" s="1548"/>
      <c r="AR15" s="1548"/>
      <c r="AS15" s="1548"/>
      <c r="AT15" s="1548">
        <v>0.1</v>
      </c>
      <c r="AU15" s="1548"/>
      <c r="AV15" s="1548"/>
      <c r="AW15" s="1548"/>
      <c r="AX15" s="1548"/>
      <c r="AY15" s="1548"/>
      <c r="AZ15" s="1548"/>
      <c r="BA15" s="1548"/>
      <c r="BB15" s="1548"/>
      <c r="BC15" s="1548"/>
      <c r="BD15" s="1548"/>
      <c r="BE15" s="1548"/>
      <c r="BG15" s="459"/>
      <c r="BI15" s="1550">
        <v>0</v>
      </c>
      <c r="BJ15" s="1551"/>
      <c r="BK15" s="1551"/>
      <c r="BL15" s="1551"/>
      <c r="BM15" s="1551"/>
      <c r="BN15" s="1551"/>
      <c r="BO15" s="1551"/>
      <c r="BP15" s="1551"/>
      <c r="BQ15" s="1551"/>
      <c r="BR15" s="1551"/>
      <c r="BS15" s="1551"/>
      <c r="BT15" s="1552"/>
      <c r="BU15" s="1548">
        <v>0</v>
      </c>
      <c r="BV15" s="1548"/>
      <c r="BW15" s="1548"/>
      <c r="BX15" s="1548"/>
      <c r="BY15" s="1548"/>
      <c r="BZ15" s="1548"/>
      <c r="CA15" s="1548"/>
      <c r="CB15" s="1548"/>
      <c r="CC15" s="1548"/>
      <c r="CD15" s="1548"/>
      <c r="CE15" s="1548"/>
      <c r="CF15" s="1548"/>
      <c r="CG15" s="1548">
        <v>0</v>
      </c>
      <c r="CH15" s="1548"/>
      <c r="CI15" s="1548"/>
      <c r="CJ15" s="1548"/>
      <c r="CK15" s="1548"/>
      <c r="CL15" s="1548"/>
      <c r="CM15" s="1548"/>
      <c r="CN15" s="1548"/>
      <c r="CO15" s="1548"/>
      <c r="CP15" s="1548"/>
      <c r="CQ15" s="1548"/>
      <c r="CR15" s="1548"/>
      <c r="CS15"/>
      <c r="CT15" s="1199"/>
      <c r="CU15"/>
      <c r="CV15" s="1550">
        <v>0</v>
      </c>
      <c r="CW15" s="1551"/>
      <c r="CX15" s="1551"/>
      <c r="CY15" s="1551"/>
      <c r="CZ15" s="1551"/>
      <c r="DA15" s="1551"/>
      <c r="DB15" s="1551"/>
      <c r="DC15" s="1551"/>
      <c r="DD15" s="1551"/>
      <c r="DE15" s="1551"/>
      <c r="DF15" s="1551"/>
      <c r="DG15" s="1552"/>
      <c r="DH15" s="1548">
        <v>0</v>
      </c>
      <c r="DI15" s="1548"/>
      <c r="DJ15" s="1548"/>
      <c r="DK15" s="1548"/>
      <c r="DL15" s="1548"/>
      <c r="DM15" s="1548"/>
      <c r="DN15" s="1548"/>
      <c r="DO15" s="1548"/>
      <c r="DP15" s="1548"/>
      <c r="DQ15" s="1548"/>
      <c r="DR15" s="1548"/>
      <c r="DS15" s="1548"/>
      <c r="DT15" s="1548">
        <v>0</v>
      </c>
      <c r="DU15" s="1548"/>
      <c r="DV15" s="1548"/>
      <c r="DW15" s="1548"/>
      <c r="DX15" s="1548"/>
      <c r="DY15" s="1548"/>
      <c r="DZ15" s="1548"/>
      <c r="EA15" s="1548"/>
      <c r="EB15" s="1548"/>
      <c r="EC15" s="1548"/>
      <c r="ED15" s="1548"/>
      <c r="EE15" s="1548"/>
    </row>
    <row r="16" spans="2:140" s="360" customFormat="1" ht="15" customHeight="1">
      <c r="B16" s="466" t="s">
        <v>1770</v>
      </c>
      <c r="C16" s="467" t="s">
        <v>1923</v>
      </c>
      <c r="D16" s="467"/>
      <c r="E16" s="467"/>
      <c r="F16" s="467"/>
      <c r="G16" s="467"/>
      <c r="H16" s="467"/>
      <c r="I16" s="467"/>
      <c r="J16" s="468"/>
      <c r="K16" s="1549"/>
      <c r="L16" s="1549"/>
      <c r="M16" s="1549"/>
      <c r="N16" s="1549"/>
      <c r="O16" s="1549"/>
      <c r="P16" s="1549"/>
      <c r="Q16" s="1549"/>
      <c r="R16" s="1549"/>
      <c r="S16" s="1549"/>
      <c r="T16" s="1549"/>
      <c r="U16" s="1549"/>
      <c r="V16" s="1499">
        <f>V14*(1-V15)</f>
        <v>1350000000</v>
      </c>
      <c r="W16" s="1499"/>
      <c r="X16" s="1499"/>
      <c r="Y16" s="1499"/>
      <c r="Z16" s="1499"/>
      <c r="AA16" s="1499"/>
      <c r="AB16" s="1499"/>
      <c r="AC16" s="1499"/>
      <c r="AD16" s="1499"/>
      <c r="AE16" s="1499"/>
      <c r="AF16" s="1499"/>
      <c r="AG16" s="1499"/>
      <c r="AH16" s="1499">
        <f>AH14*(1-AH15)</f>
        <v>2700000000</v>
      </c>
      <c r="AI16" s="1499"/>
      <c r="AJ16" s="1499"/>
      <c r="AK16" s="1499"/>
      <c r="AL16" s="1499"/>
      <c r="AM16" s="1499"/>
      <c r="AN16" s="1499"/>
      <c r="AO16" s="1499"/>
      <c r="AP16" s="1499"/>
      <c r="AQ16" s="1499"/>
      <c r="AR16" s="1499"/>
      <c r="AS16" s="1499"/>
      <c r="AT16" s="1499">
        <f>AT14*(1-AT15)</f>
        <v>3150000000</v>
      </c>
      <c r="AU16" s="1499"/>
      <c r="AV16" s="1499"/>
      <c r="AW16" s="1499"/>
      <c r="AX16" s="1499"/>
      <c r="AY16" s="1499"/>
      <c r="AZ16" s="1499"/>
      <c r="BA16" s="1499"/>
      <c r="BB16" s="1499"/>
      <c r="BC16" s="1499"/>
      <c r="BD16" s="1499"/>
      <c r="BE16" s="1499"/>
      <c r="BG16" s="459"/>
      <c r="BI16" s="1499">
        <f>BI14*(1-BI15)</f>
        <v>0</v>
      </c>
      <c r="BJ16" s="1499"/>
      <c r="BK16" s="1499"/>
      <c r="BL16" s="1499"/>
      <c r="BM16" s="1499"/>
      <c r="BN16" s="1499"/>
      <c r="BO16" s="1499"/>
      <c r="BP16" s="1499"/>
      <c r="BQ16" s="1499"/>
      <c r="BR16" s="1499"/>
      <c r="BS16" s="1499"/>
      <c r="BT16" s="1499"/>
      <c r="BU16" s="1499">
        <f>BU14*(1-BU15)</f>
        <v>0</v>
      </c>
      <c r="BV16" s="1499"/>
      <c r="BW16" s="1499"/>
      <c r="BX16" s="1499"/>
      <c r="BY16" s="1499"/>
      <c r="BZ16" s="1499"/>
      <c r="CA16" s="1499"/>
      <c r="CB16" s="1499"/>
      <c r="CC16" s="1499"/>
      <c r="CD16" s="1499"/>
      <c r="CE16" s="1499"/>
      <c r="CF16" s="1499"/>
      <c r="CG16" s="1499">
        <f>CG14*(1-CG15)</f>
        <v>0</v>
      </c>
      <c r="CH16" s="1499"/>
      <c r="CI16" s="1499"/>
      <c r="CJ16" s="1499"/>
      <c r="CK16" s="1499"/>
      <c r="CL16" s="1499"/>
      <c r="CM16" s="1499"/>
      <c r="CN16" s="1499"/>
      <c r="CO16" s="1499"/>
      <c r="CP16" s="1499"/>
      <c r="CQ16" s="1499"/>
      <c r="CR16" s="1499"/>
      <c r="CS16"/>
      <c r="CT16" s="1200"/>
      <c r="CU16"/>
      <c r="CV16" s="1499">
        <f>CV14*(1-CV15)</f>
        <v>0</v>
      </c>
      <c r="CW16" s="1499"/>
      <c r="CX16" s="1499"/>
      <c r="CY16" s="1499"/>
      <c r="CZ16" s="1499"/>
      <c r="DA16" s="1499"/>
      <c r="DB16" s="1499"/>
      <c r="DC16" s="1499"/>
      <c r="DD16" s="1499"/>
      <c r="DE16" s="1499"/>
      <c r="DF16" s="1499"/>
      <c r="DG16" s="1499"/>
      <c r="DH16" s="1499">
        <f>DH14*(1-DH15)</f>
        <v>0</v>
      </c>
      <c r="DI16" s="1499"/>
      <c r="DJ16" s="1499"/>
      <c r="DK16" s="1499"/>
      <c r="DL16" s="1499"/>
      <c r="DM16" s="1499"/>
      <c r="DN16" s="1499"/>
      <c r="DO16" s="1499"/>
      <c r="DP16" s="1499"/>
      <c r="DQ16" s="1499"/>
      <c r="DR16" s="1499"/>
      <c r="DS16" s="1499"/>
      <c r="DT16" s="1499">
        <f>DT14*(1-DT15)</f>
        <v>0</v>
      </c>
      <c r="DU16" s="1499"/>
      <c r="DV16" s="1499"/>
      <c r="DW16" s="1499"/>
      <c r="DX16" s="1499"/>
      <c r="DY16" s="1499"/>
      <c r="DZ16" s="1499"/>
      <c r="EA16" s="1499"/>
      <c r="EB16" s="1499"/>
      <c r="EC16" s="1499"/>
      <c r="ED16" s="1499"/>
      <c r="EE16" s="1499"/>
    </row>
    <row r="17" spans="1:135" s="456" customFormat="1" ht="15" customHeight="1">
      <c r="B17" s="466" t="s">
        <v>1770</v>
      </c>
      <c r="C17" s="474" t="s">
        <v>1924</v>
      </c>
      <c r="D17" s="474"/>
      <c r="E17" s="474"/>
      <c r="F17" s="474"/>
      <c r="G17" s="474"/>
      <c r="H17" s="474"/>
      <c r="I17" s="474"/>
      <c r="J17" s="475"/>
      <c r="K17" s="1547"/>
      <c r="L17" s="1547"/>
      <c r="M17" s="1547"/>
      <c r="N17" s="1547"/>
      <c r="O17" s="1547"/>
      <c r="P17" s="1547"/>
      <c r="Q17" s="1547"/>
      <c r="R17" s="1547"/>
      <c r="S17" s="1547"/>
      <c r="T17" s="1547"/>
      <c r="U17" s="1547"/>
      <c r="V17" s="1542" t="s">
        <v>2542</v>
      </c>
      <c r="W17" s="1542"/>
      <c r="X17" s="1542"/>
      <c r="Y17" s="1542"/>
      <c r="Z17" s="1542"/>
      <c r="AA17" s="1542"/>
      <c r="AB17" s="1542"/>
      <c r="AC17" s="1542"/>
      <c r="AD17" s="1542"/>
      <c r="AE17" s="1542"/>
      <c r="AF17" s="1542"/>
      <c r="AG17" s="1542"/>
      <c r="AH17" s="1542" t="s">
        <v>2542</v>
      </c>
      <c r="AI17" s="1542"/>
      <c r="AJ17" s="1542"/>
      <c r="AK17" s="1542"/>
      <c r="AL17" s="1542"/>
      <c r="AM17" s="1542"/>
      <c r="AN17" s="1542"/>
      <c r="AO17" s="1542"/>
      <c r="AP17" s="1542"/>
      <c r="AQ17" s="1542"/>
      <c r="AR17" s="1542"/>
      <c r="AS17" s="1542"/>
      <c r="AT17" s="1542" t="s">
        <v>2542</v>
      </c>
      <c r="AU17" s="1542"/>
      <c r="AV17" s="1542"/>
      <c r="AW17" s="1542"/>
      <c r="AX17" s="1542"/>
      <c r="AY17" s="1542"/>
      <c r="AZ17" s="1542"/>
      <c r="BA17" s="1542"/>
      <c r="BB17" s="1542"/>
      <c r="BC17" s="1542"/>
      <c r="BD17" s="1542"/>
      <c r="BE17" s="1542"/>
      <c r="BG17" s="459"/>
      <c r="BI17" s="1542" t="s">
        <v>3</v>
      </c>
      <c r="BJ17" s="1542"/>
      <c r="BK17" s="1542"/>
      <c r="BL17" s="1542"/>
      <c r="BM17" s="1542"/>
      <c r="BN17" s="1542"/>
      <c r="BO17" s="1542"/>
      <c r="BP17" s="1542"/>
      <c r="BQ17" s="1542"/>
      <c r="BR17" s="1542"/>
      <c r="BS17" s="1542"/>
      <c r="BT17" s="1542"/>
      <c r="BU17" s="1542" t="s">
        <v>3</v>
      </c>
      <c r="BV17" s="1542"/>
      <c r="BW17" s="1542"/>
      <c r="BX17" s="1542"/>
      <c r="BY17" s="1542"/>
      <c r="BZ17" s="1542"/>
      <c r="CA17" s="1542"/>
      <c r="CB17" s="1542"/>
      <c r="CC17" s="1542"/>
      <c r="CD17" s="1542"/>
      <c r="CE17" s="1542"/>
      <c r="CF17" s="1542"/>
      <c r="CG17" s="1542" t="s">
        <v>3</v>
      </c>
      <c r="CH17" s="1542"/>
      <c r="CI17" s="1542"/>
      <c r="CJ17" s="1542"/>
      <c r="CK17" s="1542"/>
      <c r="CL17" s="1542"/>
      <c r="CM17" s="1542"/>
      <c r="CN17" s="1542"/>
      <c r="CO17" s="1542"/>
      <c r="CP17" s="1542"/>
      <c r="CQ17" s="1542"/>
      <c r="CR17" s="1542"/>
      <c r="CS17"/>
      <c r="CT17" s="1201"/>
      <c r="CU17"/>
      <c r="CV17" s="1542" t="s">
        <v>3</v>
      </c>
      <c r="CW17" s="1542"/>
      <c r="CX17" s="1542"/>
      <c r="CY17" s="1542"/>
      <c r="CZ17" s="1542"/>
      <c r="DA17" s="1542"/>
      <c r="DB17" s="1542"/>
      <c r="DC17" s="1542"/>
      <c r="DD17" s="1542"/>
      <c r="DE17" s="1542"/>
      <c r="DF17" s="1542"/>
      <c r="DG17" s="1542"/>
      <c r="DH17" s="1542" t="s">
        <v>3</v>
      </c>
      <c r="DI17" s="1542"/>
      <c r="DJ17" s="1542"/>
      <c r="DK17" s="1542"/>
      <c r="DL17" s="1542"/>
      <c r="DM17" s="1542"/>
      <c r="DN17" s="1542"/>
      <c r="DO17" s="1542"/>
      <c r="DP17" s="1542"/>
      <c r="DQ17" s="1542"/>
      <c r="DR17" s="1542"/>
      <c r="DS17" s="1542"/>
      <c r="DT17" s="1542" t="s">
        <v>3</v>
      </c>
      <c r="DU17" s="1542"/>
      <c r="DV17" s="1542"/>
      <c r="DW17" s="1542"/>
      <c r="DX17" s="1542"/>
      <c r="DY17" s="1542"/>
      <c r="DZ17" s="1542"/>
      <c r="EA17" s="1542"/>
      <c r="EB17" s="1542"/>
      <c r="EC17" s="1542"/>
      <c r="ED17" s="1542"/>
      <c r="EE17" s="1542"/>
    </row>
    <row r="18" spans="1:135" s="360" customFormat="1" ht="15.95" customHeight="1">
      <c r="B18" s="1543" t="s">
        <v>1925</v>
      </c>
      <c r="C18" s="1544"/>
      <c r="D18" s="1544"/>
      <c r="E18" s="1544"/>
      <c r="F18" s="1544"/>
      <c r="G18" s="1544"/>
      <c r="H18" s="1544"/>
      <c r="I18" s="1544"/>
      <c r="J18" s="1544"/>
      <c r="K18" s="1545"/>
      <c r="L18" s="1545"/>
      <c r="M18" s="1545"/>
      <c r="N18" s="1545"/>
      <c r="O18" s="1545"/>
      <c r="P18" s="1545"/>
      <c r="Q18" s="1545"/>
      <c r="R18" s="1545"/>
      <c r="S18" s="1545"/>
      <c r="T18" s="1545"/>
      <c r="U18" s="1545"/>
      <c r="V18" s="1545"/>
      <c r="W18" s="1545"/>
      <c r="X18" s="1545"/>
      <c r="Y18" s="1545"/>
      <c r="Z18" s="1545"/>
      <c r="AA18" s="1545"/>
      <c r="AB18" s="1545"/>
      <c r="AC18" s="1545"/>
      <c r="AD18" s="1545"/>
      <c r="AE18" s="1545"/>
      <c r="AF18" s="1545"/>
      <c r="AG18" s="1546"/>
      <c r="AH18" s="1545"/>
      <c r="AI18" s="1545"/>
      <c r="AJ18" s="1545"/>
      <c r="AK18" s="1545"/>
      <c r="AL18" s="1545"/>
      <c r="AM18" s="1545"/>
      <c r="AN18" s="1545"/>
      <c r="AO18" s="1545"/>
      <c r="AP18" s="1545"/>
      <c r="AQ18" s="1545"/>
      <c r="AR18" s="1545"/>
      <c r="AS18" s="1546"/>
      <c r="AT18" s="1545"/>
      <c r="AU18" s="1545"/>
      <c r="AV18" s="1545"/>
      <c r="AW18" s="1545"/>
      <c r="AX18" s="1545"/>
      <c r="AY18" s="1545"/>
      <c r="AZ18" s="1545"/>
      <c r="BA18" s="1545"/>
      <c r="BB18" s="1545"/>
      <c r="BC18" s="1545"/>
      <c r="BD18" s="1545"/>
      <c r="BE18" s="1546"/>
      <c r="BG18" s="459"/>
      <c r="BI18" s="1545"/>
      <c r="BJ18" s="1545"/>
      <c r="BK18" s="1545"/>
      <c r="BL18" s="1545"/>
      <c r="BM18" s="1545"/>
      <c r="BN18" s="1545"/>
      <c r="BO18" s="1545"/>
      <c r="BP18" s="1545"/>
      <c r="BQ18" s="1545"/>
      <c r="BR18" s="1545"/>
      <c r="BS18" s="1545"/>
      <c r="BT18" s="1546"/>
      <c r="BU18" s="1545"/>
      <c r="BV18" s="1545"/>
      <c r="BW18" s="1545"/>
      <c r="BX18" s="1545"/>
      <c r="BY18" s="1545"/>
      <c r="BZ18" s="1545"/>
      <c r="CA18" s="1545"/>
      <c r="CB18" s="1545"/>
      <c r="CC18" s="1545"/>
      <c r="CD18" s="1545"/>
      <c r="CE18" s="1545"/>
      <c r="CF18" s="1546"/>
      <c r="CG18" s="1545"/>
      <c r="CH18" s="1545"/>
      <c r="CI18" s="1545"/>
      <c r="CJ18" s="1545"/>
      <c r="CK18" s="1545"/>
      <c r="CL18" s="1545"/>
      <c r="CM18" s="1545"/>
      <c r="CN18" s="1545"/>
      <c r="CO18" s="1545"/>
      <c r="CP18" s="1545"/>
      <c r="CQ18" s="1545"/>
      <c r="CR18" s="1546"/>
      <c r="CS18"/>
      <c r="CT18" s="1193"/>
      <c r="CU18"/>
      <c r="CV18" s="1545"/>
      <c r="CW18" s="1545"/>
      <c r="CX18" s="1545"/>
      <c r="CY18" s="1545"/>
      <c r="CZ18" s="1545"/>
      <c r="DA18" s="1545"/>
      <c r="DB18" s="1545"/>
      <c r="DC18" s="1545"/>
      <c r="DD18" s="1545"/>
      <c r="DE18" s="1545"/>
      <c r="DF18" s="1545"/>
      <c r="DG18" s="1546"/>
      <c r="DH18" s="1545"/>
      <c r="DI18" s="1545"/>
      <c r="DJ18" s="1545"/>
      <c r="DK18" s="1545"/>
      <c r="DL18" s="1545"/>
      <c r="DM18" s="1545"/>
      <c r="DN18" s="1545"/>
      <c r="DO18" s="1545"/>
      <c r="DP18" s="1545"/>
      <c r="DQ18" s="1545"/>
      <c r="DR18" s="1545"/>
      <c r="DS18" s="1546"/>
      <c r="DT18" s="1545"/>
      <c r="DU18" s="1545"/>
      <c r="DV18" s="1545"/>
      <c r="DW18" s="1545"/>
      <c r="DX18" s="1545"/>
      <c r="DY18" s="1545"/>
      <c r="DZ18" s="1545"/>
      <c r="EA18" s="1545"/>
      <c r="EB18" s="1545"/>
      <c r="EC18" s="1545"/>
      <c r="ED18" s="1545"/>
      <c r="EE18" s="1546"/>
    </row>
    <row r="19" spans="1:135" s="360" customFormat="1" ht="15" customHeight="1">
      <c r="B19" s="466" t="s">
        <v>1770</v>
      </c>
      <c r="C19" s="467" t="s">
        <v>1926</v>
      </c>
      <c r="D19" s="467"/>
      <c r="E19" s="467"/>
      <c r="F19" s="467"/>
      <c r="G19" s="467"/>
      <c r="H19" s="467"/>
      <c r="I19" s="467"/>
      <c r="J19" s="468"/>
      <c r="K19" s="1541" t="str">
        <f>Tnh!E105</f>
        <v>Hak Milik</v>
      </c>
      <c r="L19" s="1516"/>
      <c r="M19" s="1516"/>
      <c r="N19" s="1516"/>
      <c r="O19" s="1516"/>
      <c r="P19" s="1516"/>
      <c r="Q19" s="1516"/>
      <c r="R19" s="1516"/>
      <c r="S19" s="1516"/>
      <c r="T19" s="1516"/>
      <c r="U19" s="1516"/>
      <c r="V19" s="1517" t="s">
        <v>2543</v>
      </c>
      <c r="W19" s="1518"/>
      <c r="X19" s="1518"/>
      <c r="Y19" s="1518"/>
      <c r="Z19" s="1518"/>
      <c r="AA19" s="1518"/>
      <c r="AB19" s="1518"/>
      <c r="AC19" s="1518"/>
      <c r="AD19" s="1518"/>
      <c r="AE19" s="1518"/>
      <c r="AF19" s="1518"/>
      <c r="AG19" s="1518"/>
      <c r="AH19" s="1517" t="s">
        <v>2543</v>
      </c>
      <c r="AI19" s="1518"/>
      <c r="AJ19" s="1518"/>
      <c r="AK19" s="1518"/>
      <c r="AL19" s="1518"/>
      <c r="AM19" s="1518"/>
      <c r="AN19" s="1518"/>
      <c r="AO19" s="1518"/>
      <c r="AP19" s="1518"/>
      <c r="AQ19" s="1518"/>
      <c r="AR19" s="1518"/>
      <c r="AS19" s="1518"/>
      <c r="AT19" s="1517" t="s">
        <v>2543</v>
      </c>
      <c r="AU19" s="1518"/>
      <c r="AV19" s="1518"/>
      <c r="AW19" s="1518"/>
      <c r="AX19" s="1518"/>
      <c r="AY19" s="1518"/>
      <c r="AZ19" s="1518"/>
      <c r="BA19" s="1518"/>
      <c r="BB19" s="1518"/>
      <c r="BC19" s="1518"/>
      <c r="BD19" s="1518"/>
      <c r="BE19" s="1518"/>
      <c r="BG19" s="459"/>
      <c r="BI19" s="1517" t="s">
        <v>3</v>
      </c>
      <c r="BJ19" s="1518"/>
      <c r="BK19" s="1518"/>
      <c r="BL19" s="1518"/>
      <c r="BM19" s="1518"/>
      <c r="BN19" s="1518"/>
      <c r="BO19" s="1518"/>
      <c r="BP19" s="1518"/>
      <c r="BQ19" s="1518"/>
      <c r="BR19" s="1518"/>
      <c r="BS19" s="1518"/>
      <c r="BT19" s="1518"/>
      <c r="BU19" s="1517" t="s">
        <v>3</v>
      </c>
      <c r="BV19" s="1518"/>
      <c r="BW19" s="1518"/>
      <c r="BX19" s="1518"/>
      <c r="BY19" s="1518"/>
      <c r="BZ19" s="1518"/>
      <c r="CA19" s="1518"/>
      <c r="CB19" s="1518"/>
      <c r="CC19" s="1518"/>
      <c r="CD19" s="1518"/>
      <c r="CE19" s="1518"/>
      <c r="CF19" s="1518"/>
      <c r="CG19" s="1517" t="s">
        <v>3</v>
      </c>
      <c r="CH19" s="1518"/>
      <c r="CI19" s="1518"/>
      <c r="CJ19" s="1518"/>
      <c r="CK19" s="1518"/>
      <c r="CL19" s="1518"/>
      <c r="CM19" s="1518"/>
      <c r="CN19" s="1518"/>
      <c r="CO19" s="1518"/>
      <c r="CP19" s="1518"/>
      <c r="CQ19" s="1518"/>
      <c r="CR19" s="1518"/>
      <c r="CS19"/>
      <c r="CT19" s="1195"/>
      <c r="CU19"/>
      <c r="CV19" s="1517" t="s">
        <v>3</v>
      </c>
      <c r="CW19" s="1518"/>
      <c r="CX19" s="1518"/>
      <c r="CY19" s="1518"/>
      <c r="CZ19" s="1518"/>
      <c r="DA19" s="1518"/>
      <c r="DB19" s="1518"/>
      <c r="DC19" s="1518"/>
      <c r="DD19" s="1518"/>
      <c r="DE19" s="1518"/>
      <c r="DF19" s="1518"/>
      <c r="DG19" s="1518"/>
      <c r="DH19" s="1517" t="s">
        <v>3</v>
      </c>
      <c r="DI19" s="1518"/>
      <c r="DJ19" s="1518"/>
      <c r="DK19" s="1518"/>
      <c r="DL19" s="1518"/>
      <c r="DM19" s="1518"/>
      <c r="DN19" s="1518"/>
      <c r="DO19" s="1518"/>
      <c r="DP19" s="1518"/>
      <c r="DQ19" s="1518"/>
      <c r="DR19" s="1518"/>
      <c r="DS19" s="1518"/>
      <c r="DT19" s="1517" t="s">
        <v>3</v>
      </c>
      <c r="DU19" s="1518"/>
      <c r="DV19" s="1518"/>
      <c r="DW19" s="1518"/>
      <c r="DX19" s="1518"/>
      <c r="DY19" s="1518"/>
      <c r="DZ19" s="1518"/>
      <c r="EA19" s="1518"/>
      <c r="EB19" s="1518"/>
      <c r="EC19" s="1518"/>
      <c r="ED19" s="1518"/>
      <c r="EE19" s="1518"/>
    </row>
    <row r="20" spans="1:135" s="360" customFormat="1" ht="15" customHeight="1">
      <c r="B20" s="466" t="s">
        <v>1770</v>
      </c>
      <c r="C20" s="467" t="s">
        <v>1927</v>
      </c>
      <c r="D20" s="467"/>
      <c r="E20" s="467"/>
      <c r="F20" s="467"/>
      <c r="G20" s="467"/>
      <c r="H20" s="467"/>
      <c r="I20" s="467"/>
      <c r="J20" s="468"/>
      <c r="K20" s="1539">
        <f>Tnh!AK110</f>
        <v>249</v>
      </c>
      <c r="L20" s="1539"/>
      <c r="M20" s="1539"/>
      <c r="N20" s="1539"/>
      <c r="O20" s="1539"/>
      <c r="P20" s="1539"/>
      <c r="Q20" s="1539"/>
      <c r="R20" s="1539"/>
      <c r="S20" s="1539"/>
      <c r="T20" s="1539"/>
      <c r="U20" s="1539"/>
      <c r="V20" s="1540">
        <v>300</v>
      </c>
      <c r="W20" s="1540"/>
      <c r="X20" s="1540"/>
      <c r="Y20" s="1540"/>
      <c r="Z20" s="1540"/>
      <c r="AA20" s="1540"/>
      <c r="AB20" s="1540"/>
      <c r="AC20" s="1540"/>
      <c r="AD20" s="1540"/>
      <c r="AE20" s="1540"/>
      <c r="AF20" s="1540"/>
      <c r="AG20" s="1540"/>
      <c r="AH20" s="1540">
        <v>550</v>
      </c>
      <c r="AI20" s="1540"/>
      <c r="AJ20" s="1540"/>
      <c r="AK20" s="1540"/>
      <c r="AL20" s="1540"/>
      <c r="AM20" s="1540"/>
      <c r="AN20" s="1540"/>
      <c r="AO20" s="1540"/>
      <c r="AP20" s="1540"/>
      <c r="AQ20" s="1540"/>
      <c r="AR20" s="1540"/>
      <c r="AS20" s="1540"/>
      <c r="AT20" s="1540">
        <v>700</v>
      </c>
      <c r="AU20" s="1540"/>
      <c r="AV20" s="1540"/>
      <c r="AW20" s="1540"/>
      <c r="AX20" s="1540"/>
      <c r="AY20" s="1540"/>
      <c r="AZ20" s="1540"/>
      <c r="BA20" s="1540"/>
      <c r="BB20" s="1540"/>
      <c r="BC20" s="1540"/>
      <c r="BD20" s="1540"/>
      <c r="BE20" s="1540"/>
      <c r="BG20" s="459"/>
      <c r="BI20" s="1540">
        <v>0</v>
      </c>
      <c r="BJ20" s="1540"/>
      <c r="BK20" s="1540"/>
      <c r="BL20" s="1540"/>
      <c r="BM20" s="1540"/>
      <c r="BN20" s="1540"/>
      <c r="BO20" s="1540"/>
      <c r="BP20" s="1540"/>
      <c r="BQ20" s="1540"/>
      <c r="BR20" s="1540"/>
      <c r="BS20" s="1540"/>
      <c r="BT20" s="1540"/>
      <c r="BU20" s="1540">
        <v>0</v>
      </c>
      <c r="BV20" s="1540"/>
      <c r="BW20" s="1540"/>
      <c r="BX20" s="1540"/>
      <c r="BY20" s="1540"/>
      <c r="BZ20" s="1540"/>
      <c r="CA20" s="1540"/>
      <c r="CB20" s="1540"/>
      <c r="CC20" s="1540"/>
      <c r="CD20" s="1540"/>
      <c r="CE20" s="1540"/>
      <c r="CF20" s="1540"/>
      <c r="CG20" s="1540">
        <v>0</v>
      </c>
      <c r="CH20" s="1540"/>
      <c r="CI20" s="1540"/>
      <c r="CJ20" s="1540"/>
      <c r="CK20" s="1540"/>
      <c r="CL20" s="1540"/>
      <c r="CM20" s="1540"/>
      <c r="CN20" s="1540"/>
      <c r="CO20" s="1540"/>
      <c r="CP20" s="1540"/>
      <c r="CQ20" s="1540"/>
      <c r="CR20" s="1540"/>
      <c r="CS20"/>
      <c r="CT20" s="1202"/>
      <c r="CU20"/>
      <c r="CV20" s="1540">
        <v>0</v>
      </c>
      <c r="CW20" s="1540"/>
      <c r="CX20" s="1540"/>
      <c r="CY20" s="1540"/>
      <c r="CZ20" s="1540"/>
      <c r="DA20" s="1540"/>
      <c r="DB20" s="1540"/>
      <c r="DC20" s="1540"/>
      <c r="DD20" s="1540"/>
      <c r="DE20" s="1540"/>
      <c r="DF20" s="1540"/>
      <c r="DG20" s="1540"/>
      <c r="DH20" s="1540">
        <v>0</v>
      </c>
      <c r="DI20" s="1540"/>
      <c r="DJ20" s="1540"/>
      <c r="DK20" s="1540"/>
      <c r="DL20" s="1540"/>
      <c r="DM20" s="1540"/>
      <c r="DN20" s="1540"/>
      <c r="DO20" s="1540"/>
      <c r="DP20" s="1540"/>
      <c r="DQ20" s="1540"/>
      <c r="DR20" s="1540"/>
      <c r="DS20" s="1540"/>
      <c r="DT20" s="1540">
        <v>0</v>
      </c>
      <c r="DU20" s="1540"/>
      <c r="DV20" s="1540"/>
      <c r="DW20" s="1540"/>
      <c r="DX20" s="1540"/>
      <c r="DY20" s="1540"/>
      <c r="DZ20" s="1540"/>
      <c r="EA20" s="1540"/>
      <c r="EB20" s="1540"/>
      <c r="EC20" s="1540"/>
      <c r="ED20" s="1540"/>
      <c r="EE20" s="1540"/>
    </row>
    <row r="21" spans="1:135" s="360" customFormat="1" ht="15" customHeight="1">
      <c r="B21" s="466" t="s">
        <v>1770</v>
      </c>
      <c r="C21" s="467" t="s">
        <v>1928</v>
      </c>
      <c r="D21" s="467"/>
      <c r="E21" s="467"/>
      <c r="F21" s="467"/>
      <c r="G21" s="467"/>
      <c r="H21" s="467"/>
      <c r="I21" s="467"/>
      <c r="J21" s="468"/>
      <c r="K21" s="1531">
        <f>+'B1'!AJ19</f>
        <v>249</v>
      </c>
      <c r="L21" s="1531"/>
      <c r="M21" s="1531"/>
      <c r="N21" s="1531"/>
      <c r="O21" s="1531"/>
      <c r="P21" s="1531"/>
      <c r="Q21" s="1531"/>
      <c r="R21" s="1531"/>
      <c r="S21" s="1531"/>
      <c r="T21" s="1531"/>
      <c r="U21" s="1531"/>
      <c r="V21" s="1532">
        <v>0</v>
      </c>
      <c r="W21" s="1532"/>
      <c r="X21" s="1532"/>
      <c r="Y21" s="1532"/>
      <c r="Z21" s="1532"/>
      <c r="AA21" s="1532"/>
      <c r="AB21" s="1532"/>
      <c r="AC21" s="1532"/>
      <c r="AD21" s="1532"/>
      <c r="AE21" s="1532"/>
      <c r="AF21" s="1532"/>
      <c r="AG21" s="1532"/>
      <c r="AH21" s="1532">
        <v>0</v>
      </c>
      <c r="AI21" s="1532"/>
      <c r="AJ21" s="1532"/>
      <c r="AK21" s="1532"/>
      <c r="AL21" s="1532"/>
      <c r="AM21" s="1532"/>
      <c r="AN21" s="1532"/>
      <c r="AO21" s="1532"/>
      <c r="AP21" s="1532"/>
      <c r="AQ21" s="1532"/>
      <c r="AR21" s="1532"/>
      <c r="AS21" s="1532"/>
      <c r="AT21" s="1532">
        <v>0</v>
      </c>
      <c r="AU21" s="1532"/>
      <c r="AV21" s="1532"/>
      <c r="AW21" s="1532"/>
      <c r="AX21" s="1532"/>
      <c r="AY21" s="1532"/>
      <c r="AZ21" s="1532"/>
      <c r="BA21" s="1532"/>
      <c r="BB21" s="1532"/>
      <c r="BC21" s="1532"/>
      <c r="BD21" s="1532"/>
      <c r="BE21" s="1532"/>
      <c r="BG21" s="459"/>
      <c r="BI21" s="1532">
        <v>0</v>
      </c>
      <c r="BJ21" s="1532"/>
      <c r="BK21" s="1532"/>
      <c r="BL21" s="1532"/>
      <c r="BM21" s="1532"/>
      <c r="BN21" s="1532"/>
      <c r="BO21" s="1532"/>
      <c r="BP21" s="1532"/>
      <c r="BQ21" s="1532"/>
      <c r="BR21" s="1532"/>
      <c r="BS21" s="1532"/>
      <c r="BT21" s="1532"/>
      <c r="BU21" s="1532">
        <v>0</v>
      </c>
      <c r="BV21" s="1532"/>
      <c r="BW21" s="1532"/>
      <c r="BX21" s="1532"/>
      <c r="BY21" s="1532"/>
      <c r="BZ21" s="1532"/>
      <c r="CA21" s="1532"/>
      <c r="CB21" s="1532"/>
      <c r="CC21" s="1532"/>
      <c r="CD21" s="1532"/>
      <c r="CE21" s="1532"/>
      <c r="CF21" s="1532"/>
      <c r="CG21" s="1532">
        <v>0</v>
      </c>
      <c r="CH21" s="1532"/>
      <c r="CI21" s="1532"/>
      <c r="CJ21" s="1532"/>
      <c r="CK21" s="1532"/>
      <c r="CL21" s="1532"/>
      <c r="CM21" s="1532"/>
      <c r="CN21" s="1532"/>
      <c r="CO21" s="1532"/>
      <c r="CP21" s="1532"/>
      <c r="CQ21" s="1532"/>
      <c r="CR21" s="1532"/>
      <c r="CS21"/>
      <c r="CT21" s="1202"/>
      <c r="CU21"/>
      <c r="CV21" s="1532">
        <v>0</v>
      </c>
      <c r="CW21" s="1532"/>
      <c r="CX21" s="1532"/>
      <c r="CY21" s="1532"/>
      <c r="CZ21" s="1532"/>
      <c r="DA21" s="1532"/>
      <c r="DB21" s="1532"/>
      <c r="DC21" s="1532"/>
      <c r="DD21" s="1532"/>
      <c r="DE21" s="1532"/>
      <c r="DF21" s="1532"/>
      <c r="DG21" s="1532"/>
      <c r="DH21" s="1532">
        <v>0</v>
      </c>
      <c r="DI21" s="1532"/>
      <c r="DJ21" s="1532"/>
      <c r="DK21" s="1532"/>
      <c r="DL21" s="1532"/>
      <c r="DM21" s="1532"/>
      <c r="DN21" s="1532"/>
      <c r="DO21" s="1532"/>
      <c r="DP21" s="1532"/>
      <c r="DQ21" s="1532"/>
      <c r="DR21" s="1532"/>
      <c r="DS21" s="1532"/>
      <c r="DT21" s="1532">
        <v>0</v>
      </c>
      <c r="DU21" s="1532"/>
      <c r="DV21" s="1532"/>
      <c r="DW21" s="1532"/>
      <c r="DX21" s="1532"/>
      <c r="DY21" s="1532"/>
      <c r="DZ21" s="1532"/>
      <c r="EA21" s="1532"/>
      <c r="EB21" s="1532"/>
      <c r="EC21" s="1532"/>
      <c r="ED21" s="1532"/>
      <c r="EE21" s="1532"/>
    </row>
    <row r="22" spans="1:135" s="360" customFormat="1" ht="15" customHeight="1">
      <c r="B22" s="466" t="s">
        <v>1770</v>
      </c>
      <c r="C22" s="467" t="s">
        <v>1929</v>
      </c>
      <c r="D22" s="467"/>
      <c r="E22" s="467"/>
      <c r="F22" s="467"/>
      <c r="G22" s="467"/>
      <c r="H22" s="467"/>
      <c r="I22" s="467"/>
      <c r="J22" s="476"/>
      <c r="K22" s="1533">
        <v>1</v>
      </c>
      <c r="L22" s="1534"/>
      <c r="M22" s="1534"/>
      <c r="N22" s="1534"/>
      <c r="O22" s="1535"/>
      <c r="P22" s="1536" t="s">
        <v>1785</v>
      </c>
      <c r="Q22" s="1537"/>
      <c r="R22" s="1537"/>
      <c r="S22" s="1537"/>
      <c r="T22" s="1537"/>
      <c r="U22" s="1538"/>
      <c r="V22" s="1524">
        <v>0</v>
      </c>
      <c r="W22" s="1525"/>
      <c r="X22" s="1524">
        <v>2</v>
      </c>
      <c r="Y22" s="1525"/>
      <c r="Z22" s="1526" t="s">
        <v>1785</v>
      </c>
      <c r="AA22" s="1527"/>
      <c r="AB22" s="1527"/>
      <c r="AC22" s="1527"/>
      <c r="AD22" s="1527"/>
      <c r="AE22" s="1527"/>
      <c r="AF22" s="1527"/>
      <c r="AG22" s="1528"/>
      <c r="AH22" s="1524">
        <v>0</v>
      </c>
      <c r="AI22" s="1525"/>
      <c r="AJ22" s="1524">
        <v>2</v>
      </c>
      <c r="AK22" s="1525"/>
      <c r="AL22" s="1526" t="s">
        <v>1785</v>
      </c>
      <c r="AM22" s="1527"/>
      <c r="AN22" s="1527"/>
      <c r="AO22" s="1527"/>
      <c r="AP22" s="1527"/>
      <c r="AQ22" s="1527"/>
      <c r="AR22" s="1527"/>
      <c r="AS22" s="1528"/>
      <c r="AT22" s="1524">
        <v>0</v>
      </c>
      <c r="AU22" s="1525"/>
      <c r="AV22" s="1524">
        <v>2</v>
      </c>
      <c r="AW22" s="1525"/>
      <c r="AX22" s="1526" t="s">
        <v>1785</v>
      </c>
      <c r="AY22" s="1527"/>
      <c r="AZ22" s="1527"/>
      <c r="BA22" s="1527"/>
      <c r="BB22" s="1527"/>
      <c r="BC22" s="1527"/>
      <c r="BD22" s="1527"/>
      <c r="BE22" s="1528"/>
      <c r="BG22" s="459"/>
      <c r="BI22" s="1524">
        <v>0</v>
      </c>
      <c r="BJ22" s="1525"/>
      <c r="BK22" s="1524">
        <v>2</v>
      </c>
      <c r="BL22" s="1525"/>
      <c r="BM22" s="1526" t="s">
        <v>1785</v>
      </c>
      <c r="BN22" s="1527"/>
      <c r="BO22" s="1527"/>
      <c r="BP22" s="1527"/>
      <c r="BQ22" s="1527"/>
      <c r="BR22" s="1527"/>
      <c r="BS22" s="1527"/>
      <c r="BT22" s="1528"/>
      <c r="BU22" s="1524">
        <v>0</v>
      </c>
      <c r="BV22" s="1525"/>
      <c r="BW22" s="1524">
        <v>2</v>
      </c>
      <c r="BX22" s="1525"/>
      <c r="BY22" s="1526" t="s">
        <v>1785</v>
      </c>
      <c r="BZ22" s="1527"/>
      <c r="CA22" s="1527"/>
      <c r="CB22" s="1527"/>
      <c r="CC22" s="1527"/>
      <c r="CD22" s="1527"/>
      <c r="CE22" s="1527"/>
      <c r="CF22" s="1528"/>
      <c r="CG22" s="1524">
        <v>0</v>
      </c>
      <c r="CH22" s="1525"/>
      <c r="CI22" s="1524">
        <v>2</v>
      </c>
      <c r="CJ22" s="1525"/>
      <c r="CK22" s="1526" t="s">
        <v>1785</v>
      </c>
      <c r="CL22" s="1527"/>
      <c r="CM22" s="1527"/>
      <c r="CN22" s="1527"/>
      <c r="CO22" s="1527"/>
      <c r="CP22" s="1527"/>
      <c r="CQ22" s="1527"/>
      <c r="CR22" s="1528"/>
      <c r="CS22"/>
      <c r="CT22" s="1203"/>
      <c r="CU22"/>
      <c r="CV22" s="1524">
        <v>0</v>
      </c>
      <c r="CW22" s="1525"/>
      <c r="CX22" s="1524">
        <v>0</v>
      </c>
      <c r="CY22" s="1525"/>
      <c r="CZ22" s="1526" t="s">
        <v>1785</v>
      </c>
      <c r="DA22" s="1527"/>
      <c r="DB22" s="1527"/>
      <c r="DC22" s="1527"/>
      <c r="DD22" s="1527"/>
      <c r="DE22" s="1527"/>
      <c r="DF22" s="1527"/>
      <c r="DG22" s="1528"/>
      <c r="DH22" s="1524">
        <v>0</v>
      </c>
      <c r="DI22" s="1525"/>
      <c r="DJ22" s="1524">
        <v>0</v>
      </c>
      <c r="DK22" s="1525"/>
      <c r="DL22" s="1526" t="s">
        <v>1785</v>
      </c>
      <c r="DM22" s="1527"/>
      <c r="DN22" s="1527"/>
      <c r="DO22" s="1527"/>
      <c r="DP22" s="1527"/>
      <c r="DQ22" s="1527"/>
      <c r="DR22" s="1527"/>
      <c r="DS22" s="1528"/>
      <c r="DT22" s="1524">
        <v>0</v>
      </c>
      <c r="DU22" s="1525"/>
      <c r="DV22" s="1524">
        <v>0</v>
      </c>
      <c r="DW22" s="1525"/>
      <c r="DX22" s="1526" t="s">
        <v>1785</v>
      </c>
      <c r="DY22" s="1527"/>
      <c r="DZ22" s="1527"/>
      <c r="EA22" s="1527"/>
      <c r="EB22" s="1527"/>
      <c r="EC22" s="1527"/>
      <c r="ED22" s="1527"/>
      <c r="EE22" s="1528"/>
    </row>
    <row r="23" spans="1:135" s="360" customFormat="1" ht="15" customHeight="1">
      <c r="B23" s="466" t="s">
        <v>1770</v>
      </c>
      <c r="C23" s="467" t="s">
        <v>1930</v>
      </c>
      <c r="D23" s="467"/>
      <c r="E23" s="467"/>
      <c r="F23" s="467"/>
      <c r="G23" s="467"/>
      <c r="H23" s="467"/>
      <c r="I23" s="467"/>
      <c r="J23" s="468"/>
      <c r="K23" s="1530" t="str">
        <f>+'B1'!M27</f>
        <v>Tidak Terinformasi</v>
      </c>
      <c r="L23" s="1530"/>
      <c r="M23" s="1530"/>
      <c r="N23" s="1530"/>
      <c r="O23" s="1530"/>
      <c r="P23" s="1530"/>
      <c r="Q23" s="1530"/>
      <c r="R23" s="1530"/>
      <c r="S23" s="1530"/>
      <c r="T23" s="1530"/>
      <c r="U23" s="1530"/>
      <c r="V23" s="1523" t="s">
        <v>3</v>
      </c>
      <c r="W23" s="1523"/>
      <c r="X23" s="1523"/>
      <c r="Y23" s="1523"/>
      <c r="Z23" s="1523"/>
      <c r="AA23" s="1523"/>
      <c r="AB23" s="1523"/>
      <c r="AC23" s="1523"/>
      <c r="AD23" s="1523"/>
      <c r="AE23" s="1523"/>
      <c r="AF23" s="1523"/>
      <c r="AG23" s="1523"/>
      <c r="AH23" s="1523" t="s">
        <v>3</v>
      </c>
      <c r="AI23" s="1523"/>
      <c r="AJ23" s="1523"/>
      <c r="AK23" s="1523"/>
      <c r="AL23" s="1523"/>
      <c r="AM23" s="1523"/>
      <c r="AN23" s="1523"/>
      <c r="AO23" s="1523"/>
      <c r="AP23" s="1523"/>
      <c r="AQ23" s="1523"/>
      <c r="AR23" s="1523"/>
      <c r="AS23" s="1523"/>
      <c r="AT23" s="1523" t="s">
        <v>3</v>
      </c>
      <c r="AU23" s="1523"/>
      <c r="AV23" s="1523"/>
      <c r="AW23" s="1523"/>
      <c r="AX23" s="1523"/>
      <c r="AY23" s="1523"/>
      <c r="AZ23" s="1523"/>
      <c r="BA23" s="1523"/>
      <c r="BB23" s="1523"/>
      <c r="BC23" s="1523"/>
      <c r="BD23" s="1523"/>
      <c r="BE23" s="1523"/>
      <c r="BG23" s="459"/>
      <c r="BI23" s="1523" t="s">
        <v>3</v>
      </c>
      <c r="BJ23" s="1523"/>
      <c r="BK23" s="1523"/>
      <c r="BL23" s="1523"/>
      <c r="BM23" s="1523"/>
      <c r="BN23" s="1523"/>
      <c r="BO23" s="1523"/>
      <c r="BP23" s="1523"/>
      <c r="BQ23" s="1523"/>
      <c r="BR23" s="1523"/>
      <c r="BS23" s="1523"/>
      <c r="BT23" s="1523"/>
      <c r="BU23" s="1523" t="s">
        <v>3</v>
      </c>
      <c r="BV23" s="1523"/>
      <c r="BW23" s="1523"/>
      <c r="BX23" s="1523"/>
      <c r="BY23" s="1523"/>
      <c r="BZ23" s="1523"/>
      <c r="CA23" s="1523"/>
      <c r="CB23" s="1523"/>
      <c r="CC23" s="1523"/>
      <c r="CD23" s="1523"/>
      <c r="CE23" s="1523"/>
      <c r="CF23" s="1523"/>
      <c r="CG23" s="1523" t="s">
        <v>3</v>
      </c>
      <c r="CH23" s="1523"/>
      <c r="CI23" s="1523"/>
      <c r="CJ23" s="1523"/>
      <c r="CK23" s="1523"/>
      <c r="CL23" s="1523"/>
      <c r="CM23" s="1523"/>
      <c r="CN23" s="1523"/>
      <c r="CO23" s="1523"/>
      <c r="CP23" s="1523"/>
      <c r="CQ23" s="1523"/>
      <c r="CR23" s="1523"/>
      <c r="CS23"/>
      <c r="CT23" s="1195"/>
      <c r="CU23"/>
      <c r="CV23" s="1523" t="s">
        <v>3</v>
      </c>
      <c r="CW23" s="1523"/>
      <c r="CX23" s="1523"/>
      <c r="CY23" s="1523"/>
      <c r="CZ23" s="1523"/>
      <c r="DA23" s="1523"/>
      <c r="DB23" s="1523"/>
      <c r="DC23" s="1523"/>
      <c r="DD23" s="1523"/>
      <c r="DE23" s="1523"/>
      <c r="DF23" s="1523"/>
      <c r="DG23" s="1523"/>
      <c r="DH23" s="1523" t="s">
        <v>3</v>
      </c>
      <c r="DI23" s="1523"/>
      <c r="DJ23" s="1523"/>
      <c r="DK23" s="1523"/>
      <c r="DL23" s="1523"/>
      <c r="DM23" s="1523"/>
      <c r="DN23" s="1523"/>
      <c r="DO23" s="1523"/>
      <c r="DP23" s="1523"/>
      <c r="DQ23" s="1523"/>
      <c r="DR23" s="1523"/>
      <c r="DS23" s="1523"/>
      <c r="DT23" s="1523" t="s">
        <v>3</v>
      </c>
      <c r="DU23" s="1523"/>
      <c r="DV23" s="1523"/>
      <c r="DW23" s="1523"/>
      <c r="DX23" s="1523"/>
      <c r="DY23" s="1523"/>
      <c r="DZ23" s="1523"/>
      <c r="EA23" s="1523"/>
      <c r="EB23" s="1523"/>
      <c r="EC23" s="1523"/>
      <c r="ED23" s="1523"/>
      <c r="EE23" s="1523"/>
    </row>
    <row r="24" spans="1:135" s="360" customFormat="1" ht="15" customHeight="1">
      <c r="A24" s="477"/>
      <c r="B24" s="466" t="s">
        <v>1770</v>
      </c>
      <c r="C24" s="467" t="s">
        <v>1931</v>
      </c>
      <c r="D24" s="467"/>
      <c r="E24" s="467"/>
      <c r="F24" s="467"/>
      <c r="G24" s="467"/>
      <c r="H24" s="467"/>
      <c r="I24" s="467"/>
      <c r="J24" s="468"/>
      <c r="K24" s="1529">
        <f>+Tnh!AC63</f>
        <v>8</v>
      </c>
      <c r="L24" s="1529"/>
      <c r="M24" s="1529"/>
      <c r="N24" s="1529"/>
      <c r="O24" s="1529"/>
      <c r="P24" s="1529"/>
      <c r="Q24" s="1529"/>
      <c r="R24" s="1529"/>
      <c r="S24" s="1529"/>
      <c r="T24" s="1529"/>
      <c r="U24" s="1529"/>
      <c r="V24" s="1521">
        <v>8</v>
      </c>
      <c r="W24" s="1521"/>
      <c r="X24" s="1521"/>
      <c r="Y24" s="1521"/>
      <c r="Z24" s="1521"/>
      <c r="AA24" s="1521"/>
      <c r="AB24" s="1521"/>
      <c r="AC24" s="1521"/>
      <c r="AD24" s="1521"/>
      <c r="AE24" s="1521"/>
      <c r="AF24" s="1521"/>
      <c r="AG24" s="1521"/>
      <c r="AH24" s="1521">
        <v>8</v>
      </c>
      <c r="AI24" s="1521"/>
      <c r="AJ24" s="1521"/>
      <c r="AK24" s="1521"/>
      <c r="AL24" s="1521"/>
      <c r="AM24" s="1521"/>
      <c r="AN24" s="1521"/>
      <c r="AO24" s="1521"/>
      <c r="AP24" s="1521"/>
      <c r="AQ24" s="1521"/>
      <c r="AR24" s="1521"/>
      <c r="AS24" s="1521"/>
      <c r="AT24" s="1521">
        <v>8</v>
      </c>
      <c r="AU24" s="1521"/>
      <c r="AV24" s="1521"/>
      <c r="AW24" s="1521"/>
      <c r="AX24" s="1521"/>
      <c r="AY24" s="1521"/>
      <c r="AZ24" s="1521"/>
      <c r="BA24" s="1521"/>
      <c r="BB24" s="1521"/>
      <c r="BC24" s="1521"/>
      <c r="BD24" s="1521"/>
      <c r="BE24" s="1521"/>
      <c r="BG24" s="478"/>
      <c r="BI24" s="1521">
        <v>0</v>
      </c>
      <c r="BJ24" s="1521"/>
      <c r="BK24" s="1521"/>
      <c r="BL24" s="1521"/>
      <c r="BM24" s="1521"/>
      <c r="BN24" s="1521"/>
      <c r="BO24" s="1521"/>
      <c r="BP24" s="1521"/>
      <c r="BQ24" s="1521"/>
      <c r="BR24" s="1521"/>
      <c r="BS24" s="1521"/>
      <c r="BT24" s="1521"/>
      <c r="BU24" s="1521">
        <v>0</v>
      </c>
      <c r="BV24" s="1521"/>
      <c r="BW24" s="1521"/>
      <c r="BX24" s="1521"/>
      <c r="BY24" s="1521"/>
      <c r="BZ24" s="1521"/>
      <c r="CA24" s="1521"/>
      <c r="CB24" s="1521"/>
      <c r="CC24" s="1521"/>
      <c r="CD24" s="1521"/>
      <c r="CE24" s="1521"/>
      <c r="CF24" s="1521"/>
      <c r="CG24" s="1521">
        <v>0</v>
      </c>
      <c r="CH24" s="1521"/>
      <c r="CI24" s="1521"/>
      <c r="CJ24" s="1521"/>
      <c r="CK24" s="1521"/>
      <c r="CL24" s="1521"/>
      <c r="CM24" s="1521"/>
      <c r="CN24" s="1521"/>
      <c r="CO24" s="1521"/>
      <c r="CP24" s="1521"/>
      <c r="CQ24" s="1521"/>
      <c r="CR24" s="1521"/>
      <c r="CS24"/>
      <c r="CT24" s="1197"/>
      <c r="CU24"/>
      <c r="CV24" s="1521">
        <v>0</v>
      </c>
      <c r="CW24" s="1521"/>
      <c r="CX24" s="1521"/>
      <c r="CY24" s="1521"/>
      <c r="CZ24" s="1521"/>
      <c r="DA24" s="1521"/>
      <c r="DB24" s="1521"/>
      <c r="DC24" s="1521"/>
      <c r="DD24" s="1521"/>
      <c r="DE24" s="1521"/>
      <c r="DF24" s="1521"/>
      <c r="DG24" s="1521"/>
      <c r="DH24" s="1521">
        <v>0</v>
      </c>
      <c r="DI24" s="1521"/>
      <c r="DJ24" s="1521"/>
      <c r="DK24" s="1521"/>
      <c r="DL24" s="1521"/>
      <c r="DM24" s="1521"/>
      <c r="DN24" s="1521"/>
      <c r="DO24" s="1521"/>
      <c r="DP24" s="1521"/>
      <c r="DQ24" s="1521"/>
      <c r="DR24" s="1521"/>
      <c r="DS24" s="1521"/>
      <c r="DT24" s="1521">
        <v>0</v>
      </c>
      <c r="DU24" s="1521"/>
      <c r="DV24" s="1521"/>
      <c r="DW24" s="1521"/>
      <c r="DX24" s="1521"/>
      <c r="DY24" s="1521"/>
      <c r="DZ24" s="1521"/>
      <c r="EA24" s="1521"/>
      <c r="EB24" s="1521"/>
      <c r="EC24" s="1521"/>
      <c r="ED24" s="1521"/>
      <c r="EE24" s="1521"/>
    </row>
    <row r="25" spans="1:135" s="360" customFormat="1" ht="15" customHeight="1">
      <c r="A25" s="479"/>
      <c r="B25" s="466" t="s">
        <v>1770</v>
      </c>
      <c r="C25" s="480" t="s">
        <v>1932</v>
      </c>
      <c r="D25" s="480"/>
      <c r="E25" s="480"/>
      <c r="F25" s="480"/>
      <c r="G25" s="480"/>
      <c r="H25" s="480"/>
      <c r="I25" s="480"/>
      <c r="J25" s="468"/>
      <c r="K25" s="1522" t="s">
        <v>2467</v>
      </c>
      <c r="L25" s="1522"/>
      <c r="M25" s="1522"/>
      <c r="N25" s="1522"/>
      <c r="O25" s="1522"/>
      <c r="P25" s="1522"/>
      <c r="Q25" s="1522"/>
      <c r="R25" s="1522"/>
      <c r="S25" s="1522"/>
      <c r="T25" s="1522"/>
      <c r="U25" s="1522"/>
      <c r="V25" s="1517" t="s">
        <v>2544</v>
      </c>
      <c r="W25" s="1518"/>
      <c r="X25" s="1518"/>
      <c r="Y25" s="1518"/>
      <c r="Z25" s="1518"/>
      <c r="AA25" s="1518"/>
      <c r="AB25" s="1518"/>
      <c r="AC25" s="1518"/>
      <c r="AD25" s="1518"/>
      <c r="AE25" s="1518"/>
      <c r="AF25" s="1518"/>
      <c r="AG25" s="1518"/>
      <c r="AH25" s="1517" t="s">
        <v>2544</v>
      </c>
      <c r="AI25" s="1518"/>
      <c r="AJ25" s="1518"/>
      <c r="AK25" s="1518"/>
      <c r="AL25" s="1518"/>
      <c r="AM25" s="1518"/>
      <c r="AN25" s="1518"/>
      <c r="AO25" s="1518"/>
      <c r="AP25" s="1518"/>
      <c r="AQ25" s="1518"/>
      <c r="AR25" s="1518"/>
      <c r="AS25" s="1518"/>
      <c r="AT25" s="1517" t="s">
        <v>2544</v>
      </c>
      <c r="AU25" s="1518"/>
      <c r="AV25" s="1518"/>
      <c r="AW25" s="1518"/>
      <c r="AX25" s="1518"/>
      <c r="AY25" s="1518"/>
      <c r="AZ25" s="1518"/>
      <c r="BA25" s="1518"/>
      <c r="BB25" s="1518"/>
      <c r="BC25" s="1518"/>
      <c r="BD25" s="1518"/>
      <c r="BE25" s="1518"/>
      <c r="BG25" s="478"/>
      <c r="BI25" s="1517" t="s">
        <v>3</v>
      </c>
      <c r="BJ25" s="1518"/>
      <c r="BK25" s="1518"/>
      <c r="BL25" s="1518"/>
      <c r="BM25" s="1518"/>
      <c r="BN25" s="1518"/>
      <c r="BO25" s="1518"/>
      <c r="BP25" s="1518"/>
      <c r="BQ25" s="1518"/>
      <c r="BR25" s="1518"/>
      <c r="BS25" s="1518"/>
      <c r="BT25" s="1518"/>
      <c r="BU25" s="1517" t="s">
        <v>3</v>
      </c>
      <c r="BV25" s="1518"/>
      <c r="BW25" s="1518"/>
      <c r="BX25" s="1518"/>
      <c r="BY25" s="1518"/>
      <c r="BZ25" s="1518"/>
      <c r="CA25" s="1518"/>
      <c r="CB25" s="1518"/>
      <c r="CC25" s="1518"/>
      <c r="CD25" s="1518"/>
      <c r="CE25" s="1518"/>
      <c r="CF25" s="1518"/>
      <c r="CG25" s="1517" t="s">
        <v>3</v>
      </c>
      <c r="CH25" s="1518"/>
      <c r="CI25" s="1518"/>
      <c r="CJ25" s="1518"/>
      <c r="CK25" s="1518"/>
      <c r="CL25" s="1518"/>
      <c r="CM25" s="1518"/>
      <c r="CN25" s="1518"/>
      <c r="CO25" s="1518"/>
      <c r="CP25" s="1518"/>
      <c r="CQ25" s="1518"/>
      <c r="CR25" s="1518"/>
      <c r="CS25"/>
      <c r="CT25" s="1195"/>
      <c r="CU25"/>
      <c r="CV25" s="1517" t="s">
        <v>3</v>
      </c>
      <c r="CW25" s="1518"/>
      <c r="CX25" s="1518"/>
      <c r="CY25" s="1518"/>
      <c r="CZ25" s="1518"/>
      <c r="DA25" s="1518"/>
      <c r="DB25" s="1518"/>
      <c r="DC25" s="1518"/>
      <c r="DD25" s="1518"/>
      <c r="DE25" s="1518"/>
      <c r="DF25" s="1518"/>
      <c r="DG25" s="1518"/>
      <c r="DH25" s="1517" t="s">
        <v>3</v>
      </c>
      <c r="DI25" s="1518"/>
      <c r="DJ25" s="1518"/>
      <c r="DK25" s="1518"/>
      <c r="DL25" s="1518"/>
      <c r="DM25" s="1518"/>
      <c r="DN25" s="1518"/>
      <c r="DO25" s="1518"/>
      <c r="DP25" s="1518"/>
      <c r="DQ25" s="1518"/>
      <c r="DR25" s="1518"/>
      <c r="DS25" s="1518"/>
      <c r="DT25" s="1517" t="s">
        <v>3</v>
      </c>
      <c r="DU25" s="1518"/>
      <c r="DV25" s="1518"/>
      <c r="DW25" s="1518"/>
      <c r="DX25" s="1518"/>
      <c r="DY25" s="1518"/>
      <c r="DZ25" s="1518"/>
      <c r="EA25" s="1518"/>
      <c r="EB25" s="1518"/>
      <c r="EC25" s="1518"/>
      <c r="ED25" s="1518"/>
      <c r="EE25" s="1518"/>
    </row>
    <row r="26" spans="1:135" s="360" customFormat="1" ht="15" customHeight="1">
      <c r="A26" s="479"/>
      <c r="B26" s="466" t="s">
        <v>1770</v>
      </c>
      <c r="C26" s="480" t="s">
        <v>1933</v>
      </c>
      <c r="D26" s="480"/>
      <c r="E26" s="480"/>
      <c r="F26" s="480"/>
      <c r="G26" s="480"/>
      <c r="H26" s="480"/>
      <c r="I26" s="480"/>
      <c r="J26" s="468"/>
      <c r="K26" s="1516" t="str">
        <f>+Tnh!J86</f>
        <v>Tengah</v>
      </c>
      <c r="L26" s="1520"/>
      <c r="M26" s="1520"/>
      <c r="N26" s="1520"/>
      <c r="O26" s="1520"/>
      <c r="P26" s="1520"/>
      <c r="Q26" s="1520"/>
      <c r="R26" s="1520"/>
      <c r="S26" s="1520"/>
      <c r="T26" s="1520"/>
      <c r="U26" s="1520"/>
      <c r="V26" s="1517" t="s">
        <v>2522</v>
      </c>
      <c r="W26" s="1518"/>
      <c r="X26" s="1518"/>
      <c r="Y26" s="1518"/>
      <c r="Z26" s="1518"/>
      <c r="AA26" s="1518"/>
      <c r="AB26" s="1518"/>
      <c r="AC26" s="1518"/>
      <c r="AD26" s="1518"/>
      <c r="AE26" s="1518"/>
      <c r="AF26" s="1518"/>
      <c r="AG26" s="1518"/>
      <c r="AH26" s="1517" t="s">
        <v>2522</v>
      </c>
      <c r="AI26" s="1518"/>
      <c r="AJ26" s="1518"/>
      <c r="AK26" s="1518"/>
      <c r="AL26" s="1518"/>
      <c r="AM26" s="1518"/>
      <c r="AN26" s="1518"/>
      <c r="AO26" s="1518"/>
      <c r="AP26" s="1518"/>
      <c r="AQ26" s="1518"/>
      <c r="AR26" s="1518"/>
      <c r="AS26" s="1518"/>
      <c r="AT26" s="1517" t="s">
        <v>2522</v>
      </c>
      <c r="AU26" s="1518"/>
      <c r="AV26" s="1518"/>
      <c r="AW26" s="1518"/>
      <c r="AX26" s="1518"/>
      <c r="AY26" s="1518"/>
      <c r="AZ26" s="1518"/>
      <c r="BA26" s="1518"/>
      <c r="BB26" s="1518"/>
      <c r="BC26" s="1518"/>
      <c r="BD26" s="1518"/>
      <c r="BE26" s="1518"/>
      <c r="BG26" s="478"/>
      <c r="BI26" s="1517" t="s">
        <v>3</v>
      </c>
      <c r="BJ26" s="1518"/>
      <c r="BK26" s="1518"/>
      <c r="BL26" s="1518"/>
      <c r="BM26" s="1518"/>
      <c r="BN26" s="1518"/>
      <c r="BO26" s="1518"/>
      <c r="BP26" s="1518"/>
      <c r="BQ26" s="1518"/>
      <c r="BR26" s="1518"/>
      <c r="BS26" s="1518"/>
      <c r="BT26" s="1518"/>
      <c r="BU26" s="1517" t="s">
        <v>3</v>
      </c>
      <c r="BV26" s="1518"/>
      <c r="BW26" s="1518"/>
      <c r="BX26" s="1518"/>
      <c r="BY26" s="1518"/>
      <c r="BZ26" s="1518"/>
      <c r="CA26" s="1518"/>
      <c r="CB26" s="1518"/>
      <c r="CC26" s="1518"/>
      <c r="CD26" s="1518"/>
      <c r="CE26" s="1518"/>
      <c r="CF26" s="1518"/>
      <c r="CG26" s="1517" t="s">
        <v>3</v>
      </c>
      <c r="CH26" s="1518"/>
      <c r="CI26" s="1518"/>
      <c r="CJ26" s="1518"/>
      <c r="CK26" s="1518"/>
      <c r="CL26" s="1518"/>
      <c r="CM26" s="1518"/>
      <c r="CN26" s="1518"/>
      <c r="CO26" s="1518"/>
      <c r="CP26" s="1518"/>
      <c r="CQ26" s="1518"/>
      <c r="CR26" s="1518"/>
      <c r="CS26"/>
      <c r="CT26" s="1195"/>
      <c r="CU26"/>
      <c r="CV26" s="1517" t="s">
        <v>3</v>
      </c>
      <c r="CW26" s="1518"/>
      <c r="CX26" s="1518"/>
      <c r="CY26" s="1518"/>
      <c r="CZ26" s="1518"/>
      <c r="DA26" s="1518"/>
      <c r="DB26" s="1518"/>
      <c r="DC26" s="1518"/>
      <c r="DD26" s="1518"/>
      <c r="DE26" s="1518"/>
      <c r="DF26" s="1518"/>
      <c r="DG26" s="1518"/>
      <c r="DH26" s="1517" t="s">
        <v>3</v>
      </c>
      <c r="DI26" s="1518"/>
      <c r="DJ26" s="1518"/>
      <c r="DK26" s="1518"/>
      <c r="DL26" s="1518"/>
      <c r="DM26" s="1518"/>
      <c r="DN26" s="1518"/>
      <c r="DO26" s="1518"/>
      <c r="DP26" s="1518"/>
      <c r="DQ26" s="1518"/>
      <c r="DR26" s="1518"/>
      <c r="DS26" s="1518"/>
      <c r="DT26" s="1517" t="s">
        <v>3</v>
      </c>
      <c r="DU26" s="1518"/>
      <c r="DV26" s="1518"/>
      <c r="DW26" s="1518"/>
      <c r="DX26" s="1518"/>
      <c r="DY26" s="1518"/>
      <c r="DZ26" s="1518"/>
      <c r="EA26" s="1518"/>
      <c r="EB26" s="1518"/>
      <c r="EC26" s="1518"/>
      <c r="ED26" s="1518"/>
      <c r="EE26" s="1518"/>
    </row>
    <row r="27" spans="1:135" s="360" customFormat="1" ht="15" customHeight="1">
      <c r="A27" s="479"/>
      <c r="B27" s="466" t="s">
        <v>1770</v>
      </c>
      <c r="C27" s="480" t="s">
        <v>1934</v>
      </c>
      <c r="D27" s="480"/>
      <c r="E27" s="480"/>
      <c r="F27" s="480"/>
      <c r="G27" s="480"/>
      <c r="H27" s="480"/>
      <c r="I27" s="480"/>
      <c r="J27" s="468"/>
      <c r="K27" s="1519" t="s">
        <v>2545</v>
      </c>
      <c r="L27" s="1519"/>
      <c r="M27" s="1519"/>
      <c r="N27" s="1519"/>
      <c r="O27" s="1519"/>
      <c r="P27" s="1519"/>
      <c r="Q27" s="1519"/>
      <c r="R27" s="1519"/>
      <c r="S27" s="1519"/>
      <c r="T27" s="1519"/>
      <c r="U27" s="1519"/>
      <c r="V27" s="1514" t="s">
        <v>2545</v>
      </c>
      <c r="W27" s="1515"/>
      <c r="X27" s="1515"/>
      <c r="Y27" s="1515"/>
      <c r="Z27" s="1515"/>
      <c r="AA27" s="1515"/>
      <c r="AB27" s="1515"/>
      <c r="AC27" s="1515"/>
      <c r="AD27" s="1515"/>
      <c r="AE27" s="1515"/>
      <c r="AF27" s="1515"/>
      <c r="AG27" s="1515"/>
      <c r="AH27" s="1514" t="s">
        <v>2545</v>
      </c>
      <c r="AI27" s="1515"/>
      <c r="AJ27" s="1515"/>
      <c r="AK27" s="1515"/>
      <c r="AL27" s="1515"/>
      <c r="AM27" s="1515"/>
      <c r="AN27" s="1515"/>
      <c r="AO27" s="1515"/>
      <c r="AP27" s="1515"/>
      <c r="AQ27" s="1515"/>
      <c r="AR27" s="1515"/>
      <c r="AS27" s="1515"/>
      <c r="AT27" s="1514" t="s">
        <v>2551</v>
      </c>
      <c r="AU27" s="1515"/>
      <c r="AV27" s="1515"/>
      <c r="AW27" s="1515"/>
      <c r="AX27" s="1515"/>
      <c r="AY27" s="1515"/>
      <c r="AZ27" s="1515"/>
      <c r="BA27" s="1515"/>
      <c r="BB27" s="1515"/>
      <c r="BC27" s="1515"/>
      <c r="BD27" s="1515"/>
      <c r="BE27" s="1515"/>
      <c r="BG27" s="478"/>
      <c r="BI27" s="1514" t="s">
        <v>3</v>
      </c>
      <c r="BJ27" s="1515"/>
      <c r="BK27" s="1515"/>
      <c r="BL27" s="1515"/>
      <c r="BM27" s="1515"/>
      <c r="BN27" s="1515"/>
      <c r="BO27" s="1515"/>
      <c r="BP27" s="1515"/>
      <c r="BQ27" s="1515"/>
      <c r="BR27" s="1515"/>
      <c r="BS27" s="1515"/>
      <c r="BT27" s="1515"/>
      <c r="BU27" s="1514" t="s">
        <v>3</v>
      </c>
      <c r="BV27" s="1515"/>
      <c r="BW27" s="1515"/>
      <c r="BX27" s="1515"/>
      <c r="BY27" s="1515"/>
      <c r="BZ27" s="1515"/>
      <c r="CA27" s="1515"/>
      <c r="CB27" s="1515"/>
      <c r="CC27" s="1515"/>
      <c r="CD27" s="1515"/>
      <c r="CE27" s="1515"/>
      <c r="CF27" s="1515"/>
      <c r="CG27" s="1514" t="s">
        <v>3</v>
      </c>
      <c r="CH27" s="1515"/>
      <c r="CI27" s="1515"/>
      <c r="CJ27" s="1515"/>
      <c r="CK27" s="1515"/>
      <c r="CL27" s="1515"/>
      <c r="CM27" s="1515"/>
      <c r="CN27" s="1515"/>
      <c r="CO27" s="1515"/>
      <c r="CP27" s="1515"/>
      <c r="CQ27" s="1515"/>
      <c r="CR27" s="1515"/>
      <c r="CS27"/>
      <c r="CT27" s="1194"/>
      <c r="CU27"/>
      <c r="CV27" s="1514" t="s">
        <v>3</v>
      </c>
      <c r="CW27" s="1515"/>
      <c r="CX27" s="1515"/>
      <c r="CY27" s="1515"/>
      <c r="CZ27" s="1515"/>
      <c r="DA27" s="1515"/>
      <c r="DB27" s="1515"/>
      <c r="DC27" s="1515"/>
      <c r="DD27" s="1515"/>
      <c r="DE27" s="1515"/>
      <c r="DF27" s="1515"/>
      <c r="DG27" s="1515"/>
      <c r="DH27" s="1514" t="s">
        <v>3</v>
      </c>
      <c r="DI27" s="1515"/>
      <c r="DJ27" s="1515"/>
      <c r="DK27" s="1515"/>
      <c r="DL27" s="1515"/>
      <c r="DM27" s="1515"/>
      <c r="DN27" s="1515"/>
      <c r="DO27" s="1515"/>
      <c r="DP27" s="1515"/>
      <c r="DQ27" s="1515"/>
      <c r="DR27" s="1515"/>
      <c r="DS27" s="1515"/>
      <c r="DT27" s="1514" t="s">
        <v>3</v>
      </c>
      <c r="DU27" s="1515"/>
      <c r="DV27" s="1515"/>
      <c r="DW27" s="1515"/>
      <c r="DX27" s="1515"/>
      <c r="DY27" s="1515"/>
      <c r="DZ27" s="1515"/>
      <c r="EA27" s="1515"/>
      <c r="EB27" s="1515"/>
      <c r="EC27" s="1515"/>
      <c r="ED27" s="1515"/>
      <c r="EE27" s="1515"/>
    </row>
    <row r="28" spans="1:135" s="360" customFormat="1" ht="15" customHeight="1">
      <c r="A28" s="481"/>
      <c r="B28" s="466" t="s">
        <v>1770</v>
      </c>
      <c r="C28" s="480" t="s">
        <v>1935</v>
      </c>
      <c r="D28" s="480"/>
      <c r="E28" s="480"/>
      <c r="F28" s="480"/>
      <c r="G28" s="480"/>
      <c r="H28" s="480"/>
      <c r="I28" s="480"/>
      <c r="J28" s="468"/>
      <c r="K28" s="1516" t="str">
        <f>+Tnh!J80</f>
        <v>Tanah matang</v>
      </c>
      <c r="L28" s="1516"/>
      <c r="M28" s="1516"/>
      <c r="N28" s="1516"/>
      <c r="O28" s="1516"/>
      <c r="P28" s="1516"/>
      <c r="Q28" s="1516"/>
      <c r="R28" s="1516"/>
      <c r="S28" s="1516"/>
      <c r="T28" s="1516"/>
      <c r="U28" s="1516"/>
      <c r="V28" s="1517" t="s">
        <v>2546</v>
      </c>
      <c r="W28" s="1518"/>
      <c r="X28" s="1518"/>
      <c r="Y28" s="1518"/>
      <c r="Z28" s="1518"/>
      <c r="AA28" s="1518"/>
      <c r="AB28" s="1518"/>
      <c r="AC28" s="1518"/>
      <c r="AD28" s="1518"/>
      <c r="AE28" s="1518"/>
      <c r="AF28" s="1518"/>
      <c r="AG28" s="1518"/>
      <c r="AH28" s="1517" t="s">
        <v>2546</v>
      </c>
      <c r="AI28" s="1518"/>
      <c r="AJ28" s="1518"/>
      <c r="AK28" s="1518"/>
      <c r="AL28" s="1518"/>
      <c r="AM28" s="1518"/>
      <c r="AN28" s="1518"/>
      <c r="AO28" s="1518"/>
      <c r="AP28" s="1518"/>
      <c r="AQ28" s="1518"/>
      <c r="AR28" s="1518"/>
      <c r="AS28" s="1518"/>
      <c r="AT28" s="1517" t="s">
        <v>2546</v>
      </c>
      <c r="AU28" s="1518"/>
      <c r="AV28" s="1518"/>
      <c r="AW28" s="1518"/>
      <c r="AX28" s="1518"/>
      <c r="AY28" s="1518"/>
      <c r="AZ28" s="1518"/>
      <c r="BA28" s="1518"/>
      <c r="BB28" s="1518"/>
      <c r="BC28" s="1518"/>
      <c r="BD28" s="1518"/>
      <c r="BE28" s="1518"/>
      <c r="BG28" s="478"/>
      <c r="BI28" s="1517" t="s">
        <v>3</v>
      </c>
      <c r="BJ28" s="1518"/>
      <c r="BK28" s="1518"/>
      <c r="BL28" s="1518"/>
      <c r="BM28" s="1518"/>
      <c r="BN28" s="1518"/>
      <c r="BO28" s="1518"/>
      <c r="BP28" s="1518"/>
      <c r="BQ28" s="1518"/>
      <c r="BR28" s="1518"/>
      <c r="BS28" s="1518"/>
      <c r="BT28" s="1518"/>
      <c r="BU28" s="1517" t="s">
        <v>3</v>
      </c>
      <c r="BV28" s="1518"/>
      <c r="BW28" s="1518"/>
      <c r="BX28" s="1518"/>
      <c r="BY28" s="1518"/>
      <c r="BZ28" s="1518"/>
      <c r="CA28" s="1518"/>
      <c r="CB28" s="1518"/>
      <c r="CC28" s="1518"/>
      <c r="CD28" s="1518"/>
      <c r="CE28" s="1518"/>
      <c r="CF28" s="1518"/>
      <c r="CG28" s="1517" t="s">
        <v>3</v>
      </c>
      <c r="CH28" s="1518"/>
      <c r="CI28" s="1518"/>
      <c r="CJ28" s="1518"/>
      <c r="CK28" s="1518"/>
      <c r="CL28" s="1518"/>
      <c r="CM28" s="1518"/>
      <c r="CN28" s="1518"/>
      <c r="CO28" s="1518"/>
      <c r="CP28" s="1518"/>
      <c r="CQ28" s="1518"/>
      <c r="CR28" s="1518"/>
      <c r="CS28"/>
      <c r="CT28" s="1195"/>
      <c r="CU28"/>
      <c r="CV28" s="1517" t="s">
        <v>3</v>
      </c>
      <c r="CW28" s="1518"/>
      <c r="CX28" s="1518"/>
      <c r="CY28" s="1518"/>
      <c r="CZ28" s="1518"/>
      <c r="DA28" s="1518"/>
      <c r="DB28" s="1518"/>
      <c r="DC28" s="1518"/>
      <c r="DD28" s="1518"/>
      <c r="DE28" s="1518"/>
      <c r="DF28" s="1518"/>
      <c r="DG28" s="1518"/>
      <c r="DH28" s="1517" t="s">
        <v>3</v>
      </c>
      <c r="DI28" s="1518"/>
      <c r="DJ28" s="1518"/>
      <c r="DK28" s="1518"/>
      <c r="DL28" s="1518"/>
      <c r="DM28" s="1518"/>
      <c r="DN28" s="1518"/>
      <c r="DO28" s="1518"/>
      <c r="DP28" s="1518"/>
      <c r="DQ28" s="1518"/>
      <c r="DR28" s="1518"/>
      <c r="DS28" s="1518"/>
      <c r="DT28" s="1517" t="s">
        <v>3</v>
      </c>
      <c r="DU28" s="1518"/>
      <c r="DV28" s="1518"/>
      <c r="DW28" s="1518"/>
      <c r="DX28" s="1518"/>
      <c r="DY28" s="1518"/>
      <c r="DZ28" s="1518"/>
      <c r="EA28" s="1518"/>
      <c r="EB28" s="1518"/>
      <c r="EC28" s="1518"/>
      <c r="ED28" s="1518"/>
      <c r="EE28" s="1518"/>
    </row>
    <row r="29" spans="1:135" s="360" customFormat="1" ht="15" customHeight="1">
      <c r="A29" s="479"/>
      <c r="B29" s="466" t="s">
        <v>1770</v>
      </c>
      <c r="C29" s="482" t="s">
        <v>1936</v>
      </c>
      <c r="D29" s="482"/>
      <c r="E29" s="482"/>
      <c r="F29" s="482"/>
      <c r="G29" s="482"/>
      <c r="H29" s="482"/>
      <c r="I29" s="482"/>
      <c r="J29" s="483"/>
      <c r="K29" s="1513" t="str">
        <f>+Tnh!J78</f>
        <v>Datar</v>
      </c>
      <c r="L29" s="1513"/>
      <c r="M29" s="1513"/>
      <c r="N29" s="1513"/>
      <c r="O29" s="1513"/>
      <c r="P29" s="1513"/>
      <c r="Q29" s="1513"/>
      <c r="R29" s="1513"/>
      <c r="S29" s="1513"/>
      <c r="T29" s="1513"/>
      <c r="U29" s="1513"/>
      <c r="V29" s="1508" t="s">
        <v>2519</v>
      </c>
      <c r="W29" s="1509"/>
      <c r="X29" s="1509"/>
      <c r="Y29" s="1509"/>
      <c r="Z29" s="1509"/>
      <c r="AA29" s="1509"/>
      <c r="AB29" s="1509"/>
      <c r="AC29" s="1509"/>
      <c r="AD29" s="1509"/>
      <c r="AE29" s="1509"/>
      <c r="AF29" s="1509"/>
      <c r="AG29" s="1509"/>
      <c r="AH29" s="1508" t="s">
        <v>2519</v>
      </c>
      <c r="AI29" s="1509"/>
      <c r="AJ29" s="1509"/>
      <c r="AK29" s="1509"/>
      <c r="AL29" s="1509"/>
      <c r="AM29" s="1509"/>
      <c r="AN29" s="1509"/>
      <c r="AO29" s="1509"/>
      <c r="AP29" s="1509"/>
      <c r="AQ29" s="1509"/>
      <c r="AR29" s="1509"/>
      <c r="AS29" s="1509"/>
      <c r="AT29" s="1508" t="s">
        <v>2519</v>
      </c>
      <c r="AU29" s="1509"/>
      <c r="AV29" s="1509"/>
      <c r="AW29" s="1509"/>
      <c r="AX29" s="1509"/>
      <c r="AY29" s="1509"/>
      <c r="AZ29" s="1509"/>
      <c r="BA29" s="1509"/>
      <c r="BB29" s="1509"/>
      <c r="BC29" s="1509"/>
      <c r="BD29" s="1509"/>
      <c r="BE29" s="1509"/>
      <c r="BG29" s="478"/>
      <c r="BI29" s="1508" t="s">
        <v>3</v>
      </c>
      <c r="BJ29" s="1509"/>
      <c r="BK29" s="1509"/>
      <c r="BL29" s="1509"/>
      <c r="BM29" s="1509"/>
      <c r="BN29" s="1509"/>
      <c r="BO29" s="1509"/>
      <c r="BP29" s="1509"/>
      <c r="BQ29" s="1509"/>
      <c r="BR29" s="1509"/>
      <c r="BS29" s="1509"/>
      <c r="BT29" s="1509"/>
      <c r="BU29" s="1508" t="s">
        <v>3</v>
      </c>
      <c r="BV29" s="1509"/>
      <c r="BW29" s="1509"/>
      <c r="BX29" s="1509"/>
      <c r="BY29" s="1509"/>
      <c r="BZ29" s="1509"/>
      <c r="CA29" s="1509"/>
      <c r="CB29" s="1509"/>
      <c r="CC29" s="1509"/>
      <c r="CD29" s="1509"/>
      <c r="CE29" s="1509"/>
      <c r="CF29" s="1509"/>
      <c r="CG29" s="1508" t="s">
        <v>3</v>
      </c>
      <c r="CH29" s="1509"/>
      <c r="CI29" s="1509"/>
      <c r="CJ29" s="1509"/>
      <c r="CK29" s="1509"/>
      <c r="CL29" s="1509"/>
      <c r="CM29" s="1509"/>
      <c r="CN29" s="1509"/>
      <c r="CO29" s="1509"/>
      <c r="CP29" s="1509"/>
      <c r="CQ29" s="1509"/>
      <c r="CR29" s="1509"/>
      <c r="CS29"/>
      <c r="CT29" s="1195"/>
      <c r="CU29"/>
      <c r="CV29" s="1508" t="s">
        <v>3</v>
      </c>
      <c r="CW29" s="1509"/>
      <c r="CX29" s="1509"/>
      <c r="CY29" s="1509"/>
      <c r="CZ29" s="1509"/>
      <c r="DA29" s="1509"/>
      <c r="DB29" s="1509"/>
      <c r="DC29" s="1509"/>
      <c r="DD29" s="1509"/>
      <c r="DE29" s="1509"/>
      <c r="DF29" s="1509"/>
      <c r="DG29" s="1509"/>
      <c r="DH29" s="1508" t="s">
        <v>3</v>
      </c>
      <c r="DI29" s="1509"/>
      <c r="DJ29" s="1509"/>
      <c r="DK29" s="1509"/>
      <c r="DL29" s="1509"/>
      <c r="DM29" s="1509"/>
      <c r="DN29" s="1509"/>
      <c r="DO29" s="1509"/>
      <c r="DP29" s="1509"/>
      <c r="DQ29" s="1509"/>
      <c r="DR29" s="1509"/>
      <c r="DS29" s="1509"/>
      <c r="DT29" s="1508" t="s">
        <v>3</v>
      </c>
      <c r="DU29" s="1509"/>
      <c r="DV29" s="1509"/>
      <c r="DW29" s="1509"/>
      <c r="DX29" s="1509"/>
      <c r="DY29" s="1509"/>
      <c r="DZ29" s="1509"/>
      <c r="EA29" s="1509"/>
      <c r="EB29" s="1509"/>
      <c r="EC29" s="1509"/>
      <c r="ED29" s="1509"/>
      <c r="EE29" s="1509"/>
    </row>
    <row r="30" spans="1:135" s="360" customFormat="1" ht="15.95" customHeight="1">
      <c r="B30" s="1489" t="s">
        <v>1937</v>
      </c>
      <c r="C30" s="1490"/>
      <c r="D30" s="1490"/>
      <c r="E30" s="1490"/>
      <c r="F30" s="1490"/>
      <c r="G30" s="1490"/>
      <c r="H30" s="1490"/>
      <c r="I30" s="1490"/>
      <c r="J30" s="1490"/>
      <c r="K30" s="1491" t="s">
        <v>1901</v>
      </c>
      <c r="L30" s="1491"/>
      <c r="M30" s="1491"/>
      <c r="N30" s="1491"/>
      <c r="O30" s="1491"/>
      <c r="P30" s="1491"/>
      <c r="Q30" s="1491"/>
      <c r="R30" s="1491"/>
      <c r="S30" s="1491"/>
      <c r="T30" s="1491"/>
      <c r="U30" s="1491"/>
      <c r="V30" s="1510" t="str">
        <f>V3</f>
        <v>DATA - 1</v>
      </c>
      <c r="W30" s="1511"/>
      <c r="X30" s="1511"/>
      <c r="Y30" s="1511"/>
      <c r="Z30" s="1511"/>
      <c r="AA30" s="1511"/>
      <c r="AB30" s="1511"/>
      <c r="AC30" s="1511"/>
      <c r="AD30" s="1511"/>
      <c r="AE30" s="1511"/>
      <c r="AF30" s="1511"/>
      <c r="AG30" s="1512"/>
      <c r="AH30" s="1510" t="str">
        <f>AH3</f>
        <v>DATA - 2</v>
      </c>
      <c r="AI30" s="1511"/>
      <c r="AJ30" s="1511"/>
      <c r="AK30" s="1511"/>
      <c r="AL30" s="1511"/>
      <c r="AM30" s="1511"/>
      <c r="AN30" s="1511"/>
      <c r="AO30" s="1511"/>
      <c r="AP30" s="1511"/>
      <c r="AQ30" s="1511"/>
      <c r="AR30" s="1511"/>
      <c r="AS30" s="1512"/>
      <c r="AT30" s="1491" t="str">
        <f>AT3</f>
        <v>DATA - 3</v>
      </c>
      <c r="AU30" s="1492"/>
      <c r="AV30" s="1492"/>
      <c r="AW30" s="1492"/>
      <c r="AX30" s="1492"/>
      <c r="AY30" s="1492"/>
      <c r="AZ30" s="1492"/>
      <c r="BA30" s="1492"/>
      <c r="BB30" s="1492"/>
      <c r="BC30" s="1492"/>
      <c r="BD30" s="1492"/>
      <c r="BE30" s="1493"/>
      <c r="BG30" s="478"/>
      <c r="BI30" s="1510" t="str">
        <f>BI3</f>
        <v>DATA - 4</v>
      </c>
      <c r="BJ30" s="1511"/>
      <c r="BK30" s="1511"/>
      <c r="BL30" s="1511"/>
      <c r="BM30" s="1511"/>
      <c r="BN30" s="1511"/>
      <c r="BO30" s="1511"/>
      <c r="BP30" s="1511"/>
      <c r="BQ30" s="1511"/>
      <c r="BR30" s="1511"/>
      <c r="BS30" s="1511"/>
      <c r="BT30" s="1512"/>
      <c r="BU30" s="1510" t="str">
        <f>BU3</f>
        <v>DATA - 5</v>
      </c>
      <c r="BV30" s="1511"/>
      <c r="BW30" s="1511"/>
      <c r="BX30" s="1511"/>
      <c r="BY30" s="1511"/>
      <c r="BZ30" s="1511"/>
      <c r="CA30" s="1511"/>
      <c r="CB30" s="1511"/>
      <c r="CC30" s="1511"/>
      <c r="CD30" s="1511"/>
      <c r="CE30" s="1511"/>
      <c r="CF30" s="1512"/>
      <c r="CG30" s="1491" t="str">
        <f>CG3</f>
        <v>DATA - 6</v>
      </c>
      <c r="CH30" s="1492"/>
      <c r="CI30" s="1492"/>
      <c r="CJ30" s="1492"/>
      <c r="CK30" s="1492"/>
      <c r="CL30" s="1492"/>
      <c r="CM30" s="1492"/>
      <c r="CN30" s="1492"/>
      <c r="CO30" s="1492"/>
      <c r="CP30" s="1492"/>
      <c r="CQ30" s="1492"/>
      <c r="CR30" s="1493"/>
      <c r="CS30"/>
      <c r="CT30" s="1204"/>
      <c r="CU30"/>
      <c r="CV30" s="1510" t="str">
        <f>CV3</f>
        <v>DATA - 7</v>
      </c>
      <c r="CW30" s="1511"/>
      <c r="CX30" s="1511"/>
      <c r="CY30" s="1511"/>
      <c r="CZ30" s="1511"/>
      <c r="DA30" s="1511"/>
      <c r="DB30" s="1511"/>
      <c r="DC30" s="1511"/>
      <c r="DD30" s="1511"/>
      <c r="DE30" s="1511"/>
      <c r="DF30" s="1511"/>
      <c r="DG30" s="1512"/>
      <c r="DH30" s="1510" t="str">
        <f>DH3</f>
        <v>DATA - 8</v>
      </c>
      <c r="DI30" s="1511"/>
      <c r="DJ30" s="1511"/>
      <c r="DK30" s="1511"/>
      <c r="DL30" s="1511"/>
      <c r="DM30" s="1511"/>
      <c r="DN30" s="1511"/>
      <c r="DO30" s="1511"/>
      <c r="DP30" s="1511"/>
      <c r="DQ30" s="1511"/>
      <c r="DR30" s="1511"/>
      <c r="DS30" s="1512"/>
      <c r="DT30" s="1491" t="str">
        <f>DT3</f>
        <v>DATA - 9</v>
      </c>
      <c r="DU30" s="1492"/>
      <c r="DV30" s="1492"/>
      <c r="DW30" s="1492"/>
      <c r="DX30" s="1492"/>
      <c r="DY30" s="1492"/>
      <c r="DZ30" s="1492"/>
      <c r="EA30" s="1492"/>
      <c r="EB30" s="1492"/>
      <c r="EC30" s="1492"/>
      <c r="ED30" s="1492"/>
      <c r="EE30" s="1493"/>
    </row>
    <row r="31" spans="1:135" s="360" customFormat="1" ht="15" customHeight="1">
      <c r="A31" s="477"/>
      <c r="B31" s="466" t="s">
        <v>1770</v>
      </c>
      <c r="C31" s="467" t="s">
        <v>1938</v>
      </c>
      <c r="D31" s="467"/>
      <c r="E31" s="467"/>
      <c r="F31" s="467"/>
      <c r="G31" s="467"/>
      <c r="H31" s="467"/>
      <c r="I31" s="467"/>
      <c r="J31" s="468"/>
      <c r="K31" s="1507">
        <f ca="1">BTB!CA91</f>
        <v>2490000</v>
      </c>
      <c r="L31" s="1507"/>
      <c r="M31" s="1507"/>
      <c r="N31" s="1507"/>
      <c r="O31" s="1507"/>
      <c r="P31" s="1507"/>
      <c r="Q31" s="1507"/>
      <c r="R31" s="1507"/>
      <c r="S31" s="1507"/>
      <c r="T31" s="1507"/>
      <c r="U31" s="1507"/>
      <c r="V31" s="1500">
        <v>0</v>
      </c>
      <c r="W31" s="1500"/>
      <c r="X31" s="1500"/>
      <c r="Y31" s="1500"/>
      <c r="Z31" s="1500"/>
      <c r="AA31" s="1500"/>
      <c r="AB31" s="1500"/>
      <c r="AC31" s="1500"/>
      <c r="AD31" s="1500"/>
      <c r="AE31" s="1500"/>
      <c r="AF31" s="1500"/>
      <c r="AG31" s="1500"/>
      <c r="AH31" s="1500">
        <v>0</v>
      </c>
      <c r="AI31" s="1500"/>
      <c r="AJ31" s="1500"/>
      <c r="AK31" s="1500"/>
      <c r="AL31" s="1500"/>
      <c r="AM31" s="1500"/>
      <c r="AN31" s="1500"/>
      <c r="AO31" s="1500"/>
      <c r="AP31" s="1500"/>
      <c r="AQ31" s="1500"/>
      <c r="AR31" s="1500"/>
      <c r="AS31" s="1500"/>
      <c r="AT31" s="1500">
        <v>0</v>
      </c>
      <c r="AU31" s="1500"/>
      <c r="AV31" s="1500"/>
      <c r="AW31" s="1500"/>
      <c r="AX31" s="1500"/>
      <c r="AY31" s="1500"/>
      <c r="AZ31" s="1500"/>
      <c r="BA31" s="1500"/>
      <c r="BB31" s="1500"/>
      <c r="BC31" s="1500"/>
      <c r="BD31" s="1500"/>
      <c r="BE31" s="1500"/>
      <c r="BG31" s="391"/>
      <c r="BI31" s="1500">
        <v>0</v>
      </c>
      <c r="BJ31" s="1500"/>
      <c r="BK31" s="1500"/>
      <c r="BL31" s="1500"/>
      <c r="BM31" s="1500"/>
      <c r="BN31" s="1500"/>
      <c r="BO31" s="1500"/>
      <c r="BP31" s="1500"/>
      <c r="BQ31" s="1500"/>
      <c r="BR31" s="1500"/>
      <c r="BS31" s="1500"/>
      <c r="BT31" s="1500"/>
      <c r="BU31" s="1500">
        <v>0</v>
      </c>
      <c r="BV31" s="1500"/>
      <c r="BW31" s="1500"/>
      <c r="BX31" s="1500"/>
      <c r="BY31" s="1500"/>
      <c r="BZ31" s="1500"/>
      <c r="CA31" s="1500"/>
      <c r="CB31" s="1500"/>
      <c r="CC31" s="1500"/>
      <c r="CD31" s="1500"/>
      <c r="CE31" s="1500"/>
      <c r="CF31" s="1500"/>
      <c r="CG31" s="1500">
        <v>0</v>
      </c>
      <c r="CH31" s="1500"/>
      <c r="CI31" s="1500"/>
      <c r="CJ31" s="1500"/>
      <c r="CK31" s="1500"/>
      <c r="CL31" s="1500"/>
      <c r="CM31" s="1500"/>
      <c r="CN31" s="1500"/>
      <c r="CO31" s="1500"/>
      <c r="CP31" s="1500"/>
      <c r="CQ31" s="1500"/>
      <c r="CR31" s="1500"/>
      <c r="CS31"/>
      <c r="CT31" s="1198"/>
      <c r="CU31"/>
      <c r="CV31" s="1500">
        <v>0</v>
      </c>
      <c r="CW31" s="1500"/>
      <c r="CX31" s="1500"/>
      <c r="CY31" s="1500"/>
      <c r="CZ31" s="1500"/>
      <c r="DA31" s="1500"/>
      <c r="DB31" s="1500"/>
      <c r="DC31" s="1500"/>
      <c r="DD31" s="1500"/>
      <c r="DE31" s="1500"/>
      <c r="DF31" s="1500"/>
      <c r="DG31" s="1500"/>
      <c r="DH31" s="1500">
        <v>0</v>
      </c>
      <c r="DI31" s="1500"/>
      <c r="DJ31" s="1500"/>
      <c r="DK31" s="1500"/>
      <c r="DL31" s="1500"/>
      <c r="DM31" s="1500"/>
      <c r="DN31" s="1500"/>
      <c r="DO31" s="1500"/>
      <c r="DP31" s="1500"/>
      <c r="DQ31" s="1500"/>
      <c r="DR31" s="1500"/>
      <c r="DS31" s="1500"/>
      <c r="DT31" s="1500">
        <v>0</v>
      </c>
      <c r="DU31" s="1500"/>
      <c r="DV31" s="1500"/>
      <c r="DW31" s="1500"/>
      <c r="DX31" s="1500"/>
      <c r="DY31" s="1500"/>
      <c r="DZ31" s="1500"/>
      <c r="EA31" s="1500"/>
      <c r="EB31" s="1500"/>
      <c r="EC31" s="1500"/>
      <c r="ED31" s="1500"/>
      <c r="EE31" s="1500"/>
    </row>
    <row r="32" spans="1:135" s="360" customFormat="1" ht="15" customHeight="1">
      <c r="A32" s="477"/>
      <c r="B32" s="484" t="s">
        <v>1770</v>
      </c>
      <c r="C32" s="485" t="s">
        <v>1939</v>
      </c>
      <c r="D32" s="485"/>
      <c r="E32" s="485"/>
      <c r="F32" s="485"/>
      <c r="G32" s="485"/>
      <c r="H32" s="485"/>
      <c r="I32" s="485"/>
      <c r="J32" s="486"/>
      <c r="K32" s="1501">
        <f>BTB!AN91</f>
        <v>0.39999999999999991</v>
      </c>
      <c r="L32" s="1502"/>
      <c r="M32" s="1502"/>
      <c r="N32" s="1502"/>
      <c r="O32" s="1502"/>
      <c r="P32" s="1502"/>
      <c r="Q32" s="1502"/>
      <c r="R32" s="1502"/>
      <c r="S32" s="1502"/>
      <c r="T32" s="1502"/>
      <c r="U32" s="1503"/>
      <c r="V32" s="1504">
        <v>0</v>
      </c>
      <c r="W32" s="1505"/>
      <c r="X32" s="1505"/>
      <c r="Y32" s="1505"/>
      <c r="Z32" s="1505"/>
      <c r="AA32" s="1505"/>
      <c r="AB32" s="1505"/>
      <c r="AC32" s="1505"/>
      <c r="AD32" s="1505"/>
      <c r="AE32" s="1505"/>
      <c r="AF32" s="1505"/>
      <c r="AG32" s="1506"/>
      <c r="AH32" s="1504">
        <v>0</v>
      </c>
      <c r="AI32" s="1505"/>
      <c r="AJ32" s="1505"/>
      <c r="AK32" s="1505"/>
      <c r="AL32" s="1505"/>
      <c r="AM32" s="1505"/>
      <c r="AN32" s="1505"/>
      <c r="AO32" s="1505"/>
      <c r="AP32" s="1505"/>
      <c r="AQ32" s="1505"/>
      <c r="AR32" s="1505"/>
      <c r="AS32" s="1506"/>
      <c r="AT32" s="1504">
        <v>0</v>
      </c>
      <c r="AU32" s="1505"/>
      <c r="AV32" s="1505"/>
      <c r="AW32" s="1505"/>
      <c r="AX32" s="1505"/>
      <c r="AY32" s="1505"/>
      <c r="AZ32" s="1505"/>
      <c r="BA32" s="1505"/>
      <c r="BB32" s="1505"/>
      <c r="BC32" s="1505"/>
      <c r="BD32" s="1505"/>
      <c r="BE32" s="1506"/>
      <c r="BF32" s="487"/>
      <c r="BG32" s="391"/>
      <c r="BH32" s="487"/>
      <c r="BI32" s="1504">
        <v>0</v>
      </c>
      <c r="BJ32" s="1505"/>
      <c r="BK32" s="1505"/>
      <c r="BL32" s="1505"/>
      <c r="BM32" s="1505"/>
      <c r="BN32" s="1505"/>
      <c r="BO32" s="1505"/>
      <c r="BP32" s="1505"/>
      <c r="BQ32" s="1505"/>
      <c r="BR32" s="1505"/>
      <c r="BS32" s="1505"/>
      <c r="BT32" s="1506"/>
      <c r="BU32" s="1504">
        <v>0</v>
      </c>
      <c r="BV32" s="1505"/>
      <c r="BW32" s="1505"/>
      <c r="BX32" s="1505"/>
      <c r="BY32" s="1505"/>
      <c r="BZ32" s="1505"/>
      <c r="CA32" s="1505"/>
      <c r="CB32" s="1505"/>
      <c r="CC32" s="1505"/>
      <c r="CD32" s="1505"/>
      <c r="CE32" s="1505"/>
      <c r="CF32" s="1506"/>
      <c r="CG32" s="1504">
        <v>0</v>
      </c>
      <c r="CH32" s="1505"/>
      <c r="CI32" s="1505"/>
      <c r="CJ32" s="1505"/>
      <c r="CK32" s="1505"/>
      <c r="CL32" s="1505"/>
      <c r="CM32" s="1505"/>
      <c r="CN32" s="1505"/>
      <c r="CO32" s="1505"/>
      <c r="CP32" s="1505"/>
      <c r="CQ32" s="1505"/>
      <c r="CR32" s="1506"/>
      <c r="CS32"/>
      <c r="CT32" s="1205"/>
      <c r="CU32"/>
      <c r="CV32" s="1504">
        <v>0</v>
      </c>
      <c r="CW32" s="1505"/>
      <c r="CX32" s="1505"/>
      <c r="CY32" s="1505"/>
      <c r="CZ32" s="1505"/>
      <c r="DA32" s="1505"/>
      <c r="DB32" s="1505"/>
      <c r="DC32" s="1505"/>
      <c r="DD32" s="1505"/>
      <c r="DE32" s="1505"/>
      <c r="DF32" s="1505"/>
      <c r="DG32" s="1506"/>
      <c r="DH32" s="1504">
        <v>0</v>
      </c>
      <c r="DI32" s="1505"/>
      <c r="DJ32" s="1505"/>
      <c r="DK32" s="1505"/>
      <c r="DL32" s="1505"/>
      <c r="DM32" s="1505"/>
      <c r="DN32" s="1505"/>
      <c r="DO32" s="1505"/>
      <c r="DP32" s="1505"/>
      <c r="DQ32" s="1505"/>
      <c r="DR32" s="1505"/>
      <c r="DS32" s="1506"/>
      <c r="DT32" s="1504">
        <v>0</v>
      </c>
      <c r="DU32" s="1505"/>
      <c r="DV32" s="1505"/>
      <c r="DW32" s="1505"/>
      <c r="DX32" s="1505"/>
      <c r="DY32" s="1505"/>
      <c r="DZ32" s="1505"/>
      <c r="EA32" s="1505"/>
      <c r="EB32" s="1505"/>
      <c r="EC32" s="1505"/>
      <c r="ED32" s="1505"/>
      <c r="EE32" s="1506"/>
    </row>
    <row r="33" spans="1:135" s="360" customFormat="1" ht="15" customHeight="1">
      <c r="A33" s="479"/>
      <c r="B33" s="466" t="s">
        <v>1770</v>
      </c>
      <c r="C33" s="480" t="s">
        <v>1940</v>
      </c>
      <c r="D33" s="480"/>
      <c r="E33" s="480"/>
      <c r="F33" s="480"/>
      <c r="G33" s="480"/>
      <c r="H33" s="480"/>
      <c r="I33" s="480"/>
      <c r="J33" s="468"/>
      <c r="K33" s="1499">
        <f ca="1">BTB!CA93</f>
        <v>995999.99999999977</v>
      </c>
      <c r="L33" s="1499"/>
      <c r="M33" s="1499"/>
      <c r="N33" s="1499"/>
      <c r="O33" s="1499"/>
      <c r="P33" s="1499"/>
      <c r="Q33" s="1499"/>
      <c r="R33" s="1499"/>
      <c r="S33" s="1499"/>
      <c r="T33" s="1499"/>
      <c r="U33" s="1499"/>
      <c r="V33" s="1499">
        <f>V31*V32</f>
        <v>0</v>
      </c>
      <c r="W33" s="1499"/>
      <c r="X33" s="1499"/>
      <c r="Y33" s="1499"/>
      <c r="Z33" s="1499"/>
      <c r="AA33" s="1499"/>
      <c r="AB33" s="1499"/>
      <c r="AC33" s="1499"/>
      <c r="AD33" s="1499"/>
      <c r="AE33" s="1499"/>
      <c r="AF33" s="1499"/>
      <c r="AG33" s="1499"/>
      <c r="AH33" s="1499">
        <f>AH31*AH32</f>
        <v>0</v>
      </c>
      <c r="AI33" s="1499"/>
      <c r="AJ33" s="1499"/>
      <c r="AK33" s="1499"/>
      <c r="AL33" s="1499"/>
      <c r="AM33" s="1499"/>
      <c r="AN33" s="1499"/>
      <c r="AO33" s="1499"/>
      <c r="AP33" s="1499"/>
      <c r="AQ33" s="1499"/>
      <c r="AR33" s="1499"/>
      <c r="AS33" s="1499"/>
      <c r="AT33" s="1499">
        <f>AT31*AT32</f>
        <v>0</v>
      </c>
      <c r="AU33" s="1499"/>
      <c r="AV33" s="1499"/>
      <c r="AW33" s="1499"/>
      <c r="AX33" s="1499"/>
      <c r="AY33" s="1499"/>
      <c r="AZ33" s="1499"/>
      <c r="BA33" s="1499"/>
      <c r="BB33" s="1499"/>
      <c r="BC33" s="1499"/>
      <c r="BD33" s="1499"/>
      <c r="BE33" s="1499"/>
      <c r="BG33" s="391"/>
      <c r="BI33" s="1499">
        <f>BI31*BI32</f>
        <v>0</v>
      </c>
      <c r="BJ33" s="1499"/>
      <c r="BK33" s="1499"/>
      <c r="BL33" s="1499"/>
      <c r="BM33" s="1499"/>
      <c r="BN33" s="1499"/>
      <c r="BO33" s="1499"/>
      <c r="BP33" s="1499"/>
      <c r="BQ33" s="1499"/>
      <c r="BR33" s="1499"/>
      <c r="BS33" s="1499"/>
      <c r="BT33" s="1499"/>
      <c r="BU33" s="1499">
        <f>BU31*BU32</f>
        <v>0</v>
      </c>
      <c r="BV33" s="1499"/>
      <c r="BW33" s="1499"/>
      <c r="BX33" s="1499"/>
      <c r="BY33" s="1499"/>
      <c r="BZ33" s="1499"/>
      <c r="CA33" s="1499"/>
      <c r="CB33" s="1499"/>
      <c r="CC33" s="1499"/>
      <c r="CD33" s="1499"/>
      <c r="CE33" s="1499"/>
      <c r="CF33" s="1499"/>
      <c r="CG33" s="1499">
        <f>CG31*CG32</f>
        <v>0</v>
      </c>
      <c r="CH33" s="1499"/>
      <c r="CI33" s="1499"/>
      <c r="CJ33" s="1499"/>
      <c r="CK33" s="1499"/>
      <c r="CL33" s="1499"/>
      <c r="CM33" s="1499"/>
      <c r="CN33" s="1499"/>
      <c r="CO33" s="1499"/>
      <c r="CP33" s="1499"/>
      <c r="CQ33" s="1499"/>
      <c r="CR33" s="1499"/>
      <c r="CS33"/>
      <c r="CT33" s="1200"/>
      <c r="CU33"/>
      <c r="CV33" s="1499">
        <f>CV31*CV32</f>
        <v>0</v>
      </c>
      <c r="CW33" s="1499"/>
      <c r="CX33" s="1499"/>
      <c r="CY33" s="1499"/>
      <c r="CZ33" s="1499"/>
      <c r="DA33" s="1499"/>
      <c r="DB33" s="1499"/>
      <c r="DC33" s="1499"/>
      <c r="DD33" s="1499"/>
      <c r="DE33" s="1499"/>
      <c r="DF33" s="1499"/>
      <c r="DG33" s="1499"/>
      <c r="DH33" s="1499">
        <f>DH31*DH32</f>
        <v>0</v>
      </c>
      <c r="DI33" s="1499"/>
      <c r="DJ33" s="1499"/>
      <c r="DK33" s="1499"/>
      <c r="DL33" s="1499"/>
      <c r="DM33" s="1499"/>
      <c r="DN33" s="1499"/>
      <c r="DO33" s="1499"/>
      <c r="DP33" s="1499"/>
      <c r="DQ33" s="1499"/>
      <c r="DR33" s="1499"/>
      <c r="DS33" s="1499"/>
      <c r="DT33" s="1499">
        <f>DT31*DT32</f>
        <v>0</v>
      </c>
      <c r="DU33" s="1499"/>
      <c r="DV33" s="1499"/>
      <c r="DW33" s="1499"/>
      <c r="DX33" s="1499"/>
      <c r="DY33" s="1499"/>
      <c r="DZ33" s="1499"/>
      <c r="EA33" s="1499"/>
      <c r="EB33" s="1499"/>
      <c r="EC33" s="1499"/>
      <c r="ED33" s="1499"/>
      <c r="EE33" s="1499"/>
    </row>
    <row r="34" spans="1:135" s="360" customFormat="1" ht="15" customHeight="1">
      <c r="A34" s="479"/>
      <c r="B34" s="466" t="s">
        <v>1770</v>
      </c>
      <c r="C34" s="467" t="s">
        <v>1941</v>
      </c>
      <c r="D34" s="467"/>
      <c r="E34" s="467"/>
      <c r="F34" s="467"/>
      <c r="G34" s="467"/>
      <c r="H34" s="467"/>
      <c r="I34" s="467"/>
      <c r="J34" s="468"/>
      <c r="K34" s="1499">
        <f ca="1">BTB!CA94</f>
        <v>248003999.99999994</v>
      </c>
      <c r="L34" s="1499"/>
      <c r="M34" s="1499"/>
      <c r="N34" s="1499"/>
      <c r="O34" s="1499"/>
      <c r="P34" s="1499"/>
      <c r="Q34" s="1499"/>
      <c r="R34" s="1499"/>
      <c r="S34" s="1499"/>
      <c r="T34" s="1499"/>
      <c r="U34" s="1499"/>
      <c r="V34" s="1499">
        <f>V33*V21</f>
        <v>0</v>
      </c>
      <c r="W34" s="1499"/>
      <c r="X34" s="1499"/>
      <c r="Y34" s="1499"/>
      <c r="Z34" s="1499"/>
      <c r="AA34" s="1499"/>
      <c r="AB34" s="1499"/>
      <c r="AC34" s="1499"/>
      <c r="AD34" s="1499"/>
      <c r="AE34" s="1499"/>
      <c r="AF34" s="1499"/>
      <c r="AG34" s="1499"/>
      <c r="AH34" s="1499">
        <f>AH33*AH21</f>
        <v>0</v>
      </c>
      <c r="AI34" s="1499"/>
      <c r="AJ34" s="1499"/>
      <c r="AK34" s="1499"/>
      <c r="AL34" s="1499"/>
      <c r="AM34" s="1499"/>
      <c r="AN34" s="1499"/>
      <c r="AO34" s="1499"/>
      <c r="AP34" s="1499"/>
      <c r="AQ34" s="1499"/>
      <c r="AR34" s="1499"/>
      <c r="AS34" s="1499"/>
      <c r="AT34" s="1499">
        <f>AT33*AT21</f>
        <v>0</v>
      </c>
      <c r="AU34" s="1499"/>
      <c r="AV34" s="1499"/>
      <c r="AW34" s="1499"/>
      <c r="AX34" s="1499"/>
      <c r="AY34" s="1499"/>
      <c r="AZ34" s="1499"/>
      <c r="BA34" s="1499"/>
      <c r="BB34" s="1499"/>
      <c r="BC34" s="1499"/>
      <c r="BD34" s="1499"/>
      <c r="BE34" s="1499"/>
      <c r="BG34" s="391"/>
      <c r="BI34" s="1499">
        <f>BI33*BI21</f>
        <v>0</v>
      </c>
      <c r="BJ34" s="1499"/>
      <c r="BK34" s="1499"/>
      <c r="BL34" s="1499"/>
      <c r="BM34" s="1499"/>
      <c r="BN34" s="1499"/>
      <c r="BO34" s="1499"/>
      <c r="BP34" s="1499"/>
      <c r="BQ34" s="1499"/>
      <c r="BR34" s="1499"/>
      <c r="BS34" s="1499"/>
      <c r="BT34" s="1499"/>
      <c r="BU34" s="1499">
        <f>BU33*BU21</f>
        <v>0</v>
      </c>
      <c r="BV34" s="1499"/>
      <c r="BW34" s="1499"/>
      <c r="BX34" s="1499"/>
      <c r="BY34" s="1499"/>
      <c r="BZ34" s="1499"/>
      <c r="CA34" s="1499"/>
      <c r="CB34" s="1499"/>
      <c r="CC34" s="1499"/>
      <c r="CD34" s="1499"/>
      <c r="CE34" s="1499"/>
      <c r="CF34" s="1499"/>
      <c r="CG34" s="1499">
        <f>CG33*CG21</f>
        <v>0</v>
      </c>
      <c r="CH34" s="1499"/>
      <c r="CI34" s="1499"/>
      <c r="CJ34" s="1499"/>
      <c r="CK34" s="1499"/>
      <c r="CL34" s="1499"/>
      <c r="CM34" s="1499"/>
      <c r="CN34" s="1499"/>
      <c r="CO34" s="1499"/>
      <c r="CP34" s="1499"/>
      <c r="CQ34" s="1499"/>
      <c r="CR34" s="1499"/>
      <c r="CS34"/>
      <c r="CT34" s="1200"/>
      <c r="CU34"/>
      <c r="CV34" s="1499">
        <f>CV33*CV21</f>
        <v>0</v>
      </c>
      <c r="CW34" s="1499"/>
      <c r="CX34" s="1499"/>
      <c r="CY34" s="1499"/>
      <c r="CZ34" s="1499"/>
      <c r="DA34" s="1499"/>
      <c r="DB34" s="1499"/>
      <c r="DC34" s="1499"/>
      <c r="DD34" s="1499"/>
      <c r="DE34" s="1499"/>
      <c r="DF34" s="1499"/>
      <c r="DG34" s="1499"/>
      <c r="DH34" s="1499">
        <f>DH33*DH21</f>
        <v>0</v>
      </c>
      <c r="DI34" s="1499"/>
      <c r="DJ34" s="1499"/>
      <c r="DK34" s="1499"/>
      <c r="DL34" s="1499"/>
      <c r="DM34" s="1499"/>
      <c r="DN34" s="1499"/>
      <c r="DO34" s="1499"/>
      <c r="DP34" s="1499"/>
      <c r="DQ34" s="1499"/>
      <c r="DR34" s="1499"/>
      <c r="DS34" s="1499"/>
      <c r="DT34" s="1499">
        <f>DT33*DT21</f>
        <v>0</v>
      </c>
      <c r="DU34" s="1499"/>
      <c r="DV34" s="1499"/>
      <c r="DW34" s="1499"/>
      <c r="DX34" s="1499"/>
      <c r="DY34" s="1499"/>
      <c r="DZ34" s="1499"/>
      <c r="EA34" s="1499"/>
      <c r="EB34" s="1499"/>
      <c r="EC34" s="1499"/>
      <c r="ED34" s="1499"/>
      <c r="EE34" s="1499"/>
    </row>
    <row r="35" spans="1:135" s="360" customFormat="1" ht="15" customHeight="1">
      <c r="B35" s="466" t="s">
        <v>1770</v>
      </c>
      <c r="C35" s="482" t="s">
        <v>1942</v>
      </c>
      <c r="D35" s="482"/>
      <c r="E35" s="482"/>
      <c r="F35" s="482"/>
      <c r="G35" s="482"/>
      <c r="H35" s="482"/>
      <c r="I35" s="482"/>
      <c r="J35" s="483"/>
      <c r="K35" s="1494">
        <f>Q64</f>
        <v>5000000</v>
      </c>
      <c r="L35" s="1494"/>
      <c r="M35" s="1494"/>
      <c r="N35" s="1494"/>
      <c r="O35" s="1494"/>
      <c r="P35" s="1494"/>
      <c r="Q35" s="1494"/>
      <c r="R35" s="1494"/>
      <c r="S35" s="1494"/>
      <c r="T35" s="1494"/>
      <c r="U35" s="1494"/>
      <c r="V35" s="1494">
        <f>V16-V34</f>
        <v>1350000000</v>
      </c>
      <c r="W35" s="1494"/>
      <c r="X35" s="1494"/>
      <c r="Y35" s="1494"/>
      <c r="Z35" s="1494"/>
      <c r="AA35" s="1494"/>
      <c r="AB35" s="1494"/>
      <c r="AC35" s="1494"/>
      <c r="AD35" s="1494"/>
      <c r="AE35" s="1494"/>
      <c r="AF35" s="1494"/>
      <c r="AG35" s="1494"/>
      <c r="AH35" s="1494">
        <f>AH16-AH34</f>
        <v>2700000000</v>
      </c>
      <c r="AI35" s="1494"/>
      <c r="AJ35" s="1494"/>
      <c r="AK35" s="1494"/>
      <c r="AL35" s="1494"/>
      <c r="AM35" s="1494"/>
      <c r="AN35" s="1494"/>
      <c r="AO35" s="1494"/>
      <c r="AP35" s="1494"/>
      <c r="AQ35" s="1494"/>
      <c r="AR35" s="1494"/>
      <c r="AS35" s="1494"/>
      <c r="AT35" s="1494">
        <f>AT16-AT34</f>
        <v>3150000000</v>
      </c>
      <c r="AU35" s="1494"/>
      <c r="AV35" s="1494"/>
      <c r="AW35" s="1494"/>
      <c r="AX35" s="1494"/>
      <c r="AY35" s="1494"/>
      <c r="AZ35" s="1494"/>
      <c r="BA35" s="1494"/>
      <c r="BB35" s="1494"/>
      <c r="BC35" s="1494"/>
      <c r="BD35" s="1494"/>
      <c r="BE35" s="1494"/>
      <c r="BG35" s="391"/>
      <c r="BI35" s="1494">
        <f>BI16-BI34</f>
        <v>0</v>
      </c>
      <c r="BJ35" s="1494"/>
      <c r="BK35" s="1494"/>
      <c r="BL35" s="1494"/>
      <c r="BM35" s="1494"/>
      <c r="BN35" s="1494"/>
      <c r="BO35" s="1494"/>
      <c r="BP35" s="1494"/>
      <c r="BQ35" s="1494"/>
      <c r="BR35" s="1494"/>
      <c r="BS35" s="1494"/>
      <c r="BT35" s="1494"/>
      <c r="BU35" s="1494">
        <f>BU16-BU34</f>
        <v>0</v>
      </c>
      <c r="BV35" s="1494"/>
      <c r="BW35" s="1494"/>
      <c r="BX35" s="1494"/>
      <c r="BY35" s="1494"/>
      <c r="BZ35" s="1494"/>
      <c r="CA35" s="1494"/>
      <c r="CB35" s="1494"/>
      <c r="CC35" s="1494"/>
      <c r="CD35" s="1494"/>
      <c r="CE35" s="1494"/>
      <c r="CF35" s="1494"/>
      <c r="CG35" s="1494">
        <f>CG16-CG34</f>
        <v>0</v>
      </c>
      <c r="CH35" s="1494"/>
      <c r="CI35" s="1494"/>
      <c r="CJ35" s="1494"/>
      <c r="CK35" s="1494"/>
      <c r="CL35" s="1494"/>
      <c r="CM35" s="1494"/>
      <c r="CN35" s="1494"/>
      <c r="CO35" s="1494"/>
      <c r="CP35" s="1494"/>
      <c r="CQ35" s="1494"/>
      <c r="CR35" s="1494"/>
      <c r="CS35"/>
      <c r="CT35" s="1200"/>
      <c r="CU35"/>
      <c r="CV35" s="1494">
        <f>CV16-CV34</f>
        <v>0</v>
      </c>
      <c r="CW35" s="1494"/>
      <c r="CX35" s="1494"/>
      <c r="CY35" s="1494"/>
      <c r="CZ35" s="1494"/>
      <c r="DA35" s="1494"/>
      <c r="DB35" s="1494"/>
      <c r="DC35" s="1494"/>
      <c r="DD35" s="1494"/>
      <c r="DE35" s="1494"/>
      <c r="DF35" s="1494"/>
      <c r="DG35" s="1494"/>
      <c r="DH35" s="1494">
        <f>DH16-DH34</f>
        <v>0</v>
      </c>
      <c r="DI35" s="1494"/>
      <c r="DJ35" s="1494"/>
      <c r="DK35" s="1494"/>
      <c r="DL35" s="1494"/>
      <c r="DM35" s="1494"/>
      <c r="DN35" s="1494"/>
      <c r="DO35" s="1494"/>
      <c r="DP35" s="1494"/>
      <c r="DQ35" s="1494"/>
      <c r="DR35" s="1494"/>
      <c r="DS35" s="1494"/>
      <c r="DT35" s="1494">
        <f>DT16-DT34</f>
        <v>0</v>
      </c>
      <c r="DU35" s="1494"/>
      <c r="DV35" s="1494"/>
      <c r="DW35" s="1494"/>
      <c r="DX35" s="1494"/>
      <c r="DY35" s="1494"/>
      <c r="DZ35" s="1494"/>
      <c r="EA35" s="1494"/>
      <c r="EB35" s="1494"/>
      <c r="EC35" s="1494"/>
      <c r="ED35" s="1494"/>
      <c r="EE35" s="1494"/>
    </row>
    <row r="36" spans="1:135" s="488" customFormat="1" ht="15.95" customHeight="1">
      <c r="B36" s="1495" t="s">
        <v>1943</v>
      </c>
      <c r="C36" s="1496"/>
      <c r="D36" s="1496"/>
      <c r="E36" s="1496"/>
      <c r="F36" s="1496"/>
      <c r="G36" s="1496"/>
      <c r="H36" s="1496"/>
      <c r="I36" s="1496"/>
      <c r="J36" s="1496"/>
      <c r="K36" s="1496"/>
      <c r="L36" s="1496"/>
      <c r="M36" s="1496"/>
      <c r="N36" s="1496"/>
      <c r="O36" s="1496"/>
      <c r="P36" s="1496"/>
      <c r="Q36" s="1496"/>
      <c r="R36" s="1496"/>
      <c r="S36" s="1496"/>
      <c r="T36" s="1496"/>
      <c r="U36" s="1496"/>
      <c r="V36" s="1497">
        <f>V35/V20</f>
        <v>4500000</v>
      </c>
      <c r="W36" s="1497"/>
      <c r="X36" s="1497"/>
      <c r="Y36" s="1497"/>
      <c r="Z36" s="1497"/>
      <c r="AA36" s="1497"/>
      <c r="AB36" s="1497"/>
      <c r="AC36" s="1497"/>
      <c r="AD36" s="1497"/>
      <c r="AE36" s="1497"/>
      <c r="AF36" s="1497"/>
      <c r="AG36" s="1497"/>
      <c r="AH36" s="1497">
        <f>AH35/AH20</f>
        <v>4909090.9090909092</v>
      </c>
      <c r="AI36" s="1497"/>
      <c r="AJ36" s="1497"/>
      <c r="AK36" s="1497"/>
      <c r="AL36" s="1497"/>
      <c r="AM36" s="1497"/>
      <c r="AN36" s="1497"/>
      <c r="AO36" s="1497"/>
      <c r="AP36" s="1497"/>
      <c r="AQ36" s="1497"/>
      <c r="AR36" s="1497"/>
      <c r="AS36" s="1497"/>
      <c r="AT36" s="1497">
        <f>AT35/AT20</f>
        <v>4500000</v>
      </c>
      <c r="AU36" s="1497"/>
      <c r="AV36" s="1497"/>
      <c r="AW36" s="1497"/>
      <c r="AX36" s="1497"/>
      <c r="AY36" s="1497"/>
      <c r="AZ36" s="1497"/>
      <c r="BA36" s="1497"/>
      <c r="BB36" s="1497"/>
      <c r="BC36" s="1497"/>
      <c r="BD36" s="1497"/>
      <c r="BE36" s="1498"/>
      <c r="BG36" s="391"/>
      <c r="BI36" s="1497" t="e">
        <f>BI35/BI20</f>
        <v>#DIV/0!</v>
      </c>
      <c r="BJ36" s="1497"/>
      <c r="BK36" s="1497"/>
      <c r="BL36" s="1497"/>
      <c r="BM36" s="1497"/>
      <c r="BN36" s="1497"/>
      <c r="BO36" s="1497"/>
      <c r="BP36" s="1497"/>
      <c r="BQ36" s="1497"/>
      <c r="BR36" s="1497"/>
      <c r="BS36" s="1497"/>
      <c r="BT36" s="1497"/>
      <c r="BU36" s="1497" t="e">
        <f>BU35/BU20</f>
        <v>#DIV/0!</v>
      </c>
      <c r="BV36" s="1497"/>
      <c r="BW36" s="1497"/>
      <c r="BX36" s="1497"/>
      <c r="BY36" s="1497"/>
      <c r="BZ36" s="1497"/>
      <c r="CA36" s="1497"/>
      <c r="CB36" s="1497"/>
      <c r="CC36" s="1497"/>
      <c r="CD36" s="1497"/>
      <c r="CE36" s="1497"/>
      <c r="CF36" s="1497"/>
      <c r="CG36" s="1497" t="e">
        <f>CG35/CG20</f>
        <v>#DIV/0!</v>
      </c>
      <c r="CH36" s="1497"/>
      <c r="CI36" s="1497"/>
      <c r="CJ36" s="1497"/>
      <c r="CK36" s="1497"/>
      <c r="CL36" s="1497"/>
      <c r="CM36" s="1497"/>
      <c r="CN36" s="1497"/>
      <c r="CO36" s="1497"/>
      <c r="CP36" s="1497"/>
      <c r="CQ36" s="1497"/>
      <c r="CR36" s="1498"/>
      <c r="CS36"/>
      <c r="CT36" s="1206"/>
      <c r="CU36"/>
      <c r="CV36" s="1497" t="e">
        <f>CV35/CV20</f>
        <v>#DIV/0!</v>
      </c>
      <c r="CW36" s="1497"/>
      <c r="CX36" s="1497"/>
      <c r="CY36" s="1497"/>
      <c r="CZ36" s="1497"/>
      <c r="DA36" s="1497"/>
      <c r="DB36" s="1497"/>
      <c r="DC36" s="1497"/>
      <c r="DD36" s="1497"/>
      <c r="DE36" s="1497"/>
      <c r="DF36" s="1497"/>
      <c r="DG36" s="1497"/>
      <c r="DH36" s="1497" t="e">
        <f>DH35/DH20</f>
        <v>#DIV/0!</v>
      </c>
      <c r="DI36" s="1497"/>
      <c r="DJ36" s="1497"/>
      <c r="DK36" s="1497"/>
      <c r="DL36" s="1497"/>
      <c r="DM36" s="1497"/>
      <c r="DN36" s="1497"/>
      <c r="DO36" s="1497"/>
      <c r="DP36" s="1497"/>
      <c r="DQ36" s="1497"/>
      <c r="DR36" s="1497"/>
      <c r="DS36" s="1497"/>
      <c r="DT36" s="1497" t="e">
        <f>DT35/DT20</f>
        <v>#DIV/0!</v>
      </c>
      <c r="DU36" s="1497"/>
      <c r="DV36" s="1497"/>
      <c r="DW36" s="1497"/>
      <c r="DX36" s="1497"/>
      <c r="DY36" s="1497"/>
      <c r="DZ36" s="1497"/>
      <c r="EA36" s="1497"/>
      <c r="EB36" s="1497"/>
      <c r="EC36" s="1497"/>
      <c r="ED36" s="1497"/>
      <c r="EE36" s="1498"/>
    </row>
    <row r="37" spans="1:135" s="305" customFormat="1" ht="3.95" customHeight="1">
      <c r="B37" s="489"/>
      <c r="C37" s="311"/>
      <c r="D37" s="311"/>
      <c r="E37" s="311"/>
      <c r="F37" s="311"/>
      <c r="G37" s="311"/>
      <c r="H37" s="311"/>
      <c r="I37" s="311"/>
      <c r="J37" s="490"/>
      <c r="K37" s="490"/>
      <c r="L37" s="490"/>
      <c r="M37" s="490"/>
      <c r="N37" s="490"/>
      <c r="O37" s="490"/>
      <c r="P37" s="490"/>
      <c r="Q37" s="490"/>
      <c r="R37" s="490"/>
      <c r="S37" s="490"/>
      <c r="T37" s="490"/>
      <c r="U37" s="311"/>
      <c r="V37" s="311"/>
      <c r="W37" s="311"/>
      <c r="X37" s="311"/>
      <c r="Y37" s="311"/>
      <c r="Z37" s="311"/>
      <c r="AA37" s="311"/>
      <c r="AB37" s="311"/>
      <c r="AC37" s="311"/>
      <c r="AD37" s="311"/>
      <c r="AE37" s="311"/>
      <c r="AF37" s="490"/>
      <c r="AG37" s="311"/>
      <c r="AH37" s="311"/>
      <c r="AI37" s="311"/>
      <c r="AJ37" s="311"/>
      <c r="AK37" s="311"/>
      <c r="AL37" s="311"/>
      <c r="AM37" s="311"/>
      <c r="AN37" s="311"/>
      <c r="AO37" s="490"/>
      <c r="AP37" s="490"/>
      <c r="AQ37" s="490"/>
      <c r="AR37" s="490"/>
      <c r="AS37" s="311"/>
      <c r="AT37" s="490"/>
      <c r="AU37" s="490"/>
      <c r="AV37" s="490"/>
      <c r="AW37" s="490"/>
      <c r="AX37" s="490"/>
      <c r="AY37" s="490"/>
      <c r="AZ37" s="490"/>
      <c r="BA37" s="490"/>
      <c r="BB37" s="490"/>
      <c r="BC37" s="490"/>
      <c r="BD37" s="490"/>
      <c r="BE37" s="491"/>
      <c r="BG37" s="391"/>
      <c r="BI37" s="311"/>
      <c r="BJ37" s="311"/>
      <c r="BK37" s="311"/>
      <c r="BL37" s="311"/>
      <c r="BM37" s="311"/>
      <c r="BN37" s="311"/>
      <c r="BO37" s="311"/>
      <c r="BP37" s="311"/>
      <c r="BQ37" s="311"/>
      <c r="BR37" s="311"/>
      <c r="BS37" s="490"/>
      <c r="BT37" s="311"/>
      <c r="BU37" s="311"/>
      <c r="BV37" s="311"/>
      <c r="BW37" s="311"/>
      <c r="BX37" s="311"/>
      <c r="BY37" s="311"/>
      <c r="BZ37" s="311"/>
      <c r="CA37" s="311"/>
      <c r="CB37" s="490"/>
      <c r="CC37" s="490"/>
      <c r="CD37" s="490"/>
      <c r="CE37" s="490"/>
      <c r="CF37" s="311"/>
      <c r="CG37" s="490"/>
      <c r="CH37" s="490"/>
      <c r="CI37" s="490"/>
      <c r="CJ37" s="490"/>
      <c r="CK37" s="490"/>
      <c r="CL37" s="490"/>
      <c r="CM37" s="490"/>
      <c r="CN37" s="490"/>
      <c r="CO37" s="490"/>
      <c r="CP37" s="490"/>
      <c r="CQ37" s="490"/>
      <c r="CR37" s="491"/>
      <c r="CS37"/>
      <c r="CT37" s="1207"/>
      <c r="CU37"/>
      <c r="CV37" s="311"/>
      <c r="CW37" s="311"/>
      <c r="CX37" s="311"/>
      <c r="CY37" s="311"/>
      <c r="CZ37" s="311"/>
      <c r="DA37" s="311"/>
      <c r="DB37" s="311"/>
      <c r="DC37" s="311"/>
      <c r="DD37" s="311"/>
      <c r="DE37" s="311"/>
      <c r="DF37" s="490"/>
      <c r="DG37" s="311"/>
      <c r="DH37" s="311"/>
      <c r="DI37" s="311"/>
      <c r="DJ37" s="311"/>
      <c r="DK37" s="311"/>
      <c r="DL37" s="311"/>
      <c r="DM37" s="311"/>
      <c r="DN37" s="311"/>
      <c r="DO37" s="490"/>
      <c r="DP37" s="490"/>
      <c r="DQ37" s="490"/>
      <c r="DR37" s="490"/>
      <c r="DS37" s="311"/>
      <c r="DT37" s="490"/>
      <c r="DU37" s="490"/>
      <c r="DV37" s="490"/>
      <c r="DW37" s="490"/>
      <c r="DX37" s="490"/>
      <c r="DY37" s="490"/>
      <c r="DZ37" s="490"/>
      <c r="EA37" s="490"/>
      <c r="EB37" s="490"/>
      <c r="EC37" s="490"/>
      <c r="ED37" s="490"/>
      <c r="EE37" s="491"/>
    </row>
    <row r="38" spans="1:135" s="493" customFormat="1" ht="15.95" customHeight="1">
      <c r="B38" s="1489" t="s">
        <v>1944</v>
      </c>
      <c r="C38" s="1490"/>
      <c r="D38" s="1490"/>
      <c r="E38" s="1490"/>
      <c r="F38" s="1490"/>
      <c r="G38" s="1490"/>
      <c r="H38" s="1490"/>
      <c r="I38" s="1490"/>
      <c r="J38" s="1490"/>
      <c r="K38" s="1491" t="s">
        <v>1901</v>
      </c>
      <c r="L38" s="1491"/>
      <c r="M38" s="1491"/>
      <c r="N38" s="1491"/>
      <c r="O38" s="1491"/>
      <c r="P38" s="1491"/>
      <c r="Q38" s="1491"/>
      <c r="R38" s="1491"/>
      <c r="S38" s="1491"/>
      <c r="T38" s="1491"/>
      <c r="U38" s="1491"/>
      <c r="V38" s="1491" t="str">
        <f>V30</f>
        <v>DATA - 1</v>
      </c>
      <c r="W38" s="1492"/>
      <c r="X38" s="1492"/>
      <c r="Y38" s="1492"/>
      <c r="Z38" s="1492"/>
      <c r="AA38" s="1492"/>
      <c r="AB38" s="1492"/>
      <c r="AC38" s="1492"/>
      <c r="AD38" s="1492"/>
      <c r="AE38" s="1492"/>
      <c r="AF38" s="1492"/>
      <c r="AG38" s="1492"/>
      <c r="AH38" s="1491" t="str">
        <f>AH30</f>
        <v>DATA - 2</v>
      </c>
      <c r="AI38" s="1492"/>
      <c r="AJ38" s="1492"/>
      <c r="AK38" s="1492"/>
      <c r="AL38" s="1492"/>
      <c r="AM38" s="1492"/>
      <c r="AN38" s="1492"/>
      <c r="AO38" s="1492"/>
      <c r="AP38" s="1492"/>
      <c r="AQ38" s="1492"/>
      <c r="AR38" s="1492"/>
      <c r="AS38" s="1492"/>
      <c r="AT38" s="1491" t="str">
        <f>AT30</f>
        <v>DATA - 3</v>
      </c>
      <c r="AU38" s="1492"/>
      <c r="AV38" s="1492"/>
      <c r="AW38" s="1492"/>
      <c r="AX38" s="1492"/>
      <c r="AY38" s="1492"/>
      <c r="AZ38" s="1492"/>
      <c r="BA38" s="1492"/>
      <c r="BB38" s="1492"/>
      <c r="BC38" s="1492"/>
      <c r="BD38" s="1492"/>
      <c r="BE38" s="1493"/>
      <c r="BG38" s="391"/>
      <c r="BI38" s="1491" t="str">
        <f>BI30</f>
        <v>DATA - 4</v>
      </c>
      <c r="BJ38" s="1492"/>
      <c r="BK38" s="1492"/>
      <c r="BL38" s="1492"/>
      <c r="BM38" s="1492"/>
      <c r="BN38" s="1492"/>
      <c r="BO38" s="1492"/>
      <c r="BP38" s="1492"/>
      <c r="BQ38" s="1492"/>
      <c r="BR38" s="1492"/>
      <c r="BS38" s="1492"/>
      <c r="BT38" s="1492"/>
      <c r="BU38" s="1491" t="str">
        <f>BU30</f>
        <v>DATA - 5</v>
      </c>
      <c r="BV38" s="1492"/>
      <c r="BW38" s="1492"/>
      <c r="BX38" s="1492"/>
      <c r="BY38" s="1492"/>
      <c r="BZ38" s="1492"/>
      <c r="CA38" s="1492"/>
      <c r="CB38" s="1492"/>
      <c r="CC38" s="1492"/>
      <c r="CD38" s="1492"/>
      <c r="CE38" s="1492"/>
      <c r="CF38" s="1492"/>
      <c r="CG38" s="1491" t="str">
        <f>CG30</f>
        <v>DATA - 6</v>
      </c>
      <c r="CH38" s="1492"/>
      <c r="CI38" s="1492"/>
      <c r="CJ38" s="1492"/>
      <c r="CK38" s="1492"/>
      <c r="CL38" s="1492"/>
      <c r="CM38" s="1492"/>
      <c r="CN38" s="1492"/>
      <c r="CO38" s="1492"/>
      <c r="CP38" s="1492"/>
      <c r="CQ38" s="1492"/>
      <c r="CR38" s="1493"/>
      <c r="CS38"/>
      <c r="CT38" s="1204"/>
      <c r="CU38"/>
      <c r="CV38" s="1491" t="str">
        <f>CV30</f>
        <v>DATA - 7</v>
      </c>
      <c r="CW38" s="1492"/>
      <c r="CX38" s="1492"/>
      <c r="CY38" s="1492"/>
      <c r="CZ38" s="1492"/>
      <c r="DA38" s="1492"/>
      <c r="DB38" s="1492"/>
      <c r="DC38" s="1492"/>
      <c r="DD38" s="1492"/>
      <c r="DE38" s="1492"/>
      <c r="DF38" s="1492"/>
      <c r="DG38" s="1492"/>
      <c r="DH38" s="1491" t="str">
        <f>DH30</f>
        <v>DATA - 8</v>
      </c>
      <c r="DI38" s="1492"/>
      <c r="DJ38" s="1492"/>
      <c r="DK38" s="1492"/>
      <c r="DL38" s="1492"/>
      <c r="DM38" s="1492"/>
      <c r="DN38" s="1492"/>
      <c r="DO38" s="1492"/>
      <c r="DP38" s="1492"/>
      <c r="DQ38" s="1492"/>
      <c r="DR38" s="1492"/>
      <c r="DS38" s="1492"/>
      <c r="DT38" s="1491" t="str">
        <f>DT30</f>
        <v>DATA - 9</v>
      </c>
      <c r="DU38" s="1492"/>
      <c r="DV38" s="1492"/>
      <c r="DW38" s="1492"/>
      <c r="DX38" s="1492"/>
      <c r="DY38" s="1492"/>
      <c r="DZ38" s="1492"/>
      <c r="EA38" s="1492"/>
      <c r="EB38" s="1492"/>
      <c r="EC38" s="1492"/>
      <c r="ED38" s="1492"/>
      <c r="EE38" s="1493"/>
    </row>
    <row r="39" spans="1:135" s="360" customFormat="1" ht="15" customHeight="1">
      <c r="B39" s="466" t="s">
        <v>1770</v>
      </c>
      <c r="C39" s="467" t="s">
        <v>1945</v>
      </c>
      <c r="D39" s="467"/>
      <c r="E39" s="467"/>
      <c r="F39" s="467"/>
      <c r="G39" s="467"/>
      <c r="H39" s="467"/>
      <c r="I39" s="467"/>
      <c r="J39" s="468"/>
      <c r="K39" s="1484" t="s">
        <v>1946</v>
      </c>
      <c r="L39" s="1485"/>
      <c r="M39" s="1485"/>
      <c r="N39" s="1485"/>
      <c r="O39" s="1485"/>
      <c r="P39" s="1485"/>
      <c r="Q39" s="1485"/>
      <c r="R39" s="1485"/>
      <c r="S39" s="1485"/>
      <c r="T39" s="1485"/>
      <c r="U39" s="1486"/>
      <c r="V39" s="1444">
        <v>0</v>
      </c>
      <c r="W39" s="1445"/>
      <c r="X39" s="1449">
        <f>ABS(V39)</f>
        <v>0</v>
      </c>
      <c r="Y39" s="1445"/>
      <c r="Z39" s="1481">
        <f>V39*V36</f>
        <v>0</v>
      </c>
      <c r="AA39" s="1482"/>
      <c r="AB39" s="1482"/>
      <c r="AC39" s="1483"/>
      <c r="AD39" s="1475">
        <f>Z39*V20</f>
        <v>0</v>
      </c>
      <c r="AE39" s="1476"/>
      <c r="AF39" s="1476"/>
      <c r="AG39" s="1477"/>
      <c r="AH39" s="1444">
        <v>0</v>
      </c>
      <c r="AI39" s="1445"/>
      <c r="AJ39" s="1449">
        <f>ABS(AH39)</f>
        <v>0</v>
      </c>
      <c r="AK39" s="1445"/>
      <c r="AL39" s="1472">
        <f>AH39*AH36</f>
        <v>0</v>
      </c>
      <c r="AM39" s="1473"/>
      <c r="AN39" s="1473"/>
      <c r="AO39" s="1474"/>
      <c r="AP39" s="1475">
        <f>AL39*AH20</f>
        <v>0</v>
      </c>
      <c r="AQ39" s="1476"/>
      <c r="AR39" s="1476"/>
      <c r="AS39" s="1477"/>
      <c r="AT39" s="1444">
        <v>0</v>
      </c>
      <c r="AU39" s="1445"/>
      <c r="AV39" s="1449">
        <f>ABS(AT39)</f>
        <v>0</v>
      </c>
      <c r="AW39" s="1445"/>
      <c r="AX39" s="1472">
        <f>AT39*AT36</f>
        <v>0</v>
      </c>
      <c r="AY39" s="1473"/>
      <c r="AZ39" s="1473"/>
      <c r="BA39" s="1474"/>
      <c r="BB39" s="1475">
        <f>AX39*AT20</f>
        <v>0</v>
      </c>
      <c r="BC39" s="1476"/>
      <c r="BD39" s="1476"/>
      <c r="BE39" s="1477"/>
      <c r="BG39" s="391"/>
      <c r="BI39" s="1444">
        <v>0</v>
      </c>
      <c r="BJ39" s="1445"/>
      <c r="BK39" s="1449">
        <f>ABS(BI39)</f>
        <v>0</v>
      </c>
      <c r="BL39" s="1445"/>
      <c r="BM39" s="1481" t="e">
        <f>BI39*BI36</f>
        <v>#DIV/0!</v>
      </c>
      <c r="BN39" s="1482"/>
      <c r="BO39" s="1482"/>
      <c r="BP39" s="1483"/>
      <c r="BQ39" s="1475" t="e">
        <f>BM39*BI20</f>
        <v>#DIV/0!</v>
      </c>
      <c r="BR39" s="1476"/>
      <c r="BS39" s="1476"/>
      <c r="BT39" s="1477"/>
      <c r="BU39" s="1444">
        <v>0</v>
      </c>
      <c r="BV39" s="1445"/>
      <c r="BW39" s="1449">
        <f>ABS(BU39)</f>
        <v>0</v>
      </c>
      <c r="BX39" s="1445"/>
      <c r="BY39" s="1472" t="e">
        <f>BU39*BU36</f>
        <v>#DIV/0!</v>
      </c>
      <c r="BZ39" s="1473"/>
      <c r="CA39" s="1473"/>
      <c r="CB39" s="1474"/>
      <c r="CC39" s="1475" t="e">
        <f>BY39*BU20</f>
        <v>#DIV/0!</v>
      </c>
      <c r="CD39" s="1476"/>
      <c r="CE39" s="1476"/>
      <c r="CF39" s="1477"/>
      <c r="CG39" s="1444">
        <v>0</v>
      </c>
      <c r="CH39" s="1445"/>
      <c r="CI39" s="1449">
        <f>ABS(CG39)</f>
        <v>0</v>
      </c>
      <c r="CJ39" s="1445"/>
      <c r="CK39" s="1472" t="e">
        <f>CG39*CG36</f>
        <v>#DIV/0!</v>
      </c>
      <c r="CL39" s="1473"/>
      <c r="CM39" s="1473"/>
      <c r="CN39" s="1474"/>
      <c r="CO39" s="1475" t="e">
        <f>CK39*CG20</f>
        <v>#DIV/0!</v>
      </c>
      <c r="CP39" s="1476"/>
      <c r="CQ39" s="1476"/>
      <c r="CR39" s="1477"/>
      <c r="CS39"/>
      <c r="CT39" s="1208"/>
      <c r="CU39"/>
      <c r="CV39" s="1444">
        <v>0</v>
      </c>
      <c r="CW39" s="1445"/>
      <c r="CX39" s="1449">
        <f>ABS(CV39)</f>
        <v>0</v>
      </c>
      <c r="CY39" s="1445"/>
      <c r="CZ39" s="1481" t="e">
        <f>CV39*CV36</f>
        <v>#DIV/0!</v>
      </c>
      <c r="DA39" s="1482"/>
      <c r="DB39" s="1482"/>
      <c r="DC39" s="1483"/>
      <c r="DD39" s="1475" t="e">
        <f>CZ39*CV20</f>
        <v>#DIV/0!</v>
      </c>
      <c r="DE39" s="1476"/>
      <c r="DF39" s="1476"/>
      <c r="DG39" s="1477"/>
      <c r="DH39" s="1444">
        <v>0</v>
      </c>
      <c r="DI39" s="1445"/>
      <c r="DJ39" s="1449">
        <f>ABS(DH39)</f>
        <v>0</v>
      </c>
      <c r="DK39" s="1445"/>
      <c r="DL39" s="1472" t="e">
        <f>DH39*DH36</f>
        <v>#DIV/0!</v>
      </c>
      <c r="DM39" s="1473"/>
      <c r="DN39" s="1473"/>
      <c r="DO39" s="1474"/>
      <c r="DP39" s="1475" t="e">
        <f>DL39*DH20</f>
        <v>#DIV/0!</v>
      </c>
      <c r="DQ39" s="1476"/>
      <c r="DR39" s="1476"/>
      <c r="DS39" s="1477"/>
      <c r="DT39" s="1444">
        <v>0</v>
      </c>
      <c r="DU39" s="1445"/>
      <c r="DV39" s="1449">
        <f>ABS(DT39)</f>
        <v>0</v>
      </c>
      <c r="DW39" s="1445"/>
      <c r="DX39" s="1472" t="e">
        <f>DT39*DT36</f>
        <v>#DIV/0!</v>
      </c>
      <c r="DY39" s="1473"/>
      <c r="DZ39" s="1473"/>
      <c r="EA39" s="1474"/>
      <c r="EB39" s="1475" t="e">
        <f>DX39*DT20</f>
        <v>#DIV/0!</v>
      </c>
      <c r="EC39" s="1476"/>
      <c r="ED39" s="1476"/>
      <c r="EE39" s="1477"/>
    </row>
    <row r="40" spans="1:135" s="360" customFormat="1" ht="15" customHeight="1">
      <c r="B40" s="466" t="s">
        <v>1770</v>
      </c>
      <c r="C40" s="467" t="s">
        <v>1926</v>
      </c>
      <c r="D40" s="467"/>
      <c r="E40" s="467"/>
      <c r="F40" s="467"/>
      <c r="G40" s="467"/>
      <c r="H40" s="467"/>
      <c r="I40" s="467"/>
      <c r="J40" s="468"/>
      <c r="K40" s="1484" t="s">
        <v>1947</v>
      </c>
      <c r="L40" s="1485"/>
      <c r="M40" s="1485"/>
      <c r="N40" s="1485"/>
      <c r="O40" s="1485"/>
      <c r="P40" s="1485"/>
      <c r="Q40" s="1485"/>
      <c r="R40" s="1485"/>
      <c r="S40" s="1485"/>
      <c r="T40" s="1485"/>
      <c r="U40" s="1486"/>
      <c r="V40" s="1444">
        <v>0</v>
      </c>
      <c r="W40" s="1445"/>
      <c r="X40" s="1449">
        <f t="shared" ref="X40:X49" si="0">ABS(V40)</f>
        <v>0</v>
      </c>
      <c r="Y40" s="1445"/>
      <c r="Z40" s="1481">
        <f>V40*V36</f>
        <v>0</v>
      </c>
      <c r="AA40" s="1482"/>
      <c r="AB40" s="1482"/>
      <c r="AC40" s="1483"/>
      <c r="AD40" s="1475">
        <f>Z40*V20</f>
        <v>0</v>
      </c>
      <c r="AE40" s="1476"/>
      <c r="AF40" s="1476"/>
      <c r="AG40" s="1477"/>
      <c r="AH40" s="1444">
        <v>0</v>
      </c>
      <c r="AI40" s="1445"/>
      <c r="AJ40" s="1449">
        <f t="shared" ref="AJ40:AJ49" si="1">ABS(AH40)</f>
        <v>0</v>
      </c>
      <c r="AK40" s="1445"/>
      <c r="AL40" s="1472">
        <f>AH40*AH36</f>
        <v>0</v>
      </c>
      <c r="AM40" s="1473"/>
      <c r="AN40" s="1473"/>
      <c r="AO40" s="1474"/>
      <c r="AP40" s="1475">
        <f>AL40*AH20</f>
        <v>0</v>
      </c>
      <c r="AQ40" s="1476"/>
      <c r="AR40" s="1476"/>
      <c r="AS40" s="1477"/>
      <c r="AT40" s="1444">
        <v>0</v>
      </c>
      <c r="AU40" s="1445"/>
      <c r="AV40" s="1449">
        <f t="shared" ref="AV40:AV49" si="2">ABS(AT40)</f>
        <v>0</v>
      </c>
      <c r="AW40" s="1445"/>
      <c r="AX40" s="1472">
        <f>AT40*AT36</f>
        <v>0</v>
      </c>
      <c r="AY40" s="1473"/>
      <c r="AZ40" s="1473"/>
      <c r="BA40" s="1474"/>
      <c r="BB40" s="1475">
        <f>AX40*AT20</f>
        <v>0</v>
      </c>
      <c r="BC40" s="1476"/>
      <c r="BD40" s="1476"/>
      <c r="BE40" s="1477"/>
      <c r="BG40" s="391"/>
      <c r="BI40" s="1444">
        <v>0</v>
      </c>
      <c r="BJ40" s="1445"/>
      <c r="BK40" s="1449">
        <f t="shared" ref="BK40:BK49" si="3">ABS(BI40)</f>
        <v>0</v>
      </c>
      <c r="BL40" s="1445"/>
      <c r="BM40" s="1481" t="e">
        <f>BI40*BI36</f>
        <v>#DIV/0!</v>
      </c>
      <c r="BN40" s="1482"/>
      <c r="BO40" s="1482"/>
      <c r="BP40" s="1483"/>
      <c r="BQ40" s="1475" t="e">
        <f>BM40*BI20</f>
        <v>#DIV/0!</v>
      </c>
      <c r="BR40" s="1476"/>
      <c r="BS40" s="1476"/>
      <c r="BT40" s="1477"/>
      <c r="BU40" s="1444">
        <v>0</v>
      </c>
      <c r="BV40" s="1445"/>
      <c r="BW40" s="1449">
        <f t="shared" ref="BW40:BW49" si="4">ABS(BU40)</f>
        <v>0</v>
      </c>
      <c r="BX40" s="1445"/>
      <c r="BY40" s="1472" t="e">
        <f>BU40*BU36</f>
        <v>#DIV/0!</v>
      </c>
      <c r="BZ40" s="1473"/>
      <c r="CA40" s="1473"/>
      <c r="CB40" s="1474"/>
      <c r="CC40" s="1475" t="e">
        <f>BY40*BU20</f>
        <v>#DIV/0!</v>
      </c>
      <c r="CD40" s="1476"/>
      <c r="CE40" s="1476"/>
      <c r="CF40" s="1477"/>
      <c r="CG40" s="1444">
        <v>0</v>
      </c>
      <c r="CH40" s="1445"/>
      <c r="CI40" s="1449">
        <f t="shared" ref="CI40:CI49" si="5">ABS(CG40)</f>
        <v>0</v>
      </c>
      <c r="CJ40" s="1445"/>
      <c r="CK40" s="1472" t="e">
        <f>CG40*CG36</f>
        <v>#DIV/0!</v>
      </c>
      <c r="CL40" s="1473"/>
      <c r="CM40" s="1473"/>
      <c r="CN40" s="1474"/>
      <c r="CO40" s="1475" t="e">
        <f>CK40*CG20</f>
        <v>#DIV/0!</v>
      </c>
      <c r="CP40" s="1476"/>
      <c r="CQ40" s="1476"/>
      <c r="CR40" s="1477"/>
      <c r="CS40"/>
      <c r="CT40" s="1208"/>
      <c r="CU40"/>
      <c r="CV40" s="1444">
        <v>0</v>
      </c>
      <c r="CW40" s="1445"/>
      <c r="CX40" s="1449">
        <f t="shared" ref="CX40:CX49" si="6">ABS(CV40)</f>
        <v>0</v>
      </c>
      <c r="CY40" s="1445"/>
      <c r="CZ40" s="1481" t="e">
        <f>CV40*CV36</f>
        <v>#DIV/0!</v>
      </c>
      <c r="DA40" s="1482"/>
      <c r="DB40" s="1482"/>
      <c r="DC40" s="1483"/>
      <c r="DD40" s="1475" t="e">
        <f>CZ40*CV20</f>
        <v>#DIV/0!</v>
      </c>
      <c r="DE40" s="1476"/>
      <c r="DF40" s="1476"/>
      <c r="DG40" s="1477"/>
      <c r="DH40" s="1444">
        <v>0</v>
      </c>
      <c r="DI40" s="1445"/>
      <c r="DJ40" s="1449">
        <f t="shared" ref="DJ40:DJ49" si="7">ABS(DH40)</f>
        <v>0</v>
      </c>
      <c r="DK40" s="1445"/>
      <c r="DL40" s="1472" t="e">
        <f>DH40*DH36</f>
        <v>#DIV/0!</v>
      </c>
      <c r="DM40" s="1473"/>
      <c r="DN40" s="1473"/>
      <c r="DO40" s="1474"/>
      <c r="DP40" s="1475" t="e">
        <f>DL40*DH20</f>
        <v>#DIV/0!</v>
      </c>
      <c r="DQ40" s="1476"/>
      <c r="DR40" s="1476"/>
      <c r="DS40" s="1477"/>
      <c r="DT40" s="1444">
        <v>0</v>
      </c>
      <c r="DU40" s="1445"/>
      <c r="DV40" s="1449">
        <f t="shared" ref="DV40:DV49" si="8">ABS(DT40)</f>
        <v>0</v>
      </c>
      <c r="DW40" s="1445"/>
      <c r="DX40" s="1472" t="e">
        <f>DT40*DT36</f>
        <v>#DIV/0!</v>
      </c>
      <c r="DY40" s="1473"/>
      <c r="DZ40" s="1473"/>
      <c r="EA40" s="1474"/>
      <c r="EB40" s="1475" t="e">
        <f>DX40*DT20</f>
        <v>#DIV/0!</v>
      </c>
      <c r="EC40" s="1476"/>
      <c r="ED40" s="1476"/>
      <c r="EE40" s="1477"/>
    </row>
    <row r="41" spans="1:135" s="360" customFormat="1" ht="15" customHeight="1">
      <c r="B41" s="466" t="s">
        <v>1770</v>
      </c>
      <c r="C41" s="467" t="s">
        <v>1927</v>
      </c>
      <c r="D41" s="467"/>
      <c r="E41" s="467"/>
      <c r="F41" s="467"/>
      <c r="G41" s="467"/>
      <c r="H41" s="467"/>
      <c r="I41" s="467"/>
      <c r="J41" s="468"/>
      <c r="K41" s="1484" t="s">
        <v>1948</v>
      </c>
      <c r="L41" s="1485"/>
      <c r="M41" s="1485"/>
      <c r="N41" s="1485"/>
      <c r="O41" s="1485"/>
      <c r="P41" s="1485"/>
      <c r="Q41" s="1485"/>
      <c r="R41" s="1485"/>
      <c r="S41" s="1485"/>
      <c r="T41" s="1485"/>
      <c r="U41" s="1486"/>
      <c r="V41" s="1444">
        <v>0</v>
      </c>
      <c r="W41" s="1445"/>
      <c r="X41" s="1449">
        <f t="shared" si="0"/>
        <v>0</v>
      </c>
      <c r="Y41" s="1445"/>
      <c r="Z41" s="1481">
        <f>V41*V36</f>
        <v>0</v>
      </c>
      <c r="AA41" s="1482"/>
      <c r="AB41" s="1482"/>
      <c r="AC41" s="1483"/>
      <c r="AD41" s="1475">
        <f>Z41*V20</f>
        <v>0</v>
      </c>
      <c r="AE41" s="1476"/>
      <c r="AF41" s="1476"/>
      <c r="AG41" s="1477"/>
      <c r="AH41" s="1444">
        <v>0.05</v>
      </c>
      <c r="AI41" s="1445"/>
      <c r="AJ41" s="1449">
        <f t="shared" si="1"/>
        <v>0.05</v>
      </c>
      <c r="AK41" s="1445"/>
      <c r="AL41" s="1472">
        <f>AH41*AH36</f>
        <v>245454.54545454547</v>
      </c>
      <c r="AM41" s="1473"/>
      <c r="AN41" s="1473"/>
      <c r="AO41" s="1474"/>
      <c r="AP41" s="1475">
        <f>AL41*AH20</f>
        <v>135000000</v>
      </c>
      <c r="AQ41" s="1476"/>
      <c r="AR41" s="1476"/>
      <c r="AS41" s="1477"/>
      <c r="AT41" s="1444">
        <v>0.08</v>
      </c>
      <c r="AU41" s="1445"/>
      <c r="AV41" s="1449">
        <f t="shared" si="2"/>
        <v>0.08</v>
      </c>
      <c r="AW41" s="1445"/>
      <c r="AX41" s="1472">
        <f>AT41*AT36</f>
        <v>360000</v>
      </c>
      <c r="AY41" s="1473"/>
      <c r="AZ41" s="1473"/>
      <c r="BA41" s="1474"/>
      <c r="BB41" s="1475">
        <f>AX41*AT20</f>
        <v>252000000</v>
      </c>
      <c r="BC41" s="1476"/>
      <c r="BD41" s="1476"/>
      <c r="BE41" s="1477"/>
      <c r="BG41" s="391"/>
      <c r="BI41" s="1444">
        <v>0</v>
      </c>
      <c r="BJ41" s="1445"/>
      <c r="BK41" s="1449">
        <f t="shared" si="3"/>
        <v>0</v>
      </c>
      <c r="BL41" s="1445"/>
      <c r="BM41" s="1481" t="e">
        <f>BI41*BI36</f>
        <v>#DIV/0!</v>
      </c>
      <c r="BN41" s="1482"/>
      <c r="BO41" s="1482"/>
      <c r="BP41" s="1483"/>
      <c r="BQ41" s="1475" t="e">
        <f>BM41*BI20</f>
        <v>#DIV/0!</v>
      </c>
      <c r="BR41" s="1476"/>
      <c r="BS41" s="1476"/>
      <c r="BT41" s="1477"/>
      <c r="BU41" s="1444">
        <v>0</v>
      </c>
      <c r="BV41" s="1445"/>
      <c r="BW41" s="1449">
        <f t="shared" si="4"/>
        <v>0</v>
      </c>
      <c r="BX41" s="1445"/>
      <c r="BY41" s="1472" t="e">
        <f>BU41*BU36</f>
        <v>#DIV/0!</v>
      </c>
      <c r="BZ41" s="1473"/>
      <c r="CA41" s="1473"/>
      <c r="CB41" s="1474"/>
      <c r="CC41" s="1475" t="e">
        <f>BY41*BU20</f>
        <v>#DIV/0!</v>
      </c>
      <c r="CD41" s="1476"/>
      <c r="CE41" s="1476"/>
      <c r="CF41" s="1477"/>
      <c r="CG41" s="1444">
        <v>0</v>
      </c>
      <c r="CH41" s="1445"/>
      <c r="CI41" s="1449">
        <f t="shared" si="5"/>
        <v>0</v>
      </c>
      <c r="CJ41" s="1445"/>
      <c r="CK41" s="1472" t="e">
        <f>CG41*CG36</f>
        <v>#DIV/0!</v>
      </c>
      <c r="CL41" s="1473"/>
      <c r="CM41" s="1473"/>
      <c r="CN41" s="1474"/>
      <c r="CO41" s="1475" t="e">
        <f>CK41*CG20</f>
        <v>#DIV/0!</v>
      </c>
      <c r="CP41" s="1476"/>
      <c r="CQ41" s="1476"/>
      <c r="CR41" s="1477"/>
      <c r="CS41"/>
      <c r="CT41" s="1208"/>
      <c r="CU41"/>
      <c r="CV41" s="1444">
        <v>0</v>
      </c>
      <c r="CW41" s="1445"/>
      <c r="CX41" s="1449">
        <f t="shared" si="6"/>
        <v>0</v>
      </c>
      <c r="CY41" s="1445"/>
      <c r="CZ41" s="1481" t="e">
        <f>CV41*CV36</f>
        <v>#DIV/0!</v>
      </c>
      <c r="DA41" s="1482"/>
      <c r="DB41" s="1482"/>
      <c r="DC41" s="1483"/>
      <c r="DD41" s="1475" t="e">
        <f>CZ41*CV20</f>
        <v>#DIV/0!</v>
      </c>
      <c r="DE41" s="1476"/>
      <c r="DF41" s="1476"/>
      <c r="DG41" s="1477"/>
      <c r="DH41" s="1444">
        <v>0</v>
      </c>
      <c r="DI41" s="1445"/>
      <c r="DJ41" s="1449">
        <f t="shared" si="7"/>
        <v>0</v>
      </c>
      <c r="DK41" s="1445"/>
      <c r="DL41" s="1472" t="e">
        <f>DH41*DH36</f>
        <v>#DIV/0!</v>
      </c>
      <c r="DM41" s="1473"/>
      <c r="DN41" s="1473"/>
      <c r="DO41" s="1474"/>
      <c r="DP41" s="1475" t="e">
        <f>DL41*DH20</f>
        <v>#DIV/0!</v>
      </c>
      <c r="DQ41" s="1476"/>
      <c r="DR41" s="1476"/>
      <c r="DS41" s="1477"/>
      <c r="DT41" s="1444">
        <v>0</v>
      </c>
      <c r="DU41" s="1445"/>
      <c r="DV41" s="1449">
        <f t="shared" si="8"/>
        <v>0</v>
      </c>
      <c r="DW41" s="1445"/>
      <c r="DX41" s="1472" t="e">
        <f>DT41*DT36</f>
        <v>#DIV/0!</v>
      </c>
      <c r="DY41" s="1473"/>
      <c r="DZ41" s="1473"/>
      <c r="EA41" s="1474"/>
      <c r="EB41" s="1475" t="e">
        <f>DX41*DT20</f>
        <v>#DIV/0!</v>
      </c>
      <c r="EC41" s="1476"/>
      <c r="ED41" s="1476"/>
      <c r="EE41" s="1477"/>
    </row>
    <row r="42" spans="1:135" s="360" customFormat="1" ht="15" customHeight="1">
      <c r="B42" s="466" t="s">
        <v>1770</v>
      </c>
      <c r="C42" s="467" t="s">
        <v>1949</v>
      </c>
      <c r="D42" s="467"/>
      <c r="E42" s="467"/>
      <c r="F42" s="467"/>
      <c r="G42" s="467"/>
      <c r="H42" s="467"/>
      <c r="I42" s="467"/>
      <c r="J42" s="468"/>
      <c r="K42" s="1484" t="s">
        <v>1950</v>
      </c>
      <c r="L42" s="1485"/>
      <c r="M42" s="1485"/>
      <c r="N42" s="1485"/>
      <c r="O42" s="1485"/>
      <c r="P42" s="1485"/>
      <c r="Q42" s="1485"/>
      <c r="R42" s="1485"/>
      <c r="S42" s="1485"/>
      <c r="T42" s="1485"/>
      <c r="U42" s="1486"/>
      <c r="V42" s="1444">
        <v>0</v>
      </c>
      <c r="W42" s="1445"/>
      <c r="X42" s="1449">
        <f t="shared" si="0"/>
        <v>0</v>
      </c>
      <c r="Y42" s="1445"/>
      <c r="Z42" s="1481">
        <f>V42*V36</f>
        <v>0</v>
      </c>
      <c r="AA42" s="1482"/>
      <c r="AB42" s="1482"/>
      <c r="AC42" s="1483"/>
      <c r="AD42" s="1475">
        <f>Z42*V20</f>
        <v>0</v>
      </c>
      <c r="AE42" s="1476"/>
      <c r="AF42" s="1476"/>
      <c r="AG42" s="1477"/>
      <c r="AH42" s="1444">
        <v>0</v>
      </c>
      <c r="AI42" s="1445"/>
      <c r="AJ42" s="1449">
        <f t="shared" si="1"/>
        <v>0</v>
      </c>
      <c r="AK42" s="1445"/>
      <c r="AL42" s="1472">
        <f>AH42*AH36</f>
        <v>0</v>
      </c>
      <c r="AM42" s="1473"/>
      <c r="AN42" s="1473"/>
      <c r="AO42" s="1474"/>
      <c r="AP42" s="1475">
        <f>AL42*AH20</f>
        <v>0</v>
      </c>
      <c r="AQ42" s="1476"/>
      <c r="AR42" s="1476"/>
      <c r="AS42" s="1477"/>
      <c r="AT42" s="1444">
        <v>0</v>
      </c>
      <c r="AU42" s="1445"/>
      <c r="AV42" s="1449">
        <f t="shared" si="2"/>
        <v>0</v>
      </c>
      <c r="AW42" s="1445"/>
      <c r="AX42" s="1472">
        <f>AT42*AT36</f>
        <v>0</v>
      </c>
      <c r="AY42" s="1473"/>
      <c r="AZ42" s="1473"/>
      <c r="BA42" s="1474"/>
      <c r="BB42" s="1475">
        <f>AX42*AT20</f>
        <v>0</v>
      </c>
      <c r="BC42" s="1476"/>
      <c r="BD42" s="1476"/>
      <c r="BE42" s="1477"/>
      <c r="BG42" s="391"/>
      <c r="BI42" s="1444">
        <v>0</v>
      </c>
      <c r="BJ42" s="1445"/>
      <c r="BK42" s="1449">
        <f t="shared" si="3"/>
        <v>0</v>
      </c>
      <c r="BL42" s="1445"/>
      <c r="BM42" s="1481" t="e">
        <f>BI42*BI36</f>
        <v>#DIV/0!</v>
      </c>
      <c r="BN42" s="1482"/>
      <c r="BO42" s="1482"/>
      <c r="BP42" s="1483"/>
      <c r="BQ42" s="1475" t="e">
        <f>BM42*BI20</f>
        <v>#DIV/0!</v>
      </c>
      <c r="BR42" s="1476"/>
      <c r="BS42" s="1476"/>
      <c r="BT42" s="1477"/>
      <c r="BU42" s="1444">
        <v>0</v>
      </c>
      <c r="BV42" s="1445"/>
      <c r="BW42" s="1449">
        <f t="shared" si="4"/>
        <v>0</v>
      </c>
      <c r="BX42" s="1445"/>
      <c r="BY42" s="1472" t="e">
        <f>BU42*BU36</f>
        <v>#DIV/0!</v>
      </c>
      <c r="BZ42" s="1473"/>
      <c r="CA42" s="1473"/>
      <c r="CB42" s="1474"/>
      <c r="CC42" s="1475" t="e">
        <f>BY42*BU20</f>
        <v>#DIV/0!</v>
      </c>
      <c r="CD42" s="1476"/>
      <c r="CE42" s="1476"/>
      <c r="CF42" s="1477"/>
      <c r="CG42" s="1444">
        <v>0</v>
      </c>
      <c r="CH42" s="1445"/>
      <c r="CI42" s="1449">
        <f t="shared" si="5"/>
        <v>0</v>
      </c>
      <c r="CJ42" s="1445"/>
      <c r="CK42" s="1472" t="e">
        <f>CG42*CG36</f>
        <v>#DIV/0!</v>
      </c>
      <c r="CL42" s="1473"/>
      <c r="CM42" s="1473"/>
      <c r="CN42" s="1474"/>
      <c r="CO42" s="1475" t="e">
        <f>CK42*CG20</f>
        <v>#DIV/0!</v>
      </c>
      <c r="CP42" s="1476"/>
      <c r="CQ42" s="1476"/>
      <c r="CR42" s="1477"/>
      <c r="CS42"/>
      <c r="CT42" s="1208"/>
      <c r="CU42"/>
      <c r="CV42" s="1444">
        <v>0</v>
      </c>
      <c r="CW42" s="1445"/>
      <c r="CX42" s="1449">
        <f t="shared" si="6"/>
        <v>0</v>
      </c>
      <c r="CY42" s="1445"/>
      <c r="CZ42" s="1481" t="e">
        <f>CV42*CV36</f>
        <v>#DIV/0!</v>
      </c>
      <c r="DA42" s="1482"/>
      <c r="DB42" s="1482"/>
      <c r="DC42" s="1483"/>
      <c r="DD42" s="1475" t="e">
        <f>CZ42*CV20</f>
        <v>#DIV/0!</v>
      </c>
      <c r="DE42" s="1476"/>
      <c r="DF42" s="1476"/>
      <c r="DG42" s="1477"/>
      <c r="DH42" s="1444">
        <v>0</v>
      </c>
      <c r="DI42" s="1445"/>
      <c r="DJ42" s="1449">
        <f t="shared" si="7"/>
        <v>0</v>
      </c>
      <c r="DK42" s="1445"/>
      <c r="DL42" s="1472" t="e">
        <f>DH42*DH36</f>
        <v>#DIV/0!</v>
      </c>
      <c r="DM42" s="1473"/>
      <c r="DN42" s="1473"/>
      <c r="DO42" s="1474"/>
      <c r="DP42" s="1475" t="e">
        <f>DL42*DH20</f>
        <v>#DIV/0!</v>
      </c>
      <c r="DQ42" s="1476"/>
      <c r="DR42" s="1476"/>
      <c r="DS42" s="1477"/>
      <c r="DT42" s="1444">
        <v>0</v>
      </c>
      <c r="DU42" s="1445"/>
      <c r="DV42" s="1449">
        <f t="shared" si="8"/>
        <v>0</v>
      </c>
      <c r="DW42" s="1445"/>
      <c r="DX42" s="1472" t="e">
        <f>DT42*DT36</f>
        <v>#DIV/0!</v>
      </c>
      <c r="DY42" s="1473"/>
      <c r="DZ42" s="1473"/>
      <c r="EA42" s="1474"/>
      <c r="EB42" s="1475" t="e">
        <f>DX42*DT20</f>
        <v>#DIV/0!</v>
      </c>
      <c r="EC42" s="1476"/>
      <c r="ED42" s="1476"/>
      <c r="EE42" s="1477"/>
    </row>
    <row r="43" spans="1:135" s="360" customFormat="1" ht="15" customHeight="1">
      <c r="B43" s="466" t="s">
        <v>1770</v>
      </c>
      <c r="C43" s="467" t="s">
        <v>1932</v>
      </c>
      <c r="D43" s="467"/>
      <c r="E43" s="467"/>
      <c r="F43" s="467"/>
      <c r="G43" s="467"/>
      <c r="H43" s="467"/>
      <c r="I43" s="467"/>
      <c r="J43" s="468"/>
      <c r="K43" s="1484" t="s">
        <v>1948</v>
      </c>
      <c r="L43" s="1485"/>
      <c r="M43" s="1485"/>
      <c r="N43" s="1485"/>
      <c r="O43" s="1485"/>
      <c r="P43" s="1485"/>
      <c r="Q43" s="1485"/>
      <c r="R43" s="1485"/>
      <c r="S43" s="1485"/>
      <c r="T43" s="1485"/>
      <c r="U43" s="1486"/>
      <c r="V43" s="1444">
        <v>0</v>
      </c>
      <c r="W43" s="1445"/>
      <c r="X43" s="1449">
        <f t="shared" si="0"/>
        <v>0</v>
      </c>
      <c r="Y43" s="1445"/>
      <c r="Z43" s="1481">
        <f>V43*V36</f>
        <v>0</v>
      </c>
      <c r="AA43" s="1482"/>
      <c r="AB43" s="1482"/>
      <c r="AC43" s="1483"/>
      <c r="AD43" s="1475">
        <f>Z43*V20</f>
        <v>0</v>
      </c>
      <c r="AE43" s="1476"/>
      <c r="AF43" s="1476"/>
      <c r="AG43" s="1477"/>
      <c r="AH43" s="1444">
        <v>0</v>
      </c>
      <c r="AI43" s="1445"/>
      <c r="AJ43" s="1449">
        <f t="shared" si="1"/>
        <v>0</v>
      </c>
      <c r="AK43" s="1445"/>
      <c r="AL43" s="1472">
        <f>AH43*AH36</f>
        <v>0</v>
      </c>
      <c r="AM43" s="1473"/>
      <c r="AN43" s="1473"/>
      <c r="AO43" s="1474"/>
      <c r="AP43" s="1475">
        <f>AL43*AH20</f>
        <v>0</v>
      </c>
      <c r="AQ43" s="1476"/>
      <c r="AR43" s="1476"/>
      <c r="AS43" s="1477"/>
      <c r="AT43" s="1444">
        <v>0</v>
      </c>
      <c r="AU43" s="1445"/>
      <c r="AV43" s="1449">
        <f t="shared" si="2"/>
        <v>0</v>
      </c>
      <c r="AW43" s="1445"/>
      <c r="AX43" s="1472">
        <f>AT43*AT36</f>
        <v>0</v>
      </c>
      <c r="AY43" s="1473"/>
      <c r="AZ43" s="1473"/>
      <c r="BA43" s="1474"/>
      <c r="BB43" s="1475">
        <f>AX43*AT20</f>
        <v>0</v>
      </c>
      <c r="BC43" s="1476"/>
      <c r="BD43" s="1476"/>
      <c r="BE43" s="1477"/>
      <c r="BG43" s="391"/>
      <c r="BI43" s="1444">
        <v>0</v>
      </c>
      <c r="BJ43" s="1445"/>
      <c r="BK43" s="1449">
        <f t="shared" si="3"/>
        <v>0</v>
      </c>
      <c r="BL43" s="1445"/>
      <c r="BM43" s="1481" t="e">
        <f>BI43*BI36</f>
        <v>#DIV/0!</v>
      </c>
      <c r="BN43" s="1482"/>
      <c r="BO43" s="1482"/>
      <c r="BP43" s="1483"/>
      <c r="BQ43" s="1475" t="e">
        <f>BM43*BI20</f>
        <v>#DIV/0!</v>
      </c>
      <c r="BR43" s="1476"/>
      <c r="BS43" s="1476"/>
      <c r="BT43" s="1477"/>
      <c r="BU43" s="1444">
        <v>0</v>
      </c>
      <c r="BV43" s="1445"/>
      <c r="BW43" s="1449">
        <f t="shared" si="4"/>
        <v>0</v>
      </c>
      <c r="BX43" s="1445"/>
      <c r="BY43" s="1472" t="e">
        <f>BU43*BU36</f>
        <v>#DIV/0!</v>
      </c>
      <c r="BZ43" s="1473"/>
      <c r="CA43" s="1473"/>
      <c r="CB43" s="1474"/>
      <c r="CC43" s="1475" t="e">
        <f>BY43*BU20</f>
        <v>#DIV/0!</v>
      </c>
      <c r="CD43" s="1476"/>
      <c r="CE43" s="1476"/>
      <c r="CF43" s="1477"/>
      <c r="CG43" s="1444">
        <v>0</v>
      </c>
      <c r="CH43" s="1445"/>
      <c r="CI43" s="1449">
        <f t="shared" si="5"/>
        <v>0</v>
      </c>
      <c r="CJ43" s="1445"/>
      <c r="CK43" s="1472" t="e">
        <f>CG43*CG36</f>
        <v>#DIV/0!</v>
      </c>
      <c r="CL43" s="1473"/>
      <c r="CM43" s="1473"/>
      <c r="CN43" s="1474"/>
      <c r="CO43" s="1475" t="e">
        <f>CK43*CG20</f>
        <v>#DIV/0!</v>
      </c>
      <c r="CP43" s="1476"/>
      <c r="CQ43" s="1476"/>
      <c r="CR43" s="1477"/>
      <c r="CS43"/>
      <c r="CT43" s="1208"/>
      <c r="CU43"/>
      <c r="CV43" s="1444">
        <v>0</v>
      </c>
      <c r="CW43" s="1445"/>
      <c r="CX43" s="1449">
        <f t="shared" si="6"/>
        <v>0</v>
      </c>
      <c r="CY43" s="1445"/>
      <c r="CZ43" s="1481" t="e">
        <f>CV43*CV36</f>
        <v>#DIV/0!</v>
      </c>
      <c r="DA43" s="1482"/>
      <c r="DB43" s="1482"/>
      <c r="DC43" s="1483"/>
      <c r="DD43" s="1475" t="e">
        <f>CZ43*CV20</f>
        <v>#DIV/0!</v>
      </c>
      <c r="DE43" s="1476"/>
      <c r="DF43" s="1476"/>
      <c r="DG43" s="1477"/>
      <c r="DH43" s="1444">
        <v>0</v>
      </c>
      <c r="DI43" s="1445"/>
      <c r="DJ43" s="1449">
        <f t="shared" si="7"/>
        <v>0</v>
      </c>
      <c r="DK43" s="1445"/>
      <c r="DL43" s="1472" t="e">
        <f>DH43*DH36</f>
        <v>#DIV/0!</v>
      </c>
      <c r="DM43" s="1473"/>
      <c r="DN43" s="1473"/>
      <c r="DO43" s="1474"/>
      <c r="DP43" s="1475" t="e">
        <f>DL43*DH20</f>
        <v>#DIV/0!</v>
      </c>
      <c r="DQ43" s="1476"/>
      <c r="DR43" s="1476"/>
      <c r="DS43" s="1477"/>
      <c r="DT43" s="1444">
        <v>0</v>
      </c>
      <c r="DU43" s="1445"/>
      <c r="DV43" s="1449">
        <f t="shared" si="8"/>
        <v>0</v>
      </c>
      <c r="DW43" s="1445"/>
      <c r="DX43" s="1472" t="e">
        <f>DT43*DT36</f>
        <v>#DIV/0!</v>
      </c>
      <c r="DY43" s="1473"/>
      <c r="DZ43" s="1473"/>
      <c r="EA43" s="1474"/>
      <c r="EB43" s="1475" t="e">
        <f>DX43*DT20</f>
        <v>#DIV/0!</v>
      </c>
      <c r="EC43" s="1476"/>
      <c r="ED43" s="1476"/>
      <c r="EE43" s="1477"/>
    </row>
    <row r="44" spans="1:135" s="360" customFormat="1" ht="15" customHeight="1">
      <c r="B44" s="466" t="s">
        <v>1770</v>
      </c>
      <c r="C44" s="467" t="s">
        <v>1951</v>
      </c>
      <c r="D44" s="467"/>
      <c r="E44" s="467"/>
      <c r="F44" s="467"/>
      <c r="G44" s="467"/>
      <c r="H44" s="467"/>
      <c r="I44" s="467"/>
      <c r="J44" s="468"/>
      <c r="K44" s="1484" t="s">
        <v>1952</v>
      </c>
      <c r="L44" s="1485"/>
      <c r="M44" s="1485"/>
      <c r="N44" s="1485"/>
      <c r="O44" s="1485"/>
      <c r="P44" s="1485"/>
      <c r="Q44" s="1485"/>
      <c r="R44" s="1485"/>
      <c r="S44" s="1485"/>
      <c r="T44" s="1485"/>
      <c r="U44" s="1486"/>
      <c r="V44" s="1444">
        <v>0</v>
      </c>
      <c r="W44" s="1445"/>
      <c r="X44" s="1449">
        <f t="shared" si="0"/>
        <v>0</v>
      </c>
      <c r="Y44" s="1445"/>
      <c r="Z44" s="1481">
        <f>V44*V36</f>
        <v>0</v>
      </c>
      <c r="AA44" s="1482"/>
      <c r="AB44" s="1482"/>
      <c r="AC44" s="1483"/>
      <c r="AD44" s="1475">
        <f>Z44*V20</f>
        <v>0</v>
      </c>
      <c r="AE44" s="1476"/>
      <c r="AF44" s="1476"/>
      <c r="AG44" s="1477"/>
      <c r="AH44" s="1444">
        <v>0</v>
      </c>
      <c r="AI44" s="1445"/>
      <c r="AJ44" s="1449">
        <f t="shared" si="1"/>
        <v>0</v>
      </c>
      <c r="AK44" s="1445"/>
      <c r="AL44" s="1472">
        <f>AH44*AH36</f>
        <v>0</v>
      </c>
      <c r="AM44" s="1473"/>
      <c r="AN44" s="1473"/>
      <c r="AO44" s="1474"/>
      <c r="AP44" s="1475">
        <f>AL44*AH20</f>
        <v>0</v>
      </c>
      <c r="AQ44" s="1476"/>
      <c r="AR44" s="1476"/>
      <c r="AS44" s="1477"/>
      <c r="AT44" s="1444">
        <v>0</v>
      </c>
      <c r="AU44" s="1445"/>
      <c r="AV44" s="1449">
        <f t="shared" si="2"/>
        <v>0</v>
      </c>
      <c r="AW44" s="1445"/>
      <c r="AX44" s="1472">
        <f>AT44*AT36</f>
        <v>0</v>
      </c>
      <c r="AY44" s="1473"/>
      <c r="AZ44" s="1473"/>
      <c r="BA44" s="1474"/>
      <c r="BB44" s="1475">
        <f>AX44*AT20</f>
        <v>0</v>
      </c>
      <c r="BC44" s="1476"/>
      <c r="BD44" s="1476"/>
      <c r="BE44" s="1477"/>
      <c r="BG44" s="391"/>
      <c r="BI44" s="1444">
        <v>0</v>
      </c>
      <c r="BJ44" s="1445"/>
      <c r="BK44" s="1449">
        <f t="shared" si="3"/>
        <v>0</v>
      </c>
      <c r="BL44" s="1445"/>
      <c r="BM44" s="1481" t="e">
        <f>BI44*BI36</f>
        <v>#DIV/0!</v>
      </c>
      <c r="BN44" s="1482"/>
      <c r="BO44" s="1482"/>
      <c r="BP44" s="1483"/>
      <c r="BQ44" s="1475" t="e">
        <f>BM44*BI20</f>
        <v>#DIV/0!</v>
      </c>
      <c r="BR44" s="1476"/>
      <c r="BS44" s="1476"/>
      <c r="BT44" s="1477"/>
      <c r="BU44" s="1444">
        <v>0</v>
      </c>
      <c r="BV44" s="1445"/>
      <c r="BW44" s="1449">
        <f t="shared" si="4"/>
        <v>0</v>
      </c>
      <c r="BX44" s="1445"/>
      <c r="BY44" s="1472" t="e">
        <f>BU44*BU36</f>
        <v>#DIV/0!</v>
      </c>
      <c r="BZ44" s="1473"/>
      <c r="CA44" s="1473"/>
      <c r="CB44" s="1474"/>
      <c r="CC44" s="1475" t="e">
        <f>BY44*BU20</f>
        <v>#DIV/0!</v>
      </c>
      <c r="CD44" s="1476"/>
      <c r="CE44" s="1476"/>
      <c r="CF44" s="1477"/>
      <c r="CG44" s="1444">
        <v>0</v>
      </c>
      <c r="CH44" s="1445"/>
      <c r="CI44" s="1449">
        <f t="shared" si="5"/>
        <v>0</v>
      </c>
      <c r="CJ44" s="1445"/>
      <c r="CK44" s="1472" t="e">
        <f>CG44*CG36</f>
        <v>#DIV/0!</v>
      </c>
      <c r="CL44" s="1473"/>
      <c r="CM44" s="1473"/>
      <c r="CN44" s="1474"/>
      <c r="CO44" s="1475" t="e">
        <f>CK44*CG20</f>
        <v>#DIV/0!</v>
      </c>
      <c r="CP44" s="1476"/>
      <c r="CQ44" s="1476"/>
      <c r="CR44" s="1477"/>
      <c r="CS44"/>
      <c r="CT44" s="1208"/>
      <c r="CU44"/>
      <c r="CV44" s="1444">
        <v>0</v>
      </c>
      <c r="CW44" s="1445"/>
      <c r="CX44" s="1449">
        <f t="shared" si="6"/>
        <v>0</v>
      </c>
      <c r="CY44" s="1445"/>
      <c r="CZ44" s="1481" t="e">
        <f>CV44*CV36</f>
        <v>#DIV/0!</v>
      </c>
      <c r="DA44" s="1482"/>
      <c r="DB44" s="1482"/>
      <c r="DC44" s="1483"/>
      <c r="DD44" s="1475" t="e">
        <f>CZ44*CV20</f>
        <v>#DIV/0!</v>
      </c>
      <c r="DE44" s="1476"/>
      <c r="DF44" s="1476"/>
      <c r="DG44" s="1477"/>
      <c r="DH44" s="1444">
        <v>0</v>
      </c>
      <c r="DI44" s="1445"/>
      <c r="DJ44" s="1449">
        <f t="shared" si="7"/>
        <v>0</v>
      </c>
      <c r="DK44" s="1445"/>
      <c r="DL44" s="1472" t="e">
        <f>DH44*DH36</f>
        <v>#DIV/0!</v>
      </c>
      <c r="DM44" s="1473"/>
      <c r="DN44" s="1473"/>
      <c r="DO44" s="1474"/>
      <c r="DP44" s="1475" t="e">
        <f>DL44*DH20</f>
        <v>#DIV/0!</v>
      </c>
      <c r="DQ44" s="1476"/>
      <c r="DR44" s="1476"/>
      <c r="DS44" s="1477"/>
      <c r="DT44" s="1444">
        <v>0</v>
      </c>
      <c r="DU44" s="1445"/>
      <c r="DV44" s="1449">
        <f t="shared" si="8"/>
        <v>0</v>
      </c>
      <c r="DW44" s="1445"/>
      <c r="DX44" s="1472" t="e">
        <f>DT44*DT36</f>
        <v>#DIV/0!</v>
      </c>
      <c r="DY44" s="1473"/>
      <c r="DZ44" s="1473"/>
      <c r="EA44" s="1474"/>
      <c r="EB44" s="1475" t="e">
        <f>DX44*DT20</f>
        <v>#DIV/0!</v>
      </c>
      <c r="EC44" s="1476"/>
      <c r="ED44" s="1476"/>
      <c r="EE44" s="1477"/>
    </row>
    <row r="45" spans="1:135" s="360" customFormat="1" ht="15" customHeight="1">
      <c r="B45" s="466" t="s">
        <v>1770</v>
      </c>
      <c r="C45" s="467" t="s">
        <v>1953</v>
      </c>
      <c r="D45" s="467"/>
      <c r="E45" s="467"/>
      <c r="F45" s="467"/>
      <c r="G45" s="467"/>
      <c r="H45" s="467"/>
      <c r="I45" s="467"/>
      <c r="J45" s="468"/>
      <c r="K45" s="1487" t="str">
        <f>IF(Tnh!K86="Tusuk sate","Ya","Tidak")</f>
        <v>Tidak</v>
      </c>
      <c r="L45" s="1488"/>
      <c r="M45" s="1485" t="s">
        <v>1954</v>
      </c>
      <c r="N45" s="1485"/>
      <c r="O45" s="1485"/>
      <c r="P45" s="1485"/>
      <c r="Q45" s="1485"/>
      <c r="R45" s="1485"/>
      <c r="S45" s="1485"/>
      <c r="T45" s="1485"/>
      <c r="U45" s="1486"/>
      <c r="V45" s="1444">
        <v>0</v>
      </c>
      <c r="W45" s="1445"/>
      <c r="X45" s="1449">
        <f t="shared" si="0"/>
        <v>0</v>
      </c>
      <c r="Y45" s="1445"/>
      <c r="Z45" s="1481">
        <f>V45*V36</f>
        <v>0</v>
      </c>
      <c r="AA45" s="1482"/>
      <c r="AB45" s="1482"/>
      <c r="AC45" s="1483"/>
      <c r="AD45" s="1475">
        <f>Z45*V20</f>
        <v>0</v>
      </c>
      <c r="AE45" s="1476"/>
      <c r="AF45" s="1476"/>
      <c r="AG45" s="1477"/>
      <c r="AH45" s="1444">
        <v>0</v>
      </c>
      <c r="AI45" s="1445"/>
      <c r="AJ45" s="1449">
        <f t="shared" si="1"/>
        <v>0</v>
      </c>
      <c r="AK45" s="1445"/>
      <c r="AL45" s="1472">
        <f>AH45*AH36</f>
        <v>0</v>
      </c>
      <c r="AM45" s="1473"/>
      <c r="AN45" s="1473"/>
      <c r="AO45" s="1474"/>
      <c r="AP45" s="1475">
        <f>AL45*AH20</f>
        <v>0</v>
      </c>
      <c r="AQ45" s="1476"/>
      <c r="AR45" s="1476"/>
      <c r="AS45" s="1477"/>
      <c r="AT45" s="1444">
        <v>0</v>
      </c>
      <c r="AU45" s="1445"/>
      <c r="AV45" s="1449">
        <f t="shared" si="2"/>
        <v>0</v>
      </c>
      <c r="AW45" s="1445"/>
      <c r="AX45" s="1472">
        <f>AT45*AT36</f>
        <v>0</v>
      </c>
      <c r="AY45" s="1473"/>
      <c r="AZ45" s="1473"/>
      <c r="BA45" s="1474"/>
      <c r="BB45" s="1475">
        <f>AX45*AT20</f>
        <v>0</v>
      </c>
      <c r="BC45" s="1476"/>
      <c r="BD45" s="1476"/>
      <c r="BE45" s="1477"/>
      <c r="BG45" s="391"/>
      <c r="BI45" s="1444">
        <v>0</v>
      </c>
      <c r="BJ45" s="1445"/>
      <c r="BK45" s="1449">
        <f t="shared" si="3"/>
        <v>0</v>
      </c>
      <c r="BL45" s="1445"/>
      <c r="BM45" s="1481" t="e">
        <f>BI45*BI36</f>
        <v>#DIV/0!</v>
      </c>
      <c r="BN45" s="1482"/>
      <c r="BO45" s="1482"/>
      <c r="BP45" s="1483"/>
      <c r="BQ45" s="1475" t="e">
        <f>BM45*BI20</f>
        <v>#DIV/0!</v>
      </c>
      <c r="BR45" s="1476"/>
      <c r="BS45" s="1476"/>
      <c r="BT45" s="1477"/>
      <c r="BU45" s="1444">
        <v>0</v>
      </c>
      <c r="BV45" s="1445"/>
      <c r="BW45" s="1449">
        <f t="shared" si="4"/>
        <v>0</v>
      </c>
      <c r="BX45" s="1445"/>
      <c r="BY45" s="1472" t="e">
        <f>BU45*BU36</f>
        <v>#DIV/0!</v>
      </c>
      <c r="BZ45" s="1473"/>
      <c r="CA45" s="1473"/>
      <c r="CB45" s="1474"/>
      <c r="CC45" s="1475" t="e">
        <f>BY45*BU20</f>
        <v>#DIV/0!</v>
      </c>
      <c r="CD45" s="1476"/>
      <c r="CE45" s="1476"/>
      <c r="CF45" s="1477"/>
      <c r="CG45" s="1444">
        <v>0</v>
      </c>
      <c r="CH45" s="1445"/>
      <c r="CI45" s="1449">
        <f t="shared" si="5"/>
        <v>0</v>
      </c>
      <c r="CJ45" s="1445"/>
      <c r="CK45" s="1472" t="e">
        <f>CG45*CG36</f>
        <v>#DIV/0!</v>
      </c>
      <c r="CL45" s="1473"/>
      <c r="CM45" s="1473"/>
      <c r="CN45" s="1474"/>
      <c r="CO45" s="1475" t="e">
        <f>CK45*CG20</f>
        <v>#DIV/0!</v>
      </c>
      <c r="CP45" s="1476"/>
      <c r="CQ45" s="1476"/>
      <c r="CR45" s="1477"/>
      <c r="CS45"/>
      <c r="CT45" s="1208"/>
      <c r="CU45"/>
      <c r="CV45" s="1444">
        <v>0</v>
      </c>
      <c r="CW45" s="1445"/>
      <c r="CX45" s="1449">
        <f t="shared" si="6"/>
        <v>0</v>
      </c>
      <c r="CY45" s="1445"/>
      <c r="CZ45" s="1481" t="e">
        <f>CV45*CV36</f>
        <v>#DIV/0!</v>
      </c>
      <c r="DA45" s="1482"/>
      <c r="DB45" s="1482"/>
      <c r="DC45" s="1483"/>
      <c r="DD45" s="1475" t="e">
        <f>CZ45*CV20</f>
        <v>#DIV/0!</v>
      </c>
      <c r="DE45" s="1476"/>
      <c r="DF45" s="1476"/>
      <c r="DG45" s="1477"/>
      <c r="DH45" s="1444">
        <v>0</v>
      </c>
      <c r="DI45" s="1445"/>
      <c r="DJ45" s="1449">
        <f t="shared" si="7"/>
        <v>0</v>
      </c>
      <c r="DK45" s="1445"/>
      <c r="DL45" s="1472" t="e">
        <f>DH45*DH36</f>
        <v>#DIV/0!</v>
      </c>
      <c r="DM45" s="1473"/>
      <c r="DN45" s="1473"/>
      <c r="DO45" s="1474"/>
      <c r="DP45" s="1475" t="e">
        <f>DL45*DH20</f>
        <v>#DIV/0!</v>
      </c>
      <c r="DQ45" s="1476"/>
      <c r="DR45" s="1476"/>
      <c r="DS45" s="1477"/>
      <c r="DT45" s="1444">
        <v>0</v>
      </c>
      <c r="DU45" s="1445"/>
      <c r="DV45" s="1449">
        <f t="shared" si="8"/>
        <v>0</v>
      </c>
      <c r="DW45" s="1445"/>
      <c r="DX45" s="1472" t="e">
        <f>DT45*DT36</f>
        <v>#DIV/0!</v>
      </c>
      <c r="DY45" s="1473"/>
      <c r="DZ45" s="1473"/>
      <c r="EA45" s="1474"/>
      <c r="EB45" s="1475" t="e">
        <f>DX45*DT20</f>
        <v>#DIV/0!</v>
      </c>
      <c r="EC45" s="1476"/>
      <c r="ED45" s="1476"/>
      <c r="EE45" s="1477"/>
    </row>
    <row r="46" spans="1:135" s="360" customFormat="1" ht="15" customHeight="1">
      <c r="B46" s="466" t="s">
        <v>1770</v>
      </c>
      <c r="C46" s="480" t="s">
        <v>1934</v>
      </c>
      <c r="D46" s="467"/>
      <c r="E46" s="467"/>
      <c r="F46" s="467"/>
      <c r="G46" s="467"/>
      <c r="H46" s="467"/>
      <c r="I46" s="467"/>
      <c r="J46" s="468"/>
      <c r="K46" s="1484" t="s">
        <v>1955</v>
      </c>
      <c r="L46" s="1485"/>
      <c r="M46" s="1485"/>
      <c r="N46" s="1485"/>
      <c r="O46" s="1485"/>
      <c r="P46" s="1485"/>
      <c r="Q46" s="1485"/>
      <c r="R46" s="1485"/>
      <c r="S46" s="1485"/>
      <c r="T46" s="1485"/>
      <c r="U46" s="1486"/>
      <c r="V46" s="1444">
        <v>0</v>
      </c>
      <c r="W46" s="1445"/>
      <c r="X46" s="1449">
        <f t="shared" si="0"/>
        <v>0</v>
      </c>
      <c r="Y46" s="1445"/>
      <c r="Z46" s="1481">
        <f>V46*V36</f>
        <v>0</v>
      </c>
      <c r="AA46" s="1482"/>
      <c r="AB46" s="1482"/>
      <c r="AC46" s="1483"/>
      <c r="AD46" s="1475">
        <f>Z46*V20</f>
        <v>0</v>
      </c>
      <c r="AE46" s="1476"/>
      <c r="AF46" s="1476"/>
      <c r="AG46" s="1477"/>
      <c r="AH46" s="1444">
        <v>0</v>
      </c>
      <c r="AI46" s="1445"/>
      <c r="AJ46" s="1449">
        <f t="shared" si="1"/>
        <v>0</v>
      </c>
      <c r="AK46" s="1445"/>
      <c r="AL46" s="1472">
        <f>AH46*AH36</f>
        <v>0</v>
      </c>
      <c r="AM46" s="1473"/>
      <c r="AN46" s="1473"/>
      <c r="AO46" s="1474"/>
      <c r="AP46" s="1475">
        <f>AL46*AH20</f>
        <v>0</v>
      </c>
      <c r="AQ46" s="1476"/>
      <c r="AR46" s="1476"/>
      <c r="AS46" s="1477"/>
      <c r="AT46" s="1444">
        <v>0</v>
      </c>
      <c r="AU46" s="1445"/>
      <c r="AV46" s="1449">
        <f t="shared" si="2"/>
        <v>0</v>
      </c>
      <c r="AW46" s="1445"/>
      <c r="AX46" s="1472">
        <f>AT46*AT36</f>
        <v>0</v>
      </c>
      <c r="AY46" s="1473"/>
      <c r="AZ46" s="1473"/>
      <c r="BA46" s="1474"/>
      <c r="BB46" s="1475">
        <f>AX46*AT20</f>
        <v>0</v>
      </c>
      <c r="BC46" s="1476"/>
      <c r="BD46" s="1476"/>
      <c r="BE46" s="1477"/>
      <c r="BG46" s="391"/>
      <c r="BI46" s="1444">
        <v>0</v>
      </c>
      <c r="BJ46" s="1445"/>
      <c r="BK46" s="1449">
        <f t="shared" si="3"/>
        <v>0</v>
      </c>
      <c r="BL46" s="1445"/>
      <c r="BM46" s="1481" t="e">
        <f>BI46*BI36</f>
        <v>#DIV/0!</v>
      </c>
      <c r="BN46" s="1482"/>
      <c r="BO46" s="1482"/>
      <c r="BP46" s="1483"/>
      <c r="BQ46" s="1475" t="e">
        <f>BM46*BI20</f>
        <v>#DIV/0!</v>
      </c>
      <c r="BR46" s="1476"/>
      <c r="BS46" s="1476"/>
      <c r="BT46" s="1477"/>
      <c r="BU46" s="1444">
        <v>0</v>
      </c>
      <c r="BV46" s="1445"/>
      <c r="BW46" s="1449">
        <f t="shared" si="4"/>
        <v>0</v>
      </c>
      <c r="BX46" s="1445"/>
      <c r="BY46" s="1472" t="e">
        <f>BU46*BU36</f>
        <v>#DIV/0!</v>
      </c>
      <c r="BZ46" s="1473"/>
      <c r="CA46" s="1473"/>
      <c r="CB46" s="1474"/>
      <c r="CC46" s="1475" t="e">
        <f>BY46*BU20</f>
        <v>#DIV/0!</v>
      </c>
      <c r="CD46" s="1476"/>
      <c r="CE46" s="1476"/>
      <c r="CF46" s="1477"/>
      <c r="CG46" s="1444">
        <v>0</v>
      </c>
      <c r="CH46" s="1445"/>
      <c r="CI46" s="1449">
        <f t="shared" si="5"/>
        <v>0</v>
      </c>
      <c r="CJ46" s="1445"/>
      <c r="CK46" s="1472" t="e">
        <f>CG46*CG36</f>
        <v>#DIV/0!</v>
      </c>
      <c r="CL46" s="1473"/>
      <c r="CM46" s="1473"/>
      <c r="CN46" s="1474"/>
      <c r="CO46" s="1475" t="e">
        <f>CK46*CG20</f>
        <v>#DIV/0!</v>
      </c>
      <c r="CP46" s="1476"/>
      <c r="CQ46" s="1476"/>
      <c r="CR46" s="1477"/>
      <c r="CS46"/>
      <c r="CT46" s="1208"/>
      <c r="CU46"/>
      <c r="CV46" s="1444">
        <v>0</v>
      </c>
      <c r="CW46" s="1445"/>
      <c r="CX46" s="1449">
        <f t="shared" si="6"/>
        <v>0</v>
      </c>
      <c r="CY46" s="1445"/>
      <c r="CZ46" s="1481" t="e">
        <f>CV46*CV36</f>
        <v>#DIV/0!</v>
      </c>
      <c r="DA46" s="1482"/>
      <c r="DB46" s="1482"/>
      <c r="DC46" s="1483"/>
      <c r="DD46" s="1475" t="e">
        <f>CZ46*CV20</f>
        <v>#DIV/0!</v>
      </c>
      <c r="DE46" s="1476"/>
      <c r="DF46" s="1476"/>
      <c r="DG46" s="1477"/>
      <c r="DH46" s="1444">
        <v>0</v>
      </c>
      <c r="DI46" s="1445"/>
      <c r="DJ46" s="1449">
        <f t="shared" si="7"/>
        <v>0</v>
      </c>
      <c r="DK46" s="1445"/>
      <c r="DL46" s="1472" t="e">
        <f>DH46*DH36</f>
        <v>#DIV/0!</v>
      </c>
      <c r="DM46" s="1473"/>
      <c r="DN46" s="1473"/>
      <c r="DO46" s="1474"/>
      <c r="DP46" s="1475" t="e">
        <f>DL46*DH20</f>
        <v>#DIV/0!</v>
      </c>
      <c r="DQ46" s="1476"/>
      <c r="DR46" s="1476"/>
      <c r="DS46" s="1477"/>
      <c r="DT46" s="1444">
        <v>0</v>
      </c>
      <c r="DU46" s="1445"/>
      <c r="DV46" s="1449">
        <f t="shared" si="8"/>
        <v>0</v>
      </c>
      <c r="DW46" s="1445"/>
      <c r="DX46" s="1472" t="e">
        <f>DT46*DT36</f>
        <v>#DIV/0!</v>
      </c>
      <c r="DY46" s="1473"/>
      <c r="DZ46" s="1473"/>
      <c r="EA46" s="1474"/>
      <c r="EB46" s="1475" t="e">
        <f>DX46*DT20</f>
        <v>#DIV/0!</v>
      </c>
      <c r="EC46" s="1476"/>
      <c r="ED46" s="1476"/>
      <c r="EE46" s="1477"/>
    </row>
    <row r="47" spans="1:135" s="360" customFormat="1" ht="15" customHeight="1">
      <c r="B47" s="466" t="s">
        <v>1770</v>
      </c>
      <c r="C47" s="482" t="s">
        <v>1936</v>
      </c>
      <c r="D47" s="467"/>
      <c r="E47" s="467"/>
      <c r="F47" s="467"/>
      <c r="G47" s="467"/>
      <c r="H47" s="467"/>
      <c r="I47" s="467"/>
      <c r="J47" s="468"/>
      <c r="K47" s="1484" t="s">
        <v>1956</v>
      </c>
      <c r="L47" s="1485"/>
      <c r="M47" s="1485"/>
      <c r="N47" s="1485"/>
      <c r="O47" s="1485"/>
      <c r="P47" s="1485"/>
      <c r="Q47" s="1485"/>
      <c r="R47" s="1485"/>
      <c r="S47" s="1485"/>
      <c r="T47" s="1485"/>
      <c r="U47" s="1486"/>
      <c r="V47" s="1444">
        <v>0.02</v>
      </c>
      <c r="W47" s="1445"/>
      <c r="X47" s="1449">
        <f t="shared" si="0"/>
        <v>0.02</v>
      </c>
      <c r="Y47" s="1445"/>
      <c r="Z47" s="1481">
        <f>V47*V36</f>
        <v>90000</v>
      </c>
      <c r="AA47" s="1482"/>
      <c r="AB47" s="1482"/>
      <c r="AC47" s="1483"/>
      <c r="AD47" s="1475">
        <f>Z47*V20</f>
        <v>27000000</v>
      </c>
      <c r="AE47" s="1476"/>
      <c r="AF47" s="1476"/>
      <c r="AG47" s="1477"/>
      <c r="AH47" s="1444">
        <v>0</v>
      </c>
      <c r="AI47" s="1445"/>
      <c r="AJ47" s="1449">
        <f t="shared" si="1"/>
        <v>0</v>
      </c>
      <c r="AK47" s="1445"/>
      <c r="AL47" s="1472">
        <f>AH47*AH36</f>
        <v>0</v>
      </c>
      <c r="AM47" s="1473"/>
      <c r="AN47" s="1473"/>
      <c r="AO47" s="1474"/>
      <c r="AP47" s="1475">
        <f>AL47*AH20</f>
        <v>0</v>
      </c>
      <c r="AQ47" s="1476"/>
      <c r="AR47" s="1476"/>
      <c r="AS47" s="1477"/>
      <c r="AT47" s="1444">
        <v>0.02</v>
      </c>
      <c r="AU47" s="1445"/>
      <c r="AV47" s="1449">
        <f t="shared" si="2"/>
        <v>0.02</v>
      </c>
      <c r="AW47" s="1445"/>
      <c r="AX47" s="1472">
        <f>AT47*AT36</f>
        <v>90000</v>
      </c>
      <c r="AY47" s="1473"/>
      <c r="AZ47" s="1473"/>
      <c r="BA47" s="1474"/>
      <c r="BB47" s="1475">
        <f>AX47*AT20</f>
        <v>63000000</v>
      </c>
      <c r="BC47" s="1476"/>
      <c r="BD47" s="1476"/>
      <c r="BE47" s="1477"/>
      <c r="BG47" s="391"/>
      <c r="BI47" s="1444">
        <v>0</v>
      </c>
      <c r="BJ47" s="1445"/>
      <c r="BK47" s="1449">
        <f t="shared" si="3"/>
        <v>0</v>
      </c>
      <c r="BL47" s="1445"/>
      <c r="BM47" s="1481" t="e">
        <f>BI47*BI36</f>
        <v>#DIV/0!</v>
      </c>
      <c r="BN47" s="1482"/>
      <c r="BO47" s="1482"/>
      <c r="BP47" s="1483"/>
      <c r="BQ47" s="1475" t="e">
        <f>BM47*BI20</f>
        <v>#DIV/0!</v>
      </c>
      <c r="BR47" s="1476"/>
      <c r="BS47" s="1476"/>
      <c r="BT47" s="1477"/>
      <c r="BU47" s="1444">
        <v>0</v>
      </c>
      <c r="BV47" s="1445"/>
      <c r="BW47" s="1449">
        <f t="shared" si="4"/>
        <v>0</v>
      </c>
      <c r="BX47" s="1445"/>
      <c r="BY47" s="1472" t="e">
        <f>BU47*BU36</f>
        <v>#DIV/0!</v>
      </c>
      <c r="BZ47" s="1473"/>
      <c r="CA47" s="1473"/>
      <c r="CB47" s="1474"/>
      <c r="CC47" s="1475" t="e">
        <f>BY47*BU20</f>
        <v>#DIV/0!</v>
      </c>
      <c r="CD47" s="1476"/>
      <c r="CE47" s="1476"/>
      <c r="CF47" s="1477"/>
      <c r="CG47" s="1444">
        <v>0</v>
      </c>
      <c r="CH47" s="1445"/>
      <c r="CI47" s="1449">
        <f t="shared" si="5"/>
        <v>0</v>
      </c>
      <c r="CJ47" s="1445"/>
      <c r="CK47" s="1472" t="e">
        <f>CG47*CG36</f>
        <v>#DIV/0!</v>
      </c>
      <c r="CL47" s="1473"/>
      <c r="CM47" s="1473"/>
      <c r="CN47" s="1474"/>
      <c r="CO47" s="1475" t="e">
        <f>CK47*CG20</f>
        <v>#DIV/0!</v>
      </c>
      <c r="CP47" s="1476"/>
      <c r="CQ47" s="1476"/>
      <c r="CR47" s="1477"/>
      <c r="CS47"/>
      <c r="CT47" s="1208"/>
      <c r="CU47"/>
      <c r="CV47" s="1444">
        <v>0</v>
      </c>
      <c r="CW47" s="1445"/>
      <c r="CX47" s="1449">
        <f t="shared" si="6"/>
        <v>0</v>
      </c>
      <c r="CY47" s="1445"/>
      <c r="CZ47" s="1481" t="e">
        <f>CV47*CV36</f>
        <v>#DIV/0!</v>
      </c>
      <c r="DA47" s="1482"/>
      <c r="DB47" s="1482"/>
      <c r="DC47" s="1483"/>
      <c r="DD47" s="1475" t="e">
        <f>CZ47*CV20</f>
        <v>#DIV/0!</v>
      </c>
      <c r="DE47" s="1476"/>
      <c r="DF47" s="1476"/>
      <c r="DG47" s="1477"/>
      <c r="DH47" s="1444">
        <v>0</v>
      </c>
      <c r="DI47" s="1445"/>
      <c r="DJ47" s="1449">
        <f t="shared" si="7"/>
        <v>0</v>
      </c>
      <c r="DK47" s="1445"/>
      <c r="DL47" s="1472" t="e">
        <f>DH47*DH36</f>
        <v>#DIV/0!</v>
      </c>
      <c r="DM47" s="1473"/>
      <c r="DN47" s="1473"/>
      <c r="DO47" s="1474"/>
      <c r="DP47" s="1475" t="e">
        <f>DL47*DH20</f>
        <v>#DIV/0!</v>
      </c>
      <c r="DQ47" s="1476"/>
      <c r="DR47" s="1476"/>
      <c r="DS47" s="1477"/>
      <c r="DT47" s="1444">
        <v>0</v>
      </c>
      <c r="DU47" s="1445"/>
      <c r="DV47" s="1449">
        <f t="shared" si="8"/>
        <v>0</v>
      </c>
      <c r="DW47" s="1445"/>
      <c r="DX47" s="1472" t="e">
        <f>DT47*DT36</f>
        <v>#DIV/0!</v>
      </c>
      <c r="DY47" s="1473"/>
      <c r="DZ47" s="1473"/>
      <c r="EA47" s="1474"/>
      <c r="EB47" s="1475" t="e">
        <f>DX47*DT20</f>
        <v>#DIV/0!</v>
      </c>
      <c r="EC47" s="1476"/>
      <c r="ED47" s="1476"/>
      <c r="EE47" s="1477"/>
    </row>
    <row r="48" spans="1:135" s="360" customFormat="1" ht="15" customHeight="1">
      <c r="B48" s="494" t="s">
        <v>1770</v>
      </c>
      <c r="C48" s="495" t="s">
        <v>1924</v>
      </c>
      <c r="D48" s="482"/>
      <c r="E48" s="482"/>
      <c r="F48" s="482"/>
      <c r="G48" s="482"/>
      <c r="H48" s="482"/>
      <c r="I48" s="482"/>
      <c r="J48" s="483"/>
      <c r="K48" s="1478" t="s">
        <v>1957</v>
      </c>
      <c r="L48" s="1479"/>
      <c r="M48" s="1479"/>
      <c r="N48" s="1479"/>
      <c r="O48" s="1479"/>
      <c r="P48" s="1479"/>
      <c r="Q48" s="1479"/>
      <c r="R48" s="1479"/>
      <c r="S48" s="1479"/>
      <c r="T48" s="1479"/>
      <c r="U48" s="1480"/>
      <c r="V48" s="1444">
        <v>0</v>
      </c>
      <c r="W48" s="1445"/>
      <c r="X48" s="1449">
        <f t="shared" si="0"/>
        <v>0</v>
      </c>
      <c r="Y48" s="1445"/>
      <c r="Z48" s="1471">
        <f>V48*V36</f>
        <v>0</v>
      </c>
      <c r="AA48" s="1465"/>
      <c r="AB48" s="1465"/>
      <c r="AC48" s="1466"/>
      <c r="AD48" s="1446">
        <f>Z48*V20</f>
        <v>0</v>
      </c>
      <c r="AE48" s="1447"/>
      <c r="AF48" s="1447"/>
      <c r="AG48" s="1448"/>
      <c r="AH48" s="1444">
        <v>0</v>
      </c>
      <c r="AI48" s="1445"/>
      <c r="AJ48" s="1449">
        <f t="shared" si="1"/>
        <v>0</v>
      </c>
      <c r="AK48" s="1445"/>
      <c r="AL48" s="1470">
        <f>AH48*AH36</f>
        <v>0</v>
      </c>
      <c r="AM48" s="1451"/>
      <c r="AN48" s="1451"/>
      <c r="AO48" s="1452"/>
      <c r="AP48" s="1446">
        <f>AL48*AH20</f>
        <v>0</v>
      </c>
      <c r="AQ48" s="1447"/>
      <c r="AR48" s="1447"/>
      <c r="AS48" s="1448"/>
      <c r="AT48" s="1444">
        <v>0</v>
      </c>
      <c r="AU48" s="1445"/>
      <c r="AV48" s="1449">
        <f t="shared" si="2"/>
        <v>0</v>
      </c>
      <c r="AW48" s="1445"/>
      <c r="AX48" s="1470">
        <f>AT48*AT36</f>
        <v>0</v>
      </c>
      <c r="AY48" s="1451"/>
      <c r="AZ48" s="1451"/>
      <c r="BA48" s="1452"/>
      <c r="BB48" s="1446">
        <f>AX48*AT20</f>
        <v>0</v>
      </c>
      <c r="BC48" s="1447"/>
      <c r="BD48" s="1447"/>
      <c r="BE48" s="1448"/>
      <c r="BG48" s="391"/>
      <c r="BI48" s="1444">
        <v>0</v>
      </c>
      <c r="BJ48" s="1445"/>
      <c r="BK48" s="1449">
        <f t="shared" si="3"/>
        <v>0</v>
      </c>
      <c r="BL48" s="1445"/>
      <c r="BM48" s="1471" t="e">
        <f>BI48*BI36</f>
        <v>#DIV/0!</v>
      </c>
      <c r="BN48" s="1465"/>
      <c r="BO48" s="1465"/>
      <c r="BP48" s="1466"/>
      <c r="BQ48" s="1446" t="e">
        <f>BM48*BI20</f>
        <v>#DIV/0!</v>
      </c>
      <c r="BR48" s="1447"/>
      <c r="BS48" s="1447"/>
      <c r="BT48" s="1448"/>
      <c r="BU48" s="1444">
        <v>0</v>
      </c>
      <c r="BV48" s="1445"/>
      <c r="BW48" s="1449">
        <f t="shared" si="4"/>
        <v>0</v>
      </c>
      <c r="BX48" s="1445"/>
      <c r="BY48" s="1470" t="e">
        <f>BU48*BU36</f>
        <v>#DIV/0!</v>
      </c>
      <c r="BZ48" s="1451"/>
      <c r="CA48" s="1451"/>
      <c r="CB48" s="1452"/>
      <c r="CC48" s="1446" t="e">
        <f>BY48*BU20</f>
        <v>#DIV/0!</v>
      </c>
      <c r="CD48" s="1447"/>
      <c r="CE48" s="1447"/>
      <c r="CF48" s="1448"/>
      <c r="CG48" s="1444">
        <v>0</v>
      </c>
      <c r="CH48" s="1445"/>
      <c r="CI48" s="1449">
        <f t="shared" si="5"/>
        <v>0</v>
      </c>
      <c r="CJ48" s="1445"/>
      <c r="CK48" s="1470" t="e">
        <f>CG48*CG36</f>
        <v>#DIV/0!</v>
      </c>
      <c r="CL48" s="1451"/>
      <c r="CM48" s="1451"/>
      <c r="CN48" s="1452"/>
      <c r="CO48" s="1446" t="e">
        <f>CK48*CG20</f>
        <v>#DIV/0!</v>
      </c>
      <c r="CP48" s="1447"/>
      <c r="CQ48" s="1447"/>
      <c r="CR48" s="1448"/>
      <c r="CS48"/>
      <c r="CT48" s="1208"/>
      <c r="CU48"/>
      <c r="CV48" s="1444">
        <v>0</v>
      </c>
      <c r="CW48" s="1445"/>
      <c r="CX48" s="1449">
        <f t="shared" si="6"/>
        <v>0</v>
      </c>
      <c r="CY48" s="1445"/>
      <c r="CZ48" s="1471" t="e">
        <f>CV48*CV36</f>
        <v>#DIV/0!</v>
      </c>
      <c r="DA48" s="1465"/>
      <c r="DB48" s="1465"/>
      <c r="DC48" s="1466"/>
      <c r="DD48" s="1446" t="e">
        <f>CZ48*CV20</f>
        <v>#DIV/0!</v>
      </c>
      <c r="DE48" s="1447"/>
      <c r="DF48" s="1447"/>
      <c r="DG48" s="1448"/>
      <c r="DH48" s="1444">
        <v>0</v>
      </c>
      <c r="DI48" s="1445"/>
      <c r="DJ48" s="1449">
        <f t="shared" si="7"/>
        <v>0</v>
      </c>
      <c r="DK48" s="1445"/>
      <c r="DL48" s="1470" t="e">
        <f>DH48*DH36</f>
        <v>#DIV/0!</v>
      </c>
      <c r="DM48" s="1451"/>
      <c r="DN48" s="1451"/>
      <c r="DO48" s="1452"/>
      <c r="DP48" s="1446" t="e">
        <f>DL48*DH20</f>
        <v>#DIV/0!</v>
      </c>
      <c r="DQ48" s="1447"/>
      <c r="DR48" s="1447"/>
      <c r="DS48" s="1448"/>
      <c r="DT48" s="1444">
        <v>0</v>
      </c>
      <c r="DU48" s="1445"/>
      <c r="DV48" s="1449">
        <f t="shared" si="8"/>
        <v>0</v>
      </c>
      <c r="DW48" s="1445"/>
      <c r="DX48" s="1470" t="e">
        <f>DT48*DT36</f>
        <v>#DIV/0!</v>
      </c>
      <c r="DY48" s="1451"/>
      <c r="DZ48" s="1451"/>
      <c r="EA48" s="1452"/>
      <c r="EB48" s="1446" t="e">
        <f>DX48*DT20</f>
        <v>#DIV/0!</v>
      </c>
      <c r="EC48" s="1447"/>
      <c r="ED48" s="1447"/>
      <c r="EE48" s="1448"/>
    </row>
    <row r="49" spans="1:135" s="360" customFormat="1" ht="15" customHeight="1">
      <c r="B49" s="494" t="s">
        <v>1770</v>
      </c>
      <c r="C49" s="482" t="s">
        <v>1958</v>
      </c>
      <c r="D49" s="482"/>
      <c r="E49" s="482"/>
      <c r="F49" s="482"/>
      <c r="G49" s="482"/>
      <c r="H49" s="482"/>
      <c r="I49" s="482"/>
      <c r="J49" s="483"/>
      <c r="K49" s="1467" t="s">
        <v>2559</v>
      </c>
      <c r="L49" s="1468"/>
      <c r="M49" s="1468"/>
      <c r="N49" s="1468"/>
      <c r="O49" s="1468"/>
      <c r="P49" s="1468"/>
      <c r="Q49" s="1468"/>
      <c r="R49" s="1468"/>
      <c r="S49" s="1468"/>
      <c r="T49" s="1468"/>
      <c r="U49" s="1469"/>
      <c r="V49" s="1444">
        <v>0.06</v>
      </c>
      <c r="W49" s="1445"/>
      <c r="X49" s="1449">
        <f t="shared" si="0"/>
        <v>0.06</v>
      </c>
      <c r="Y49" s="1445"/>
      <c r="Z49" s="1464">
        <f>V49*V36</f>
        <v>270000</v>
      </c>
      <c r="AA49" s="1465"/>
      <c r="AB49" s="1465"/>
      <c r="AC49" s="1466"/>
      <c r="AD49" s="1446">
        <f>Z49*V20</f>
        <v>81000000</v>
      </c>
      <c r="AE49" s="1447"/>
      <c r="AF49" s="1447"/>
      <c r="AG49" s="1448"/>
      <c r="AH49" s="1444">
        <v>0</v>
      </c>
      <c r="AI49" s="1445"/>
      <c r="AJ49" s="1449">
        <f t="shared" si="1"/>
        <v>0</v>
      </c>
      <c r="AK49" s="1445"/>
      <c r="AL49" s="1450">
        <f>AH49*AH36</f>
        <v>0</v>
      </c>
      <c r="AM49" s="1451"/>
      <c r="AN49" s="1451"/>
      <c r="AO49" s="1452"/>
      <c r="AP49" s="1446">
        <f>AL49*AH20</f>
        <v>0</v>
      </c>
      <c r="AQ49" s="1447"/>
      <c r="AR49" s="1447"/>
      <c r="AS49" s="1448"/>
      <c r="AT49" s="1444">
        <v>0</v>
      </c>
      <c r="AU49" s="1445"/>
      <c r="AV49" s="1449">
        <f t="shared" si="2"/>
        <v>0</v>
      </c>
      <c r="AW49" s="1445"/>
      <c r="AX49" s="1450">
        <f>AT49*AT36</f>
        <v>0</v>
      </c>
      <c r="AY49" s="1451"/>
      <c r="AZ49" s="1451"/>
      <c r="BA49" s="1452"/>
      <c r="BB49" s="1446">
        <f>AX49*AT20</f>
        <v>0</v>
      </c>
      <c r="BC49" s="1447"/>
      <c r="BD49" s="1447"/>
      <c r="BE49" s="1448"/>
      <c r="BG49" s="391"/>
      <c r="BI49" s="1444">
        <v>0</v>
      </c>
      <c r="BJ49" s="1445"/>
      <c r="BK49" s="1449">
        <f t="shared" si="3"/>
        <v>0</v>
      </c>
      <c r="BL49" s="1445"/>
      <c r="BM49" s="1464" t="e">
        <f>BI49*BI36</f>
        <v>#DIV/0!</v>
      </c>
      <c r="BN49" s="1465"/>
      <c r="BO49" s="1465"/>
      <c r="BP49" s="1466"/>
      <c r="BQ49" s="1446" t="e">
        <f>BM49*BI20</f>
        <v>#DIV/0!</v>
      </c>
      <c r="BR49" s="1447"/>
      <c r="BS49" s="1447"/>
      <c r="BT49" s="1448"/>
      <c r="BU49" s="1444">
        <v>0</v>
      </c>
      <c r="BV49" s="1445"/>
      <c r="BW49" s="1449">
        <f t="shared" si="4"/>
        <v>0</v>
      </c>
      <c r="BX49" s="1445"/>
      <c r="BY49" s="1450" t="e">
        <f>BU49*BU36</f>
        <v>#DIV/0!</v>
      </c>
      <c r="BZ49" s="1451"/>
      <c r="CA49" s="1451"/>
      <c r="CB49" s="1452"/>
      <c r="CC49" s="1446" t="e">
        <f>BY49*BU20</f>
        <v>#DIV/0!</v>
      </c>
      <c r="CD49" s="1447"/>
      <c r="CE49" s="1447"/>
      <c r="CF49" s="1448"/>
      <c r="CG49" s="1444">
        <v>0</v>
      </c>
      <c r="CH49" s="1445"/>
      <c r="CI49" s="1449">
        <f t="shared" si="5"/>
        <v>0</v>
      </c>
      <c r="CJ49" s="1445"/>
      <c r="CK49" s="1450" t="e">
        <f>CG49*CG36</f>
        <v>#DIV/0!</v>
      </c>
      <c r="CL49" s="1451"/>
      <c r="CM49" s="1451"/>
      <c r="CN49" s="1452"/>
      <c r="CO49" s="1446" t="e">
        <f>CK49*CG20</f>
        <v>#DIV/0!</v>
      </c>
      <c r="CP49" s="1447"/>
      <c r="CQ49" s="1447"/>
      <c r="CR49" s="1448"/>
      <c r="CS49"/>
      <c r="CT49" s="1208"/>
      <c r="CU49"/>
      <c r="CV49" s="1444">
        <v>0</v>
      </c>
      <c r="CW49" s="1445"/>
      <c r="CX49" s="1449">
        <f t="shared" si="6"/>
        <v>0</v>
      </c>
      <c r="CY49" s="1445"/>
      <c r="CZ49" s="1464" t="e">
        <f>CV49*CV36</f>
        <v>#DIV/0!</v>
      </c>
      <c r="DA49" s="1465"/>
      <c r="DB49" s="1465"/>
      <c r="DC49" s="1466"/>
      <c r="DD49" s="1446" t="e">
        <f>CZ49*CV20</f>
        <v>#DIV/0!</v>
      </c>
      <c r="DE49" s="1447"/>
      <c r="DF49" s="1447"/>
      <c r="DG49" s="1448"/>
      <c r="DH49" s="1444">
        <v>0</v>
      </c>
      <c r="DI49" s="1445"/>
      <c r="DJ49" s="1449">
        <f t="shared" si="7"/>
        <v>0</v>
      </c>
      <c r="DK49" s="1445"/>
      <c r="DL49" s="1450" t="e">
        <f>DH49*DH36</f>
        <v>#DIV/0!</v>
      </c>
      <c r="DM49" s="1451"/>
      <c r="DN49" s="1451"/>
      <c r="DO49" s="1452"/>
      <c r="DP49" s="1446" t="e">
        <f>DL49*DH20</f>
        <v>#DIV/0!</v>
      </c>
      <c r="DQ49" s="1447"/>
      <c r="DR49" s="1447"/>
      <c r="DS49" s="1448"/>
      <c r="DT49" s="1444">
        <v>0</v>
      </c>
      <c r="DU49" s="1445"/>
      <c r="DV49" s="1449">
        <f t="shared" si="8"/>
        <v>0</v>
      </c>
      <c r="DW49" s="1445"/>
      <c r="DX49" s="1450" t="e">
        <f>DT49*DT36</f>
        <v>#DIV/0!</v>
      </c>
      <c r="DY49" s="1451"/>
      <c r="DZ49" s="1451"/>
      <c r="EA49" s="1452"/>
      <c r="EB49" s="1446" t="e">
        <f>DX49*DT20</f>
        <v>#DIV/0!</v>
      </c>
      <c r="EC49" s="1447"/>
      <c r="ED49" s="1447"/>
      <c r="EE49" s="1448"/>
    </row>
    <row r="50" spans="1:135" s="496" customFormat="1" ht="15" customHeight="1">
      <c r="A50" s="488"/>
      <c r="B50" s="1462" t="s">
        <v>1959</v>
      </c>
      <c r="C50" s="1463"/>
      <c r="D50" s="1463"/>
      <c r="E50" s="1463"/>
      <c r="F50" s="1463"/>
      <c r="G50" s="1463"/>
      <c r="H50" s="1463"/>
      <c r="I50" s="1463"/>
      <c r="J50" s="1463"/>
      <c r="K50" s="1463"/>
      <c r="L50" s="1463"/>
      <c r="M50" s="1463"/>
      <c r="N50" s="1463"/>
      <c r="O50" s="1463"/>
      <c r="P50" s="1463"/>
      <c r="Q50" s="1463"/>
      <c r="R50" s="1463"/>
      <c r="S50" s="1463"/>
      <c r="T50" s="1463"/>
      <c r="U50" s="1463"/>
      <c r="V50" s="1442">
        <f>SUM(V39:W49)</f>
        <v>0.08</v>
      </c>
      <c r="W50" s="1443"/>
      <c r="X50" s="1440">
        <f>SUM(X39:Y49)</f>
        <v>0.08</v>
      </c>
      <c r="Y50" s="1440"/>
      <c r="Z50" s="1441">
        <f>SUM(Z39:AC49)</f>
        <v>360000</v>
      </c>
      <c r="AA50" s="1441"/>
      <c r="AB50" s="1441"/>
      <c r="AC50" s="1441"/>
      <c r="AD50" s="1434">
        <f>SUM(AD39:AG48)</f>
        <v>27000000</v>
      </c>
      <c r="AE50" s="1434"/>
      <c r="AF50" s="1434"/>
      <c r="AG50" s="1434"/>
      <c r="AH50" s="1440">
        <f>SUM(AH39:AI49)</f>
        <v>0.05</v>
      </c>
      <c r="AI50" s="1440"/>
      <c r="AJ50" s="1440">
        <f>SUM(AJ39:AK49)</f>
        <v>0.05</v>
      </c>
      <c r="AK50" s="1440"/>
      <c r="AL50" s="1441">
        <f>SUM(AL39:AO49)</f>
        <v>245454.54545454547</v>
      </c>
      <c r="AM50" s="1441"/>
      <c r="AN50" s="1441"/>
      <c r="AO50" s="1441"/>
      <c r="AP50" s="1434">
        <f>SUM(AP39:AS49)</f>
        <v>135000000</v>
      </c>
      <c r="AQ50" s="1434"/>
      <c r="AR50" s="1434"/>
      <c r="AS50" s="1434"/>
      <c r="AT50" s="1440">
        <f>SUM(AT39:AU49)</f>
        <v>0.1</v>
      </c>
      <c r="AU50" s="1440"/>
      <c r="AV50" s="1440">
        <f>SUM(AV39:AW49)</f>
        <v>0.1</v>
      </c>
      <c r="AW50" s="1440"/>
      <c r="AX50" s="1441">
        <f>SUM(AX39:BA49)</f>
        <v>450000</v>
      </c>
      <c r="AY50" s="1441"/>
      <c r="AZ50" s="1441"/>
      <c r="BA50" s="1441"/>
      <c r="BB50" s="1434">
        <f>SUM(BB39:BE49)</f>
        <v>315000000</v>
      </c>
      <c r="BC50" s="1434"/>
      <c r="BD50" s="1434"/>
      <c r="BE50" s="1435"/>
      <c r="BG50" s="391"/>
      <c r="BI50" s="1442">
        <f>SUM(BI39:BJ49)</f>
        <v>0</v>
      </c>
      <c r="BJ50" s="1443"/>
      <c r="BK50" s="1440">
        <f>SUM(BK39:BL49)</f>
        <v>0</v>
      </c>
      <c r="BL50" s="1440"/>
      <c r="BM50" s="1441" t="e">
        <f>SUM(BM39:BP49)</f>
        <v>#DIV/0!</v>
      </c>
      <c r="BN50" s="1441"/>
      <c r="BO50" s="1441"/>
      <c r="BP50" s="1441"/>
      <c r="BQ50" s="1434" t="e">
        <f>SUM(BQ39:BT48)</f>
        <v>#DIV/0!</v>
      </c>
      <c r="BR50" s="1434"/>
      <c r="BS50" s="1434"/>
      <c r="BT50" s="1434"/>
      <c r="BU50" s="1440">
        <f>SUM(BU39:BV49)</f>
        <v>0</v>
      </c>
      <c r="BV50" s="1440"/>
      <c r="BW50" s="1440">
        <f>SUM(BW39:BX49)</f>
        <v>0</v>
      </c>
      <c r="BX50" s="1440"/>
      <c r="BY50" s="1441" t="e">
        <f>SUM(BY39:CB49)</f>
        <v>#DIV/0!</v>
      </c>
      <c r="BZ50" s="1441"/>
      <c r="CA50" s="1441"/>
      <c r="CB50" s="1441"/>
      <c r="CC50" s="1434" t="e">
        <f>SUM(CC39:CF49)</f>
        <v>#DIV/0!</v>
      </c>
      <c r="CD50" s="1434"/>
      <c r="CE50" s="1434"/>
      <c r="CF50" s="1434"/>
      <c r="CG50" s="1440">
        <f>SUM(CG39:CH49)</f>
        <v>0</v>
      </c>
      <c r="CH50" s="1440"/>
      <c r="CI50" s="1440">
        <f>SUM(CI39:CJ49)</f>
        <v>0</v>
      </c>
      <c r="CJ50" s="1440"/>
      <c r="CK50" s="1441" t="e">
        <f>SUM(CK39:CN49)</f>
        <v>#DIV/0!</v>
      </c>
      <c r="CL50" s="1441"/>
      <c r="CM50" s="1441"/>
      <c r="CN50" s="1441"/>
      <c r="CO50" s="1434" t="e">
        <f>SUM(CO39:CR49)</f>
        <v>#DIV/0!</v>
      </c>
      <c r="CP50" s="1434"/>
      <c r="CQ50" s="1434"/>
      <c r="CR50" s="1435"/>
      <c r="CS50"/>
      <c r="CT50" s="1209"/>
      <c r="CU50"/>
      <c r="CV50" s="1442">
        <f>SUM(CV39:CW49)</f>
        <v>0</v>
      </c>
      <c r="CW50" s="1443"/>
      <c r="CX50" s="1440">
        <f>SUM(CX39:CY49)</f>
        <v>0</v>
      </c>
      <c r="CY50" s="1440"/>
      <c r="CZ50" s="1441" t="e">
        <f>SUM(CZ39:DC49)</f>
        <v>#DIV/0!</v>
      </c>
      <c r="DA50" s="1441"/>
      <c r="DB50" s="1441"/>
      <c r="DC50" s="1441"/>
      <c r="DD50" s="1434" t="e">
        <f>SUM(DD39:DG48)</f>
        <v>#DIV/0!</v>
      </c>
      <c r="DE50" s="1434"/>
      <c r="DF50" s="1434"/>
      <c r="DG50" s="1434"/>
      <c r="DH50" s="1440">
        <f>SUM(DH39:DI49)</f>
        <v>0</v>
      </c>
      <c r="DI50" s="1440"/>
      <c r="DJ50" s="1440">
        <f>SUM(DJ39:DK49)</f>
        <v>0</v>
      </c>
      <c r="DK50" s="1440"/>
      <c r="DL50" s="1441" t="e">
        <f>SUM(DL39:DO49)</f>
        <v>#DIV/0!</v>
      </c>
      <c r="DM50" s="1441"/>
      <c r="DN50" s="1441"/>
      <c r="DO50" s="1441"/>
      <c r="DP50" s="1434" t="e">
        <f>SUM(DP39:DS49)</f>
        <v>#DIV/0!</v>
      </c>
      <c r="DQ50" s="1434"/>
      <c r="DR50" s="1434"/>
      <c r="DS50" s="1434"/>
      <c r="DT50" s="1440">
        <f>SUM(DT39:DU49)</f>
        <v>0</v>
      </c>
      <c r="DU50" s="1440"/>
      <c r="DV50" s="1440">
        <f>SUM(DV39:DW49)</f>
        <v>0</v>
      </c>
      <c r="DW50" s="1440"/>
      <c r="DX50" s="1441" t="e">
        <f>SUM(DX39:EA49)</f>
        <v>#DIV/0!</v>
      </c>
      <c r="DY50" s="1441"/>
      <c r="DZ50" s="1441"/>
      <c r="EA50" s="1441"/>
      <c r="EB50" s="1434" t="e">
        <f>SUM(EB39:EE49)</f>
        <v>#DIV/0!</v>
      </c>
      <c r="EC50" s="1434"/>
      <c r="ED50" s="1434"/>
      <c r="EE50" s="1435"/>
    </row>
    <row r="51" spans="1:135" s="496" customFormat="1" ht="18" customHeight="1">
      <c r="A51" s="360"/>
      <c r="B51" s="1436" t="s">
        <v>1960</v>
      </c>
      <c r="C51" s="1437"/>
      <c r="D51" s="1437"/>
      <c r="E51" s="1437"/>
      <c r="F51" s="1437"/>
      <c r="G51" s="1437"/>
      <c r="H51" s="1437"/>
      <c r="I51" s="1437"/>
      <c r="J51" s="1437"/>
      <c r="K51" s="1437"/>
      <c r="L51" s="1437"/>
      <c r="M51" s="1437"/>
      <c r="N51" s="1437"/>
      <c r="O51" s="1437"/>
      <c r="P51" s="1437"/>
      <c r="Q51" s="1437"/>
      <c r="R51" s="1437"/>
      <c r="S51" s="1437"/>
      <c r="T51" s="1437"/>
      <c r="U51" s="1437"/>
      <c r="V51" s="1438">
        <f>V36*(1+V50)</f>
        <v>4860000</v>
      </c>
      <c r="W51" s="1438"/>
      <c r="X51" s="1438"/>
      <c r="Y51" s="1438"/>
      <c r="Z51" s="1438"/>
      <c r="AA51" s="1438"/>
      <c r="AB51" s="1438"/>
      <c r="AC51" s="1438"/>
      <c r="AD51" s="1438"/>
      <c r="AE51" s="1438"/>
      <c r="AF51" s="1438"/>
      <c r="AG51" s="1438"/>
      <c r="AH51" s="1438">
        <f>AH36*(1+AH50)</f>
        <v>5154545.4545454551</v>
      </c>
      <c r="AI51" s="1438"/>
      <c r="AJ51" s="1438"/>
      <c r="AK51" s="1438"/>
      <c r="AL51" s="1438"/>
      <c r="AM51" s="1438"/>
      <c r="AN51" s="1438"/>
      <c r="AO51" s="1438"/>
      <c r="AP51" s="1438"/>
      <c r="AQ51" s="1438"/>
      <c r="AR51" s="1438"/>
      <c r="AS51" s="1438"/>
      <c r="AT51" s="1438">
        <f>AT36*(1+AT50)</f>
        <v>4950000</v>
      </c>
      <c r="AU51" s="1438"/>
      <c r="AV51" s="1438"/>
      <c r="AW51" s="1438"/>
      <c r="AX51" s="1438"/>
      <c r="AY51" s="1438"/>
      <c r="AZ51" s="1438"/>
      <c r="BA51" s="1438"/>
      <c r="BB51" s="1438"/>
      <c r="BC51" s="1438"/>
      <c r="BD51" s="1438"/>
      <c r="BE51" s="1439"/>
      <c r="BG51" s="391"/>
      <c r="BI51" s="1438" t="e">
        <f>BI36*(1+BI50)</f>
        <v>#DIV/0!</v>
      </c>
      <c r="BJ51" s="1438"/>
      <c r="BK51" s="1438"/>
      <c r="BL51" s="1438"/>
      <c r="BM51" s="1438"/>
      <c r="BN51" s="1438"/>
      <c r="BO51" s="1438"/>
      <c r="BP51" s="1438"/>
      <c r="BQ51" s="1438"/>
      <c r="BR51" s="1438"/>
      <c r="BS51" s="1438"/>
      <c r="BT51" s="1438"/>
      <c r="BU51" s="1438" t="e">
        <f>BU36*(1+BU50)</f>
        <v>#DIV/0!</v>
      </c>
      <c r="BV51" s="1438"/>
      <c r="BW51" s="1438"/>
      <c r="BX51" s="1438"/>
      <c r="BY51" s="1438"/>
      <c r="BZ51" s="1438"/>
      <c r="CA51" s="1438"/>
      <c r="CB51" s="1438"/>
      <c r="CC51" s="1438"/>
      <c r="CD51" s="1438"/>
      <c r="CE51" s="1438"/>
      <c r="CF51" s="1438"/>
      <c r="CG51" s="1438" t="e">
        <f>CG36*(1+CG50)</f>
        <v>#DIV/0!</v>
      </c>
      <c r="CH51" s="1438"/>
      <c r="CI51" s="1438"/>
      <c r="CJ51" s="1438"/>
      <c r="CK51" s="1438"/>
      <c r="CL51" s="1438"/>
      <c r="CM51" s="1438"/>
      <c r="CN51" s="1438"/>
      <c r="CO51" s="1438"/>
      <c r="CP51" s="1438"/>
      <c r="CQ51" s="1438"/>
      <c r="CR51" s="1439"/>
      <c r="CS51"/>
      <c r="CT51" s="1210"/>
      <c r="CU51"/>
      <c r="CV51" s="1438" t="e">
        <f>CV36*(1+CV50)</f>
        <v>#DIV/0!</v>
      </c>
      <c r="CW51" s="1438"/>
      <c r="CX51" s="1438"/>
      <c r="CY51" s="1438"/>
      <c r="CZ51" s="1438"/>
      <c r="DA51" s="1438"/>
      <c r="DB51" s="1438"/>
      <c r="DC51" s="1438"/>
      <c r="DD51" s="1438"/>
      <c r="DE51" s="1438"/>
      <c r="DF51" s="1438"/>
      <c r="DG51" s="1438"/>
      <c r="DH51" s="1438" t="e">
        <f>DH36*(1+DH50)</f>
        <v>#DIV/0!</v>
      </c>
      <c r="DI51" s="1438"/>
      <c r="DJ51" s="1438"/>
      <c r="DK51" s="1438"/>
      <c r="DL51" s="1438"/>
      <c r="DM51" s="1438"/>
      <c r="DN51" s="1438"/>
      <c r="DO51" s="1438"/>
      <c r="DP51" s="1438"/>
      <c r="DQ51" s="1438"/>
      <c r="DR51" s="1438"/>
      <c r="DS51" s="1438"/>
      <c r="DT51" s="1438" t="e">
        <f>DT36*(1+DT50)</f>
        <v>#DIV/0!</v>
      </c>
      <c r="DU51" s="1438"/>
      <c r="DV51" s="1438"/>
      <c r="DW51" s="1438"/>
      <c r="DX51" s="1438"/>
      <c r="DY51" s="1438"/>
      <c r="DZ51" s="1438"/>
      <c r="EA51" s="1438"/>
      <c r="EB51" s="1438"/>
      <c r="EC51" s="1438"/>
      <c r="ED51" s="1438"/>
      <c r="EE51" s="1439"/>
    </row>
    <row r="52" spans="1:135" s="465" customFormat="1" ht="18" customHeight="1">
      <c r="B52" s="1453" t="s">
        <v>1961</v>
      </c>
      <c r="C52" s="1453"/>
      <c r="D52" s="1453"/>
      <c r="E52" s="1453"/>
      <c r="F52" s="1453"/>
      <c r="G52" s="1453"/>
      <c r="H52" s="1453"/>
      <c r="I52" s="1453"/>
      <c r="J52" s="1453"/>
      <c r="K52" s="1454">
        <f>SUM(V52:BE52)</f>
        <v>1</v>
      </c>
      <c r="L52" s="1455"/>
      <c r="M52" s="1455"/>
      <c r="N52" s="1455"/>
      <c r="O52" s="1455"/>
      <c r="P52" s="1455"/>
      <c r="Q52" s="1455"/>
      <c r="R52" s="1455"/>
      <c r="S52" s="1455"/>
      <c r="T52" s="1455"/>
      <c r="U52" s="1455"/>
      <c r="V52" s="1456">
        <f>$X$94/$X$95</f>
        <v>0.32608695652173914</v>
      </c>
      <c r="W52" s="1456"/>
      <c r="X52" s="1456"/>
      <c r="Y52" s="1456"/>
      <c r="Z52" s="1456"/>
      <c r="AA52" s="1456"/>
      <c r="AB52" s="1456"/>
      <c r="AC52" s="1456"/>
      <c r="AD52" s="1456"/>
      <c r="AE52" s="1456"/>
      <c r="AF52" s="1456"/>
      <c r="AG52" s="1456"/>
      <c r="AH52" s="1456">
        <f>$AJ$94/$X$95</f>
        <v>0.39130434782608697</v>
      </c>
      <c r="AI52" s="1456"/>
      <c r="AJ52" s="1456"/>
      <c r="AK52" s="1456"/>
      <c r="AL52" s="1456"/>
      <c r="AM52" s="1456"/>
      <c r="AN52" s="1456"/>
      <c r="AO52" s="1456"/>
      <c r="AP52" s="1456"/>
      <c r="AQ52" s="1456"/>
      <c r="AR52" s="1456"/>
      <c r="AS52" s="1456"/>
      <c r="AT52" s="1456">
        <f>$AV$94/$X$95</f>
        <v>0.28260869565217395</v>
      </c>
      <c r="AU52" s="1456"/>
      <c r="AV52" s="1456"/>
      <c r="AW52" s="1456"/>
      <c r="AX52" s="1456"/>
      <c r="AY52" s="1456"/>
      <c r="AZ52" s="1456"/>
      <c r="BA52" s="1456"/>
      <c r="BB52" s="1456"/>
      <c r="BC52" s="1456"/>
      <c r="BD52" s="1456"/>
      <c r="BE52" s="1456"/>
      <c r="BG52" s="391"/>
      <c r="BI52" s="1456" t="e">
        <f>$BK$94/$BK$95</f>
        <v>#DIV/0!</v>
      </c>
      <c r="BJ52" s="1456"/>
      <c r="BK52" s="1456"/>
      <c r="BL52" s="1456"/>
      <c r="BM52" s="1456"/>
      <c r="BN52" s="1456"/>
      <c r="BO52" s="1456"/>
      <c r="BP52" s="1456"/>
      <c r="BQ52" s="1456"/>
      <c r="BR52" s="1456"/>
      <c r="BS52" s="1456"/>
      <c r="BT52" s="1456"/>
      <c r="BU52" s="1456" t="e">
        <f>$BW$94/$BK$95</f>
        <v>#DIV/0!</v>
      </c>
      <c r="BV52" s="1456"/>
      <c r="BW52" s="1456"/>
      <c r="BX52" s="1456"/>
      <c r="BY52" s="1456"/>
      <c r="BZ52" s="1456"/>
      <c r="CA52" s="1456"/>
      <c r="CB52" s="1456"/>
      <c r="CC52" s="1456"/>
      <c r="CD52" s="1456"/>
      <c r="CE52" s="1456"/>
      <c r="CF52" s="1456"/>
      <c r="CG52" s="1456" t="e">
        <f>$CI$94/$BK$95</f>
        <v>#DIV/0!</v>
      </c>
      <c r="CH52" s="1456"/>
      <c r="CI52" s="1456"/>
      <c r="CJ52" s="1456"/>
      <c r="CK52" s="1456"/>
      <c r="CL52" s="1456"/>
      <c r="CM52" s="1456"/>
      <c r="CN52" s="1456"/>
      <c r="CO52" s="1456"/>
      <c r="CP52" s="1456"/>
      <c r="CQ52" s="1456"/>
      <c r="CR52" s="1456"/>
      <c r="CS52"/>
      <c r="CT52" s="1211"/>
      <c r="CU52"/>
      <c r="CV52" s="1600" t="e">
        <f>$CX$94/$CX$95</f>
        <v>#DIV/0!</v>
      </c>
      <c r="CW52" s="1600"/>
      <c r="CX52" s="1600"/>
      <c r="CY52" s="1600"/>
      <c r="CZ52" s="1600"/>
      <c r="DA52" s="1600"/>
      <c r="DB52" s="1600"/>
      <c r="DC52" s="1600"/>
      <c r="DD52" s="1600"/>
      <c r="DE52" s="1600"/>
      <c r="DF52" s="1600"/>
      <c r="DG52" s="1600"/>
      <c r="DH52" s="1600" t="e">
        <f>$DJ$94/$CX$95</f>
        <v>#DIV/0!</v>
      </c>
      <c r="DI52" s="1600"/>
      <c r="DJ52" s="1600"/>
      <c r="DK52" s="1600"/>
      <c r="DL52" s="1600"/>
      <c r="DM52" s="1600"/>
      <c r="DN52" s="1600"/>
      <c r="DO52" s="1600"/>
      <c r="DP52" s="1600"/>
      <c r="DQ52" s="1600"/>
      <c r="DR52" s="1600"/>
      <c r="DS52" s="1600"/>
      <c r="DT52" s="1600" t="e">
        <f>$DV$94/$CX$95</f>
        <v>#DIV/0!</v>
      </c>
      <c r="DU52" s="1600"/>
      <c r="DV52" s="1600"/>
      <c r="DW52" s="1600"/>
      <c r="DX52" s="1600"/>
      <c r="DY52" s="1600"/>
      <c r="DZ52" s="1600"/>
      <c r="EA52" s="1600"/>
      <c r="EB52" s="1600"/>
      <c r="EC52" s="1600"/>
      <c r="ED52" s="1600"/>
      <c r="EE52" s="1600"/>
    </row>
    <row r="53" spans="1:135" s="497" customFormat="1" ht="18" customHeight="1">
      <c r="B53" s="1457" t="s">
        <v>1962</v>
      </c>
      <c r="C53" s="1457"/>
      <c r="D53" s="1457"/>
      <c r="E53" s="1457"/>
      <c r="F53" s="1457"/>
      <c r="G53" s="1457"/>
      <c r="H53" s="1457"/>
      <c r="I53" s="1457"/>
      <c r="J53" s="1457"/>
      <c r="K53" s="1458">
        <f>SUM(V53:BE53)</f>
        <v>5000691.6996047432</v>
      </c>
      <c r="L53" s="1459"/>
      <c r="M53" s="1459"/>
      <c r="N53" s="1459"/>
      <c r="O53" s="1459"/>
      <c r="P53" s="1459"/>
      <c r="Q53" s="1459"/>
      <c r="R53" s="1459"/>
      <c r="S53" s="1459"/>
      <c r="T53" s="1459"/>
      <c r="U53" s="1460"/>
      <c r="V53" s="1461">
        <f>V51*V52</f>
        <v>1584782.6086956521</v>
      </c>
      <c r="W53" s="1461"/>
      <c r="X53" s="1461"/>
      <c r="Y53" s="1461"/>
      <c r="Z53" s="1461"/>
      <c r="AA53" s="1461"/>
      <c r="AB53" s="1461"/>
      <c r="AC53" s="1461"/>
      <c r="AD53" s="1461"/>
      <c r="AE53" s="1461"/>
      <c r="AF53" s="1461"/>
      <c r="AG53" s="1461"/>
      <c r="AH53" s="1461">
        <f>AH51*AH52</f>
        <v>2016996.0474308303</v>
      </c>
      <c r="AI53" s="1461"/>
      <c r="AJ53" s="1461"/>
      <c r="AK53" s="1461"/>
      <c r="AL53" s="1461"/>
      <c r="AM53" s="1461"/>
      <c r="AN53" s="1461"/>
      <c r="AO53" s="1461"/>
      <c r="AP53" s="1461"/>
      <c r="AQ53" s="1461"/>
      <c r="AR53" s="1461"/>
      <c r="AS53" s="1461"/>
      <c r="AT53" s="1461">
        <f>AT51*AT52</f>
        <v>1398913.043478261</v>
      </c>
      <c r="AU53" s="1461"/>
      <c r="AV53" s="1461"/>
      <c r="AW53" s="1461"/>
      <c r="AX53" s="1461"/>
      <c r="AY53" s="1461"/>
      <c r="AZ53" s="1461"/>
      <c r="BA53" s="1461"/>
      <c r="BB53" s="1461"/>
      <c r="BC53" s="1461"/>
      <c r="BD53" s="1461"/>
      <c r="BE53" s="1461"/>
      <c r="BG53" s="391"/>
      <c r="BI53" s="1461" t="e">
        <f>BI51*BI52</f>
        <v>#DIV/0!</v>
      </c>
      <c r="BJ53" s="1461"/>
      <c r="BK53" s="1461"/>
      <c r="BL53" s="1461"/>
      <c r="BM53" s="1461"/>
      <c r="BN53" s="1461"/>
      <c r="BO53" s="1461"/>
      <c r="BP53" s="1461"/>
      <c r="BQ53" s="1461"/>
      <c r="BR53" s="1461"/>
      <c r="BS53" s="1461"/>
      <c r="BT53" s="1461"/>
      <c r="BU53" s="1461" t="e">
        <f>BU51*BU52</f>
        <v>#DIV/0!</v>
      </c>
      <c r="BV53" s="1461"/>
      <c r="BW53" s="1461"/>
      <c r="BX53" s="1461"/>
      <c r="BY53" s="1461"/>
      <c r="BZ53" s="1461"/>
      <c r="CA53" s="1461"/>
      <c r="CB53" s="1461"/>
      <c r="CC53" s="1461"/>
      <c r="CD53" s="1461"/>
      <c r="CE53" s="1461"/>
      <c r="CF53" s="1461"/>
      <c r="CG53" s="1461" t="e">
        <f>CG51*CG52</f>
        <v>#DIV/0!</v>
      </c>
      <c r="CH53" s="1461"/>
      <c r="CI53" s="1461"/>
      <c r="CJ53" s="1461"/>
      <c r="CK53" s="1461"/>
      <c r="CL53" s="1461"/>
      <c r="CM53" s="1461"/>
      <c r="CN53" s="1461"/>
      <c r="CO53" s="1461"/>
      <c r="CP53" s="1461"/>
      <c r="CQ53" s="1461"/>
      <c r="CR53" s="1461"/>
      <c r="CS53"/>
      <c r="CT53" s="1212"/>
      <c r="CU53"/>
      <c r="CV53" s="1461" t="e">
        <f>CV51*CV52</f>
        <v>#DIV/0!</v>
      </c>
      <c r="CW53" s="1461"/>
      <c r="CX53" s="1461"/>
      <c r="CY53" s="1461"/>
      <c r="CZ53" s="1461"/>
      <c r="DA53" s="1461"/>
      <c r="DB53" s="1461"/>
      <c r="DC53" s="1461"/>
      <c r="DD53" s="1461"/>
      <c r="DE53" s="1461"/>
      <c r="DF53" s="1461"/>
      <c r="DG53" s="1461"/>
      <c r="DH53" s="1461" t="e">
        <f>DH51*DH52</f>
        <v>#DIV/0!</v>
      </c>
      <c r="DI53" s="1461"/>
      <c r="DJ53" s="1461"/>
      <c r="DK53" s="1461"/>
      <c r="DL53" s="1461"/>
      <c r="DM53" s="1461"/>
      <c r="DN53" s="1461"/>
      <c r="DO53" s="1461"/>
      <c r="DP53" s="1461"/>
      <c r="DQ53" s="1461"/>
      <c r="DR53" s="1461"/>
      <c r="DS53" s="1461"/>
      <c r="DT53" s="1461" t="e">
        <f>DT51*DT52</f>
        <v>#DIV/0!</v>
      </c>
      <c r="DU53" s="1461"/>
      <c r="DV53" s="1461"/>
      <c r="DW53" s="1461"/>
      <c r="DX53" s="1461"/>
      <c r="DY53" s="1461"/>
      <c r="DZ53" s="1461"/>
      <c r="EA53" s="1461"/>
      <c r="EB53" s="1461"/>
      <c r="EC53" s="1461"/>
      <c r="ED53" s="1461"/>
      <c r="EE53" s="1461"/>
    </row>
    <row r="54" spans="1:135" s="498" customFormat="1" ht="21" customHeight="1" thickBot="1">
      <c r="B54" s="499"/>
      <c r="C54" s="500"/>
      <c r="D54" s="500"/>
      <c r="E54" s="500"/>
      <c r="F54" s="500"/>
      <c r="G54" s="500"/>
      <c r="H54" s="500"/>
      <c r="I54" s="500"/>
      <c r="J54" s="501"/>
      <c r="K54" s="501"/>
      <c r="L54" s="501"/>
      <c r="M54" s="501"/>
      <c r="N54" s="501"/>
      <c r="O54" s="501"/>
      <c r="P54" s="501"/>
      <c r="Q54" s="501"/>
      <c r="R54" s="501"/>
      <c r="S54" s="501"/>
      <c r="T54" s="501"/>
      <c r="U54" s="501"/>
      <c r="V54" s="1426"/>
      <c r="W54" s="1426"/>
      <c r="X54" s="1426"/>
      <c r="Y54" s="1426"/>
      <c r="Z54" s="1426"/>
      <c r="AA54" s="1426"/>
      <c r="AB54" s="1426"/>
      <c r="AC54" s="1426"/>
      <c r="AD54" s="1426"/>
      <c r="AE54" s="1427"/>
      <c r="AF54" s="1427"/>
      <c r="AG54" s="1427"/>
      <c r="AH54" s="501"/>
      <c r="AI54" s="501"/>
      <c r="AJ54" s="501"/>
      <c r="AK54" s="501"/>
      <c r="AL54" s="501"/>
      <c r="AM54" s="501"/>
      <c r="AN54" s="501"/>
      <c r="AO54" s="501"/>
      <c r="AP54" s="501"/>
      <c r="AQ54" s="501"/>
      <c r="AR54" s="501"/>
      <c r="AS54" s="501"/>
      <c r="AT54" s="501"/>
      <c r="AU54" s="501"/>
      <c r="AV54" s="501"/>
      <c r="AW54" s="501"/>
      <c r="AX54" s="501"/>
      <c r="AY54" s="501"/>
      <c r="AZ54" s="501"/>
      <c r="BA54" s="501"/>
      <c r="BB54" s="501"/>
      <c r="BC54" s="501"/>
      <c r="BD54" s="501"/>
      <c r="BE54" s="500"/>
      <c r="BG54" s="391"/>
      <c r="BI54" s="1427"/>
      <c r="BJ54" s="1427"/>
      <c r="BK54" s="1427"/>
      <c r="BL54" s="1427"/>
      <c r="BM54" s="1427"/>
      <c r="BN54" s="1427"/>
      <c r="BO54" s="1427"/>
      <c r="BP54" s="1427"/>
      <c r="BQ54" s="1427"/>
      <c r="BR54" s="1427"/>
      <c r="BS54" s="1427"/>
      <c r="BT54" s="1427"/>
      <c r="BU54" s="501"/>
      <c r="BV54" s="501"/>
      <c r="BW54" s="501"/>
      <c r="BX54" s="501"/>
      <c r="BY54" s="501"/>
      <c r="BZ54" s="501"/>
      <c r="CA54" s="501"/>
      <c r="CB54" s="501"/>
      <c r="CC54" s="501"/>
      <c r="CD54" s="501"/>
      <c r="CE54" s="501"/>
      <c r="CF54" s="501"/>
      <c r="CG54" s="501"/>
      <c r="CH54" s="501"/>
      <c r="CI54" s="501"/>
      <c r="CJ54" s="501"/>
      <c r="CK54" s="501"/>
      <c r="CL54" s="501"/>
      <c r="CM54" s="501"/>
      <c r="CN54" s="501"/>
      <c r="CO54" s="501"/>
      <c r="CP54" s="501"/>
      <c r="CQ54" s="501"/>
      <c r="CR54" s="500"/>
      <c r="CS54"/>
      <c r="CT54" s="1213"/>
      <c r="CU54"/>
      <c r="CV54" s="1427"/>
      <c r="CW54" s="1427"/>
      <c r="CX54" s="1427"/>
      <c r="CY54" s="1427"/>
      <c r="CZ54" s="1427"/>
      <c r="DA54" s="1427"/>
      <c r="DB54" s="1427"/>
      <c r="DC54" s="1427"/>
      <c r="DD54" s="1427"/>
      <c r="DE54" s="1427"/>
      <c r="DF54" s="1427"/>
      <c r="DG54" s="1427"/>
      <c r="DH54" s="501"/>
      <c r="DI54" s="501"/>
      <c r="DJ54" s="501"/>
      <c r="DK54" s="501"/>
      <c r="DL54" s="501"/>
      <c r="DM54" s="501"/>
      <c r="DN54" s="501"/>
      <c r="DO54" s="501"/>
      <c r="DP54" s="501"/>
      <c r="DQ54" s="501"/>
      <c r="DR54" s="501"/>
      <c r="DS54" s="501"/>
      <c r="DT54" s="501"/>
      <c r="DU54" s="501"/>
      <c r="DV54" s="501"/>
      <c r="DW54" s="501"/>
      <c r="DX54" s="501"/>
      <c r="DY54" s="501"/>
      <c r="DZ54" s="501"/>
      <c r="EA54" s="501"/>
      <c r="EB54" s="501"/>
      <c r="EC54" s="501"/>
      <c r="ED54" s="501"/>
      <c r="EE54" s="500"/>
    </row>
    <row r="55" spans="1:135" ht="31.5" customHeight="1" thickTop="1">
      <c r="B55" s="1428" t="s">
        <v>1877</v>
      </c>
      <c r="C55" s="1429"/>
      <c r="D55" s="1429" t="s">
        <v>1963</v>
      </c>
      <c r="E55" s="1429"/>
      <c r="F55" s="1429"/>
      <c r="G55" s="1429" t="s">
        <v>1964</v>
      </c>
      <c r="H55" s="1429"/>
      <c r="I55" s="1429"/>
      <c r="J55" s="1429" t="s">
        <v>1965</v>
      </c>
      <c r="K55" s="1429"/>
      <c r="L55" s="1429"/>
      <c r="M55" s="1429"/>
      <c r="N55" s="1429" t="s">
        <v>1961</v>
      </c>
      <c r="O55" s="1429"/>
      <c r="P55" s="1429"/>
      <c r="Q55" s="1429" t="s">
        <v>1966</v>
      </c>
      <c r="R55" s="1429"/>
      <c r="S55" s="1429"/>
      <c r="T55" s="1429"/>
      <c r="U55" s="1429"/>
      <c r="V55" s="1429"/>
      <c r="W55" s="1429"/>
      <c r="X55" s="502"/>
      <c r="Y55" s="502"/>
      <c r="Z55" s="1429" t="s">
        <v>1967</v>
      </c>
      <c r="AA55" s="1429"/>
      <c r="AB55" s="1429"/>
      <c r="AC55" s="1429"/>
      <c r="AD55" s="1429"/>
      <c r="AE55" s="1429"/>
      <c r="AF55" s="1430"/>
      <c r="AI55" s="1408" t="str">
        <f>IF(AT63&lt;=20%,"OK !!!","ANALISA ULANG / CARI DATA LAGI !!")</f>
        <v>OK !!!</v>
      </c>
      <c r="AJ55" s="1409"/>
      <c r="AK55" s="1409"/>
      <c r="AL55" s="1409"/>
      <c r="AM55" s="1409"/>
      <c r="AN55" s="1409"/>
      <c r="AO55" s="1409"/>
      <c r="AP55" s="1409"/>
      <c r="AQ55" s="1409"/>
      <c r="AR55" s="1409"/>
      <c r="AS55" s="1409"/>
      <c r="AT55" s="1409"/>
      <c r="AU55" s="1409"/>
      <c r="AV55" s="1409"/>
      <c r="AW55" s="1409"/>
      <c r="AX55" s="1409"/>
      <c r="AY55" s="1409"/>
      <c r="AZ55" s="1409"/>
      <c r="BA55" s="1409"/>
      <c r="BB55" s="1409"/>
      <c r="BC55" s="1409"/>
      <c r="BD55" s="1409"/>
      <c r="BE55" s="1410"/>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T55" s="1214"/>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row>
    <row r="56" spans="1:135" ht="15" customHeight="1">
      <c r="B56" s="1417">
        <v>1</v>
      </c>
      <c r="C56" s="1418"/>
      <c r="D56" s="1401" t="str">
        <f>Tnh!E105</f>
        <v>Hak Milik</v>
      </c>
      <c r="E56" s="1401"/>
      <c r="F56" s="1401"/>
      <c r="G56" s="1402">
        <f>Tnh!J105</f>
        <v>0</v>
      </c>
      <c r="H56" s="1403"/>
      <c r="I56" s="1403"/>
      <c r="J56" s="1404">
        <f>Tnh!AK105</f>
        <v>249</v>
      </c>
      <c r="K56" s="1405"/>
      <c r="L56" s="1405"/>
      <c r="M56" s="1405"/>
      <c r="N56" s="1419">
        <v>1</v>
      </c>
      <c r="O56" s="1419"/>
      <c r="P56" s="1419"/>
      <c r="Q56" s="1431">
        <f>N56*$K$53</f>
        <v>5000691.6996047432</v>
      </c>
      <c r="R56" s="1431"/>
      <c r="S56" s="1431"/>
      <c r="T56" s="1431"/>
      <c r="U56" s="1431"/>
      <c r="V56" s="1431"/>
      <c r="W56" s="1431"/>
      <c r="X56" s="503"/>
      <c r="Y56" s="503"/>
      <c r="Z56" s="1432">
        <f>J56*Q56</f>
        <v>1245172233.201581</v>
      </c>
      <c r="AA56" s="1432"/>
      <c r="AB56" s="1432"/>
      <c r="AC56" s="1432"/>
      <c r="AD56" s="1432"/>
      <c r="AE56" s="1432"/>
      <c r="AF56" s="1433"/>
      <c r="AI56" s="1411"/>
      <c r="AJ56" s="1412"/>
      <c r="AK56" s="1412"/>
      <c r="AL56" s="1412"/>
      <c r="AM56" s="1412"/>
      <c r="AN56" s="1412"/>
      <c r="AO56" s="1412"/>
      <c r="AP56" s="1412"/>
      <c r="AQ56" s="1412"/>
      <c r="AR56" s="1412"/>
      <c r="AS56" s="1412"/>
      <c r="AT56" s="1412"/>
      <c r="AU56" s="1412"/>
      <c r="AV56" s="1412"/>
      <c r="AW56" s="1412"/>
      <c r="AX56" s="1412"/>
      <c r="AY56" s="1412"/>
      <c r="AZ56" s="1412"/>
      <c r="BA56" s="1412"/>
      <c r="BB56" s="1412"/>
      <c r="BC56" s="1412"/>
      <c r="BD56" s="1412"/>
      <c r="BE56" s="1413"/>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T56" s="1214"/>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row>
    <row r="57" spans="1:135" ht="15" customHeight="1">
      <c r="B57" s="1420">
        <v>2</v>
      </c>
      <c r="C57" s="1421"/>
      <c r="D57" s="1401" t="str">
        <f>Tnh!E106</f>
        <v>-</v>
      </c>
      <c r="E57" s="1401"/>
      <c r="F57" s="1401"/>
      <c r="G57" s="1402">
        <f>Tnh!J106</f>
        <v>0</v>
      </c>
      <c r="H57" s="1403"/>
      <c r="I57" s="1403"/>
      <c r="J57" s="1404">
        <f>Tnh!AK106</f>
        <v>0</v>
      </c>
      <c r="K57" s="1405"/>
      <c r="L57" s="1405"/>
      <c r="M57" s="1405"/>
      <c r="N57" s="1424">
        <v>1</v>
      </c>
      <c r="O57" s="1424"/>
      <c r="P57" s="1424"/>
      <c r="Q57" s="1425">
        <f>N57*$K$53</f>
        <v>5000691.6996047432</v>
      </c>
      <c r="R57" s="1425"/>
      <c r="S57" s="1425"/>
      <c r="T57" s="1425"/>
      <c r="U57" s="1425"/>
      <c r="V57" s="1425"/>
      <c r="W57" s="1425"/>
      <c r="X57" s="504"/>
      <c r="Y57" s="504"/>
      <c r="Z57" s="1422">
        <f>J57*Q57</f>
        <v>0</v>
      </c>
      <c r="AA57" s="1422"/>
      <c r="AB57" s="1422"/>
      <c r="AC57" s="1422"/>
      <c r="AD57" s="1422"/>
      <c r="AE57" s="1422"/>
      <c r="AF57" s="1423"/>
      <c r="AI57" s="1411"/>
      <c r="AJ57" s="1412"/>
      <c r="AK57" s="1412"/>
      <c r="AL57" s="1412"/>
      <c r="AM57" s="1412"/>
      <c r="AN57" s="1412"/>
      <c r="AO57" s="1412"/>
      <c r="AP57" s="1412"/>
      <c r="AQ57" s="1412"/>
      <c r="AR57" s="1412"/>
      <c r="AS57" s="1412"/>
      <c r="AT57" s="1412"/>
      <c r="AU57" s="1412"/>
      <c r="AV57" s="1412"/>
      <c r="AW57" s="1412"/>
      <c r="AX57" s="1412"/>
      <c r="AY57" s="1412"/>
      <c r="AZ57" s="1412"/>
      <c r="BA57" s="1412"/>
      <c r="BB57" s="1412"/>
      <c r="BC57" s="1412"/>
      <c r="BD57" s="1412"/>
      <c r="BE57" s="1413"/>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T57" s="1214"/>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row>
    <row r="58" spans="1:135" ht="15" customHeight="1">
      <c r="B58" s="1420">
        <v>3</v>
      </c>
      <c r="C58" s="1421"/>
      <c r="D58" s="1401" t="str">
        <f>Tnh!E107</f>
        <v>-</v>
      </c>
      <c r="E58" s="1401"/>
      <c r="F58" s="1401"/>
      <c r="G58" s="1402">
        <f>Tnh!J107</f>
        <v>0</v>
      </c>
      <c r="H58" s="1403"/>
      <c r="I58" s="1403"/>
      <c r="J58" s="1404">
        <f>Tnh!AK107</f>
        <v>0</v>
      </c>
      <c r="K58" s="1405"/>
      <c r="L58" s="1405"/>
      <c r="M58" s="1405"/>
      <c r="N58" s="1424">
        <v>1</v>
      </c>
      <c r="O58" s="1424"/>
      <c r="P58" s="1424"/>
      <c r="Q58" s="1425">
        <f>N58*$K$53</f>
        <v>5000691.6996047432</v>
      </c>
      <c r="R58" s="1425"/>
      <c r="S58" s="1425"/>
      <c r="T58" s="1425"/>
      <c r="U58" s="1425"/>
      <c r="V58" s="1425"/>
      <c r="W58" s="1425"/>
      <c r="X58" s="504"/>
      <c r="Y58" s="504"/>
      <c r="Z58" s="1422">
        <f>J58*Q58</f>
        <v>0</v>
      </c>
      <c r="AA58" s="1422"/>
      <c r="AB58" s="1422"/>
      <c r="AC58" s="1422"/>
      <c r="AD58" s="1422"/>
      <c r="AE58" s="1422"/>
      <c r="AF58" s="1423"/>
      <c r="AI58" s="1411"/>
      <c r="AJ58" s="1412"/>
      <c r="AK58" s="1412"/>
      <c r="AL58" s="1412"/>
      <c r="AM58" s="1412"/>
      <c r="AN58" s="1412"/>
      <c r="AO58" s="1412"/>
      <c r="AP58" s="1412"/>
      <c r="AQ58" s="1412"/>
      <c r="AR58" s="1412"/>
      <c r="AS58" s="1412"/>
      <c r="AT58" s="1412"/>
      <c r="AU58" s="1412"/>
      <c r="AV58" s="1412"/>
      <c r="AW58" s="1412"/>
      <c r="AX58" s="1412"/>
      <c r="AY58" s="1412"/>
      <c r="AZ58" s="1412"/>
      <c r="BA58" s="1412"/>
      <c r="BB58" s="1412"/>
      <c r="BC58" s="1412"/>
      <c r="BD58" s="1412"/>
      <c r="BE58" s="1413"/>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T58" s="1214"/>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row>
    <row r="59" spans="1:135" ht="15" customHeight="1" thickBot="1">
      <c r="B59" s="1420">
        <v>4</v>
      </c>
      <c r="C59" s="1421"/>
      <c r="D59" s="1401" t="str">
        <f>Tnh!E108</f>
        <v>-</v>
      </c>
      <c r="E59" s="1401"/>
      <c r="F59" s="1401"/>
      <c r="G59" s="1402">
        <f>Tnh!J108</f>
        <v>0</v>
      </c>
      <c r="H59" s="1403"/>
      <c r="I59" s="1403"/>
      <c r="J59" s="1404">
        <f>Tnh!AK108</f>
        <v>0</v>
      </c>
      <c r="K59" s="1405"/>
      <c r="L59" s="1405"/>
      <c r="M59" s="1405"/>
      <c r="N59" s="1424">
        <v>1</v>
      </c>
      <c r="O59" s="1424"/>
      <c r="P59" s="1424"/>
      <c r="Q59" s="1425">
        <f>N59*$K$53</f>
        <v>5000691.6996047432</v>
      </c>
      <c r="R59" s="1425"/>
      <c r="S59" s="1425"/>
      <c r="T59" s="1425"/>
      <c r="U59" s="1425"/>
      <c r="V59" s="1425"/>
      <c r="W59" s="1425"/>
      <c r="X59" s="504"/>
      <c r="Y59" s="504"/>
      <c r="Z59" s="1422">
        <f>J59*Q59</f>
        <v>0</v>
      </c>
      <c r="AA59" s="1422"/>
      <c r="AB59" s="1422"/>
      <c r="AC59" s="1422"/>
      <c r="AD59" s="1422"/>
      <c r="AE59" s="1422"/>
      <c r="AF59" s="1423"/>
      <c r="AI59" s="1414"/>
      <c r="AJ59" s="1415"/>
      <c r="AK59" s="1415"/>
      <c r="AL59" s="1415"/>
      <c r="AM59" s="1415"/>
      <c r="AN59" s="1415"/>
      <c r="AO59" s="1415"/>
      <c r="AP59" s="1415"/>
      <c r="AQ59" s="1415"/>
      <c r="AR59" s="1415"/>
      <c r="AS59" s="1415"/>
      <c r="AT59" s="1415"/>
      <c r="AU59" s="1415"/>
      <c r="AV59" s="1415"/>
      <c r="AW59" s="1415"/>
      <c r="AX59" s="1415"/>
      <c r="AY59" s="1415"/>
      <c r="AZ59" s="1415"/>
      <c r="BA59" s="1415"/>
      <c r="BB59" s="1415"/>
      <c r="BC59" s="1415"/>
      <c r="BD59" s="1415"/>
      <c r="BE59" s="1416"/>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T59" s="1214"/>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row>
    <row r="60" spans="1:135" ht="15" customHeight="1" thickTop="1">
      <c r="B60" s="1399">
        <v>5</v>
      </c>
      <c r="C60" s="1400"/>
      <c r="D60" s="1401" t="str">
        <f>Tnh!E109</f>
        <v>-</v>
      </c>
      <c r="E60" s="1401"/>
      <c r="F60" s="1401"/>
      <c r="G60" s="1402">
        <f>Tnh!J109</f>
        <v>0</v>
      </c>
      <c r="H60" s="1403"/>
      <c r="I60" s="1403"/>
      <c r="J60" s="1404">
        <f>Tnh!AK109</f>
        <v>0</v>
      </c>
      <c r="K60" s="1405"/>
      <c r="L60" s="1405"/>
      <c r="M60" s="1405"/>
      <c r="N60" s="1406">
        <v>1</v>
      </c>
      <c r="O60" s="1406"/>
      <c r="P60" s="1406"/>
      <c r="Q60" s="1407">
        <f>N60*$K$53</f>
        <v>5000691.6996047432</v>
      </c>
      <c r="R60" s="1407"/>
      <c r="S60" s="1407"/>
      <c r="T60" s="1407"/>
      <c r="U60" s="1407"/>
      <c r="V60" s="1407"/>
      <c r="W60" s="1407"/>
      <c r="X60" s="505"/>
      <c r="Y60" s="505"/>
      <c r="Z60" s="1390">
        <f>J60*Q60</f>
        <v>0</v>
      </c>
      <c r="AA60" s="1390"/>
      <c r="AB60" s="1390"/>
      <c r="AC60" s="1390"/>
      <c r="AD60" s="1390"/>
      <c r="AE60" s="1390"/>
      <c r="AF60" s="1391"/>
      <c r="AI60" s="506"/>
      <c r="AJ60" s="506"/>
      <c r="AK60" s="506"/>
      <c r="AL60" s="506"/>
      <c r="AM60" s="507" t="s">
        <v>1968</v>
      </c>
      <c r="AN60" s="507"/>
      <c r="AO60" s="508"/>
      <c r="AP60" s="508"/>
      <c r="AQ60" s="508"/>
      <c r="AR60" s="508"/>
      <c r="AS60" s="508"/>
      <c r="AT60" s="1392">
        <f>MAX(V51,AH51,AT51)</f>
        <v>5154545.4545454551</v>
      </c>
      <c r="AU60" s="1392"/>
      <c r="AV60" s="1392"/>
      <c r="AW60" s="1392"/>
      <c r="AX60" s="1392"/>
      <c r="AY60" s="1392"/>
      <c r="AZ60" s="1392"/>
      <c r="BA60" s="1392"/>
      <c r="BB60" s="1392"/>
      <c r="BC60" s="1392"/>
      <c r="BD60" s="1392"/>
      <c r="BE60" s="1392"/>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T60" s="1215"/>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row>
    <row r="61" spans="1:135" s="509" customFormat="1" ht="17.25" customHeight="1">
      <c r="B61" s="1393" t="s">
        <v>1969</v>
      </c>
      <c r="C61" s="1394"/>
      <c r="D61" s="1394"/>
      <c r="E61" s="1394"/>
      <c r="F61" s="1394"/>
      <c r="G61" s="1394"/>
      <c r="H61" s="1394"/>
      <c r="I61" s="1394"/>
      <c r="J61" s="1395">
        <f>SUM(J56:M60)</f>
        <v>249</v>
      </c>
      <c r="K61" s="1395"/>
      <c r="L61" s="1395"/>
      <c r="M61" s="1395"/>
      <c r="N61" s="1396"/>
      <c r="O61" s="1396"/>
      <c r="P61" s="1396"/>
      <c r="Q61" s="1397">
        <f>Z61/J61</f>
        <v>5000691.6996047432</v>
      </c>
      <c r="R61" s="1397"/>
      <c r="S61" s="1397"/>
      <c r="T61" s="1397"/>
      <c r="U61" s="1397"/>
      <c r="V61" s="1397"/>
      <c r="W61" s="1397"/>
      <c r="X61" s="510"/>
      <c r="Y61" s="510"/>
      <c r="Z61" s="1395">
        <f>SUM(Z56:AF60)</f>
        <v>1245172233.201581</v>
      </c>
      <c r="AA61" s="1395"/>
      <c r="AB61" s="1395"/>
      <c r="AC61" s="1395"/>
      <c r="AD61" s="1395"/>
      <c r="AE61" s="1395"/>
      <c r="AF61" s="1398"/>
      <c r="AH61" s="511"/>
      <c r="AI61" s="511"/>
      <c r="AJ61" s="511"/>
      <c r="AK61" s="511"/>
      <c r="AL61" s="511"/>
      <c r="AM61" s="507" t="s">
        <v>1970</v>
      </c>
      <c r="AN61" s="507"/>
      <c r="AO61" s="512"/>
      <c r="AP61" s="512"/>
      <c r="AQ61" s="512"/>
      <c r="AR61" s="512"/>
      <c r="AS61" s="512"/>
      <c r="AT61" s="1392">
        <f>MIN(V51,AH51,AT51)</f>
        <v>4860000</v>
      </c>
      <c r="AU61" s="1392"/>
      <c r="AV61" s="1392"/>
      <c r="AW61" s="1392"/>
      <c r="AX61" s="1392"/>
      <c r="AY61" s="1392"/>
      <c r="AZ61" s="1392"/>
      <c r="BA61" s="1392"/>
      <c r="BB61" s="1392"/>
      <c r="BC61" s="1392"/>
      <c r="BD61" s="1392"/>
      <c r="BE61" s="1392"/>
      <c r="BG61" s="39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s="1215"/>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row>
    <row r="62" spans="1:135" ht="3.95" customHeight="1">
      <c r="AH62" s="422"/>
      <c r="AI62" s="422"/>
      <c r="AJ62" s="422"/>
      <c r="AK62" s="422"/>
      <c r="AL62" s="422"/>
      <c r="AM62" s="422"/>
      <c r="AN62" s="422"/>
      <c r="AO62" s="422"/>
      <c r="AP62" s="422"/>
      <c r="AQ62" s="422"/>
      <c r="AR62" s="422"/>
      <c r="AS62" s="438"/>
      <c r="AT62" s="438"/>
      <c r="AU62" s="438"/>
      <c r="AV62" s="438"/>
      <c r="AW62" s="438"/>
      <c r="AX62" s="438"/>
      <c r="AY62" s="438"/>
      <c r="AZ62" s="438"/>
      <c r="BA62" s="438"/>
      <c r="BB62" s="438"/>
      <c r="BC62" s="438"/>
      <c r="BD62" s="438"/>
      <c r="BE62" s="438"/>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row>
    <row r="63" spans="1:135" ht="17.25" customHeight="1">
      <c r="B63" s="1378" t="s">
        <v>1971</v>
      </c>
      <c r="C63" s="1379"/>
      <c r="D63" s="1379"/>
      <c r="E63" s="1379"/>
      <c r="F63" s="1379"/>
      <c r="G63" s="1379"/>
      <c r="H63" s="1379"/>
      <c r="I63" s="1379"/>
      <c r="J63" s="1379"/>
      <c r="K63" s="1379"/>
      <c r="L63" s="1379"/>
      <c r="M63" s="1379"/>
      <c r="N63" s="1379"/>
      <c r="O63" s="1379"/>
      <c r="P63" s="1379"/>
      <c r="Q63" s="1380">
        <f>Q61</f>
        <v>5000691.6996047432</v>
      </c>
      <c r="R63" s="1380"/>
      <c r="S63" s="1380"/>
      <c r="T63" s="1380"/>
      <c r="U63" s="1380"/>
      <c r="V63" s="1380"/>
      <c r="W63" s="1381"/>
      <c r="X63" s="513"/>
      <c r="Y63" s="513"/>
      <c r="AH63" s="422"/>
      <c r="AI63" s="508"/>
      <c r="AJ63" s="508"/>
      <c r="AK63" s="508"/>
      <c r="AL63" s="508"/>
      <c r="AM63" s="514" t="s">
        <v>1972</v>
      </c>
      <c r="AN63" s="514"/>
      <c r="AO63" s="508"/>
      <c r="AP63" s="508"/>
      <c r="AQ63" s="508"/>
      <c r="AR63" s="508"/>
      <c r="AS63" s="508"/>
      <c r="AT63" s="1382">
        <f>1-(AT61/AT60)</f>
        <v>5.7142857142857273E-2</v>
      </c>
      <c r="AU63" s="1382"/>
      <c r="AV63" s="1382"/>
      <c r="AW63" s="1382"/>
      <c r="AX63" s="1382"/>
      <c r="AY63" s="1382"/>
      <c r="AZ63" s="1382"/>
      <c r="BA63" s="1382"/>
      <c r="BB63" s="1382"/>
      <c r="BC63" s="1382"/>
      <c r="BD63" s="1382"/>
      <c r="BE63" s="1382"/>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T63" s="1216"/>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row>
    <row r="64" spans="1:135" ht="17.25" customHeight="1">
      <c r="B64" s="1383" t="s">
        <v>1529</v>
      </c>
      <c r="C64" s="1384"/>
      <c r="D64" s="1384"/>
      <c r="E64" s="1384"/>
      <c r="F64" s="1384"/>
      <c r="G64" s="1384"/>
      <c r="H64" s="1384"/>
      <c r="I64" s="1384"/>
      <c r="J64" s="1384"/>
      <c r="K64" s="1384"/>
      <c r="L64" s="1384"/>
      <c r="M64" s="1384"/>
      <c r="N64" s="1384"/>
      <c r="O64" s="1384"/>
      <c r="P64" s="1384"/>
      <c r="Q64" s="1385">
        <f>ROUND(Q63,-4)</f>
        <v>5000000</v>
      </c>
      <c r="R64" s="1385"/>
      <c r="S64" s="1385"/>
      <c r="T64" s="1385"/>
      <c r="U64" s="1385"/>
      <c r="V64" s="1385"/>
      <c r="W64" s="1386"/>
      <c r="X64" s="515"/>
      <c r="Y64" s="515"/>
      <c r="Z64" s="516" t="s">
        <v>1973</v>
      </c>
      <c r="AA64" s="438"/>
      <c r="AB64" s="438"/>
      <c r="AC64" s="438"/>
      <c r="AD64" s="438"/>
      <c r="AE64" s="438"/>
      <c r="AI64" s="508"/>
      <c r="AJ64" s="508"/>
      <c r="AK64" s="508"/>
      <c r="AL64" s="508"/>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row>
    <row r="65" spans="1:135" ht="18.75" customHeight="1">
      <c r="Q65"/>
      <c r="R65"/>
      <c r="S65"/>
      <c r="T65"/>
      <c r="U65"/>
      <c r="V65"/>
      <c r="W65"/>
      <c r="AI65" s="512"/>
      <c r="AJ65" s="512"/>
      <c r="AK65" s="512"/>
      <c r="AL65" s="512"/>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row>
    <row r="66" spans="1:135" ht="18.75" hidden="1" customHeight="1">
      <c r="Q66"/>
      <c r="R66"/>
      <c r="S66"/>
      <c r="T66"/>
      <c r="U66"/>
      <c r="V66"/>
      <c r="W66"/>
      <c r="AI66" s="506"/>
      <c r="AJ66" s="506"/>
      <c r="AK66" s="506"/>
      <c r="AL66" s="506"/>
      <c r="AM66" s="506"/>
      <c r="AN66" s="506"/>
      <c r="AO66" s="506"/>
      <c r="AP66" s="506"/>
      <c r="AQ66" s="506"/>
      <c r="AR66" s="506"/>
      <c r="AS66" s="438"/>
      <c r="AT66" s="438"/>
      <c r="AU66" s="438"/>
      <c r="AV66" s="438"/>
      <c r="AW66" s="438"/>
      <c r="AX66" s="438"/>
      <c r="AY66" s="438"/>
      <c r="AZ66" s="438"/>
      <c r="BA66" s="438"/>
      <c r="BB66" s="438"/>
      <c r="BC66" s="438"/>
      <c r="BD66" s="438"/>
      <c r="BE66" s="438"/>
      <c r="BI66" s="1186"/>
      <c r="BJ66" s="1186"/>
      <c r="BM66"/>
      <c r="BN66"/>
      <c r="BO66"/>
      <c r="BP66"/>
      <c r="BQ66"/>
      <c r="BR66"/>
      <c r="BS66"/>
      <c r="BT66"/>
      <c r="BU66"/>
      <c r="BV66"/>
      <c r="BW66"/>
      <c r="BX66"/>
      <c r="BY66"/>
      <c r="BZ66"/>
      <c r="CA66"/>
      <c r="CB66"/>
      <c r="CC66"/>
      <c r="CD66"/>
      <c r="CV66" s="1186"/>
      <c r="CW66" s="1186"/>
      <c r="CZ66" s="1186"/>
      <c r="DA66" s="1186"/>
      <c r="DB66" s="1186"/>
      <c r="DC66" s="1186"/>
      <c r="DD66" s="1186"/>
      <c r="DE66" s="1186"/>
      <c r="DF66" s="1186"/>
      <c r="DG66" s="1186"/>
      <c r="DH66" s="1186"/>
      <c r="DI66" s="1186"/>
      <c r="DJ66" s="1186"/>
      <c r="DK66" s="1186"/>
      <c r="DL66" s="1186"/>
      <c r="DM66" s="1186"/>
      <c r="DN66" s="1186"/>
      <c r="DO66" s="1186"/>
      <c r="DP66" s="1186"/>
      <c r="DQ66" s="1186"/>
    </row>
    <row r="67" spans="1:135" ht="12.95" hidden="1" customHeight="1">
      <c r="B67" s="299"/>
      <c r="Q67"/>
      <c r="R67"/>
      <c r="S67"/>
      <c r="T67"/>
      <c r="U67"/>
      <c r="V67"/>
      <c r="W67"/>
      <c r="BI67" s="1186"/>
      <c r="BJ67" s="1186"/>
      <c r="BM67"/>
      <c r="BN67"/>
      <c r="BO67"/>
      <c r="BP67"/>
      <c r="BQ67"/>
      <c r="BR67"/>
      <c r="BS67"/>
      <c r="BT67"/>
      <c r="BU67"/>
      <c r="BV67"/>
      <c r="BW67"/>
      <c r="BX67"/>
      <c r="BY67"/>
      <c r="BZ67"/>
      <c r="CA67"/>
      <c r="CB67"/>
      <c r="CC67"/>
      <c r="CD67"/>
      <c r="CE67" s="438"/>
      <c r="CF67" s="438"/>
      <c r="CG67" s="438"/>
      <c r="CH67" s="438"/>
      <c r="CI67" s="438"/>
      <c r="CJ67" s="438"/>
      <c r="CK67" s="438"/>
      <c r="CL67"/>
      <c r="CM67"/>
      <c r="CN67"/>
      <c r="CO67"/>
      <c r="CP67"/>
      <c r="CQ67"/>
      <c r="CR67"/>
      <c r="CV67" s="1186"/>
      <c r="CW67" s="1186"/>
      <c r="CZ67" s="1186"/>
      <c r="DA67" s="1186"/>
      <c r="DB67" s="1186"/>
      <c r="DC67" s="1186"/>
      <c r="DD67" s="1186"/>
      <c r="DE67" s="1186"/>
      <c r="DF67" s="1186"/>
      <c r="DG67" s="1186"/>
      <c r="DH67" s="1186"/>
      <c r="DI67" s="1186"/>
      <c r="DJ67" s="1186"/>
      <c r="DK67" s="1186"/>
      <c r="DL67" s="1186"/>
      <c r="DM67" s="1186"/>
      <c r="DN67" s="1186"/>
      <c r="DO67" s="1186"/>
      <c r="DP67" s="1186"/>
      <c r="DQ67" s="1186"/>
      <c r="DR67" s="438"/>
      <c r="DS67" s="438"/>
      <c r="DT67" s="438"/>
      <c r="DU67" s="438"/>
      <c r="DV67" s="438"/>
      <c r="DW67" s="438"/>
      <c r="DX67" s="438"/>
      <c r="DY67" s="1186"/>
      <c r="DZ67" s="1186"/>
      <c r="EA67" s="1186"/>
      <c r="EB67" s="1186"/>
      <c r="EC67" s="1186"/>
      <c r="ED67" s="1186"/>
      <c r="EE67" s="1186"/>
    </row>
    <row r="68" spans="1:135" s="519" customFormat="1" ht="15" hidden="1" customHeight="1">
      <c r="A68" s="517"/>
      <c r="B68" s="517"/>
      <c r="C68" s="517"/>
      <c r="D68" s="517"/>
      <c r="E68" s="517"/>
      <c r="F68" s="390"/>
      <c r="G68" s="390"/>
      <c r="H68" s="390"/>
      <c r="I68" s="390"/>
      <c r="J68" s="390"/>
      <c r="K68" s="390"/>
      <c r="L68" s="390"/>
      <c r="M68" s="390"/>
      <c r="N68" s="390"/>
      <c r="O68" s="390"/>
      <c r="P68" s="518"/>
      <c r="Q68"/>
      <c r="R68"/>
      <c r="S68"/>
      <c r="T68"/>
      <c r="U68"/>
      <c r="V68"/>
      <c r="W68"/>
      <c r="X68" s="517"/>
      <c r="Y68" s="517"/>
      <c r="Z68" s="517"/>
      <c r="AA68" s="517"/>
      <c r="AB68" s="517"/>
      <c r="AC68" s="517"/>
      <c r="AD68" s="517"/>
      <c r="AE68" s="517"/>
      <c r="AF68" s="517"/>
      <c r="AG68" s="517"/>
      <c r="AH68" s="517"/>
      <c r="AI68" s="517"/>
      <c r="AJ68" s="517"/>
      <c r="AK68" s="517"/>
      <c r="AL68" s="517"/>
      <c r="AM68" s="517"/>
      <c r="AN68" s="517"/>
      <c r="AO68" s="517"/>
      <c r="AP68" s="517"/>
      <c r="AQ68" s="517"/>
      <c r="AR68" s="517"/>
      <c r="AS68" s="517"/>
      <c r="BG68" s="391"/>
      <c r="BI68" s="1186"/>
      <c r="BJ68" s="1186"/>
      <c r="BK68" s="517"/>
      <c r="BL68" s="517"/>
      <c r="BM68"/>
      <c r="BN68"/>
      <c r="BO68"/>
      <c r="BP68"/>
      <c r="BQ68"/>
      <c r="BR68"/>
      <c r="BS68"/>
      <c r="BT68"/>
      <c r="BU68"/>
      <c r="BV68"/>
      <c r="BW68"/>
      <c r="BX68"/>
      <c r="BY68"/>
      <c r="BZ68"/>
      <c r="CA68"/>
      <c r="CB68"/>
      <c r="CC68"/>
      <c r="CD68"/>
      <c r="CL68"/>
      <c r="CM68"/>
      <c r="CN68"/>
      <c r="CO68"/>
      <c r="CP68"/>
      <c r="CQ68"/>
      <c r="CR68"/>
      <c r="CS68"/>
      <c r="CT68" s="1217"/>
      <c r="CU68"/>
      <c r="CV68" s="1186"/>
      <c r="CW68" s="1186"/>
      <c r="CX68" s="517"/>
      <c r="CY68" s="517"/>
      <c r="CZ68" s="1186"/>
      <c r="DA68" s="1186"/>
      <c r="DB68" s="1186"/>
      <c r="DC68" s="1186"/>
      <c r="DD68" s="1186"/>
      <c r="DE68" s="1186"/>
      <c r="DF68" s="1186"/>
      <c r="DG68" s="1186"/>
      <c r="DH68" s="1186"/>
      <c r="DI68" s="1186"/>
      <c r="DJ68" s="1186"/>
      <c r="DK68" s="1186"/>
      <c r="DL68" s="1186"/>
      <c r="DM68" s="1186"/>
      <c r="DN68" s="1186"/>
      <c r="DO68" s="1186"/>
      <c r="DP68" s="1186"/>
      <c r="DQ68" s="1186"/>
      <c r="DY68" s="1186"/>
      <c r="DZ68" s="1186"/>
      <c r="EA68" s="1186"/>
      <c r="EB68" s="1186"/>
      <c r="EC68" s="1186"/>
      <c r="ED68" s="1186"/>
      <c r="EE68" s="1186"/>
    </row>
    <row r="69" spans="1:135" s="519" customFormat="1" ht="12.95" hidden="1" customHeight="1">
      <c r="A69" s="517"/>
      <c r="B69" s="517"/>
      <c r="C69" s="517"/>
      <c r="D69" s="517"/>
      <c r="E69" s="517"/>
      <c r="F69" s="391"/>
      <c r="G69" s="392"/>
      <c r="H69" s="392"/>
      <c r="I69" s="392"/>
      <c r="J69" s="392"/>
      <c r="K69" s="392"/>
      <c r="L69" s="392"/>
      <c r="M69" s="392"/>
      <c r="N69" s="392"/>
      <c r="O69" s="391"/>
      <c r="P69" s="438"/>
      <c r="Q69"/>
      <c r="R69"/>
      <c r="S69"/>
      <c r="T69"/>
      <c r="U69"/>
      <c r="V69"/>
      <c r="W69"/>
      <c r="X69" s="517"/>
      <c r="Y69" s="517"/>
      <c r="Z69" s="517"/>
      <c r="AA69" s="517"/>
      <c r="AB69" s="517"/>
      <c r="AC69" s="517"/>
      <c r="AD69" s="517"/>
      <c r="AE69" s="517"/>
      <c r="AF69" s="517"/>
      <c r="AG69" s="517"/>
      <c r="AH69" s="517"/>
      <c r="AI69" s="517"/>
      <c r="AJ69" s="517"/>
      <c r="AK69" s="517"/>
      <c r="AL69" s="517"/>
      <c r="AM69" s="517"/>
      <c r="AN69" s="517"/>
      <c r="AO69" s="517"/>
      <c r="AP69" s="517"/>
      <c r="AQ69" s="517"/>
      <c r="AR69" s="517"/>
      <c r="AS69" s="517"/>
      <c r="BG69" s="391"/>
      <c r="BI69" s="1186"/>
      <c r="BJ69" s="1186"/>
      <c r="BK69" s="517"/>
      <c r="BL69" s="517"/>
      <c r="BM69"/>
      <c r="BN69"/>
      <c r="BO69"/>
      <c r="BP69"/>
      <c r="BQ69"/>
      <c r="BR69"/>
      <c r="BS69"/>
      <c r="BT69"/>
      <c r="BU69"/>
      <c r="BV69"/>
      <c r="BW69"/>
      <c r="BX69"/>
      <c r="BY69"/>
      <c r="BZ69"/>
      <c r="CA69"/>
      <c r="CB69"/>
      <c r="CC69"/>
      <c r="CD69"/>
      <c r="CL69"/>
      <c r="CM69"/>
      <c r="CN69"/>
      <c r="CO69"/>
      <c r="CP69"/>
      <c r="CQ69"/>
      <c r="CR69"/>
      <c r="CS69"/>
      <c r="CT69" s="1217"/>
      <c r="CU69"/>
      <c r="CV69" s="1186"/>
      <c r="CW69" s="1186"/>
      <c r="CX69" s="517"/>
      <c r="CY69" s="517"/>
      <c r="CZ69" s="1186"/>
      <c r="DA69" s="1186"/>
      <c r="DB69" s="1186"/>
      <c r="DC69" s="1186"/>
      <c r="DD69" s="1186"/>
      <c r="DE69" s="1186"/>
      <c r="DF69" s="1186"/>
      <c r="DG69" s="1186"/>
      <c r="DH69" s="1186"/>
      <c r="DI69" s="1186"/>
      <c r="DJ69" s="1186"/>
      <c r="DK69" s="1186"/>
      <c r="DL69" s="1186"/>
      <c r="DM69" s="1186"/>
      <c r="DN69" s="1186"/>
      <c r="DO69" s="1186"/>
      <c r="DP69" s="1186"/>
      <c r="DQ69" s="1186"/>
      <c r="DY69" s="1186"/>
      <c r="DZ69" s="1186"/>
      <c r="EA69" s="1186"/>
      <c r="EB69" s="1186"/>
      <c r="EC69" s="1186"/>
      <c r="ED69" s="1186"/>
      <c r="EE69" s="1186"/>
    </row>
    <row r="70" spans="1:135" s="519" customFormat="1" ht="12.95" hidden="1" customHeight="1">
      <c r="A70" s="517"/>
      <c r="B70" s="517"/>
      <c r="C70" s="517"/>
      <c r="D70" s="517"/>
      <c r="E70" s="517"/>
      <c r="F70" s="442"/>
      <c r="G70" s="440" t="s">
        <v>1824</v>
      </c>
      <c r="H70" s="396" t="s">
        <v>1826</v>
      </c>
      <c r="I70" s="396"/>
      <c r="J70" s="441"/>
      <c r="K70" s="441"/>
      <c r="L70" s="441"/>
      <c r="M70" s="441"/>
      <c r="N70" s="441"/>
      <c r="O70" s="442"/>
      <c r="P70" s="446"/>
      <c r="Q70"/>
      <c r="R70"/>
      <c r="S70"/>
      <c r="T70"/>
      <c r="U70"/>
      <c r="V70"/>
      <c r="W70"/>
      <c r="X70" s="517"/>
      <c r="Y70" s="517"/>
      <c r="Z70" s="517"/>
      <c r="AA70" s="517"/>
      <c r="AB70" s="517"/>
      <c r="AC70" s="517"/>
      <c r="AD70" s="517"/>
      <c r="AE70" s="517"/>
      <c r="AF70" s="517"/>
      <c r="AG70" s="517"/>
      <c r="AH70" s="517"/>
      <c r="AI70" s="517"/>
      <c r="AJ70" s="517"/>
      <c r="AK70" s="517"/>
      <c r="AL70" s="517"/>
      <c r="AM70" s="517"/>
      <c r="AN70" s="517"/>
      <c r="AO70" s="517"/>
      <c r="AP70" s="517"/>
      <c r="AQ70" s="517"/>
      <c r="AR70" s="517"/>
      <c r="AS70" s="517"/>
      <c r="BG70" s="391"/>
      <c r="BI70" s="1186"/>
      <c r="BJ70" s="1186"/>
      <c r="BK70" s="517"/>
      <c r="BL70" s="517"/>
      <c r="BM70"/>
      <c r="BN70"/>
      <c r="BO70"/>
      <c r="BP70"/>
      <c r="BQ70"/>
      <c r="BR70"/>
      <c r="BS70"/>
      <c r="BT70"/>
      <c r="BU70"/>
      <c r="BV70"/>
      <c r="BW70"/>
      <c r="BX70"/>
      <c r="BY70"/>
      <c r="BZ70"/>
      <c r="CA70"/>
      <c r="CB70"/>
      <c r="CC70"/>
      <c r="CD70"/>
      <c r="CL70"/>
      <c r="CM70"/>
      <c r="CN70"/>
      <c r="CO70"/>
      <c r="CP70"/>
      <c r="CQ70"/>
      <c r="CR70"/>
      <c r="CS70"/>
      <c r="CT70" s="1217"/>
      <c r="CU70"/>
      <c r="CV70" s="1186"/>
      <c r="CW70" s="1186"/>
      <c r="CX70" s="517"/>
      <c r="CY70" s="517"/>
      <c r="CZ70" s="1186"/>
      <c r="DA70" s="1186"/>
      <c r="DB70" s="1186"/>
      <c r="DC70" s="1186"/>
      <c r="DD70" s="1186"/>
      <c r="DE70" s="1186"/>
      <c r="DF70" s="1186"/>
      <c r="DG70" s="1186"/>
      <c r="DH70" s="1186"/>
      <c r="DI70" s="1186"/>
      <c r="DJ70" s="1186"/>
      <c r="DK70" s="1186"/>
      <c r="DL70" s="1186"/>
      <c r="DM70" s="1186"/>
      <c r="DN70" s="1186"/>
      <c r="DO70" s="1186"/>
      <c r="DP70" s="1186"/>
      <c r="DQ70" s="1186"/>
      <c r="DY70" s="1186"/>
      <c r="DZ70" s="1186"/>
      <c r="EA70" s="1186"/>
      <c r="EB70" s="1186"/>
      <c r="EC70" s="1186"/>
      <c r="ED70" s="1186"/>
      <c r="EE70" s="1186"/>
    </row>
    <row r="71" spans="1:135" s="519" customFormat="1" ht="12.95" hidden="1" customHeight="1">
      <c r="A71" s="517"/>
      <c r="B71" s="517"/>
      <c r="C71" s="517"/>
      <c r="D71" s="517"/>
      <c r="E71" s="517"/>
      <c r="F71" s="407"/>
      <c r="G71" s="393"/>
      <c r="H71" s="401" t="s">
        <v>1827</v>
      </c>
      <c r="I71" s="401"/>
      <c r="J71" s="393"/>
      <c r="K71" s="393"/>
      <c r="L71" s="393"/>
      <c r="M71" s="393"/>
      <c r="N71" s="393"/>
      <c r="O71" s="407"/>
      <c r="P71" s="435"/>
      <c r="Q71"/>
      <c r="R71"/>
      <c r="S71"/>
      <c r="T71"/>
      <c r="U71"/>
      <c r="V71"/>
      <c r="W71"/>
      <c r="X71" s="517"/>
      <c r="Y71" s="517"/>
      <c r="Z71" s="517"/>
      <c r="AA71" s="517"/>
      <c r="AB71" s="517"/>
      <c r="AC71" s="517"/>
      <c r="AD71" s="517"/>
      <c r="AE71" s="517"/>
      <c r="AF71" s="517"/>
      <c r="AG71" s="517"/>
      <c r="AH71" s="517"/>
      <c r="AI71" s="517"/>
      <c r="AJ71" s="517"/>
      <c r="AK71" s="517"/>
      <c r="AL71" s="517"/>
      <c r="AM71" s="517"/>
      <c r="AN71" s="517"/>
      <c r="AO71" s="517"/>
      <c r="AP71" s="517"/>
      <c r="AQ71" s="517"/>
      <c r="AR71" s="517"/>
      <c r="AS71" s="517"/>
      <c r="BG71" s="391"/>
      <c r="BI71" s="1186"/>
      <c r="BJ71" s="1186"/>
      <c r="BK71" s="517"/>
      <c r="BL71" s="517"/>
      <c r="BM71"/>
      <c r="BN71"/>
      <c r="BO71"/>
      <c r="BP71"/>
      <c r="BQ71"/>
      <c r="BR71"/>
      <c r="BS71"/>
      <c r="BT71"/>
      <c r="BU71"/>
      <c r="BV71"/>
      <c r="BW71"/>
      <c r="BX71"/>
      <c r="BY71"/>
      <c r="BZ71"/>
      <c r="CA71"/>
      <c r="CB71"/>
      <c r="CC71"/>
      <c r="CD71"/>
      <c r="CS71"/>
      <c r="CT71" s="1217"/>
      <c r="CU71"/>
      <c r="CV71" s="1186"/>
      <c r="CW71" s="1186"/>
      <c r="CX71" s="517"/>
      <c r="CY71" s="517"/>
      <c r="CZ71" s="1186"/>
      <c r="DA71" s="1186"/>
      <c r="DB71" s="1186"/>
      <c r="DC71" s="1186"/>
      <c r="DD71" s="1186"/>
      <c r="DE71" s="1186"/>
      <c r="DF71" s="1186"/>
      <c r="DG71" s="1186"/>
      <c r="DH71" s="1186"/>
      <c r="DI71" s="1186"/>
      <c r="DJ71" s="1186"/>
      <c r="DK71" s="1186"/>
      <c r="DL71" s="1186"/>
      <c r="DM71" s="1186"/>
      <c r="DN71" s="1186"/>
      <c r="DO71" s="1186"/>
      <c r="DP71" s="1186"/>
      <c r="DQ71" s="1186"/>
    </row>
    <row r="72" spans="1:135" s="519" customFormat="1" ht="12.95" hidden="1" customHeight="1">
      <c r="A72" s="517"/>
      <c r="B72" s="517"/>
      <c r="C72" s="517"/>
      <c r="D72" s="517"/>
      <c r="E72" s="517"/>
      <c r="F72" s="407"/>
      <c r="G72" s="402">
        <v>1</v>
      </c>
      <c r="H72" s="393" t="s">
        <v>1177</v>
      </c>
      <c r="I72" s="393"/>
      <c r="J72" s="393"/>
      <c r="K72" s="393"/>
      <c r="L72" s="393"/>
      <c r="M72" s="393"/>
      <c r="N72" s="393"/>
      <c r="O72" s="407"/>
      <c r="P72" s="435"/>
      <c r="Q72"/>
      <c r="R72"/>
      <c r="S72"/>
      <c r="T72"/>
      <c r="U72"/>
      <c r="V72"/>
      <c r="W72"/>
      <c r="X72" s="517"/>
      <c r="Y72" s="517"/>
      <c r="Z72" s="517"/>
      <c r="AA72" s="517"/>
      <c r="AB72" s="517"/>
      <c r="AC72" s="517"/>
      <c r="AD72" s="517"/>
      <c r="AE72" s="517"/>
      <c r="AF72" s="517"/>
      <c r="AG72" s="517"/>
      <c r="AH72" s="517"/>
      <c r="AI72" s="517"/>
      <c r="AJ72" s="517"/>
      <c r="AK72" s="517"/>
      <c r="AL72" s="517"/>
      <c r="AM72" s="517"/>
      <c r="AN72" s="517"/>
      <c r="AO72" s="517"/>
      <c r="AP72" s="517"/>
      <c r="AQ72" s="517"/>
      <c r="AR72" s="517"/>
      <c r="AS72" s="517"/>
      <c r="BG72" s="391"/>
      <c r="BI72" s="1186"/>
      <c r="BJ72" s="1186"/>
      <c r="BK72" s="517"/>
      <c r="BL72" s="517"/>
      <c r="BM72"/>
      <c r="BN72"/>
      <c r="BO72"/>
      <c r="BP72"/>
      <c r="BQ72"/>
      <c r="BR72"/>
      <c r="BS72"/>
      <c r="BT72"/>
      <c r="BU72"/>
      <c r="BV72"/>
      <c r="BW72"/>
      <c r="BX72"/>
      <c r="BY72"/>
      <c r="BZ72"/>
      <c r="CA72"/>
      <c r="CB72"/>
      <c r="CC72"/>
      <c r="CD72"/>
      <c r="CS72"/>
      <c r="CT72" s="1217"/>
      <c r="CU72"/>
      <c r="CV72" s="1186"/>
      <c r="CW72" s="1186"/>
      <c r="CX72" s="517"/>
      <c r="CY72" s="517"/>
      <c r="CZ72" s="1186"/>
      <c r="DA72" s="1186"/>
      <c r="DB72" s="1186"/>
      <c r="DC72" s="1186"/>
      <c r="DD72" s="1186"/>
      <c r="DE72" s="1186"/>
      <c r="DF72" s="1186"/>
      <c r="DG72" s="1186"/>
      <c r="DH72" s="1186"/>
      <c r="DI72" s="1186"/>
      <c r="DJ72" s="1186"/>
      <c r="DK72" s="1186"/>
      <c r="DL72" s="1186"/>
      <c r="DM72" s="1186"/>
      <c r="DN72" s="1186"/>
      <c r="DO72" s="1186"/>
      <c r="DP72" s="1186"/>
      <c r="DQ72" s="1186"/>
    </row>
    <row r="73" spans="1:135" s="519" customFormat="1" ht="12.95" hidden="1" customHeight="1">
      <c r="A73" s="517"/>
      <c r="B73" s="517"/>
      <c r="C73" s="517"/>
      <c r="D73" s="517"/>
      <c r="E73" s="517"/>
      <c r="F73" s="407"/>
      <c r="G73" s="402">
        <v>2</v>
      </c>
      <c r="H73" s="393" t="s">
        <v>1974</v>
      </c>
      <c r="I73" s="393"/>
      <c r="J73" s="393"/>
      <c r="K73" s="393"/>
      <c r="L73" s="393"/>
      <c r="M73" s="393"/>
      <c r="N73" s="393"/>
      <c r="O73" s="407"/>
      <c r="P73" s="435"/>
      <c r="Q73"/>
      <c r="R73"/>
      <c r="S73"/>
      <c r="T73"/>
      <c r="U73"/>
      <c r="V73"/>
      <c r="W73"/>
      <c r="X73" s="517"/>
      <c r="Y73" s="517"/>
      <c r="Z73" s="517"/>
      <c r="AA73" s="517"/>
      <c r="AB73" s="517"/>
      <c r="AC73" s="517"/>
      <c r="AD73" s="517"/>
      <c r="AE73" s="517"/>
      <c r="AF73" s="517"/>
      <c r="AG73" s="517"/>
      <c r="AH73" s="517"/>
      <c r="AI73" s="517"/>
      <c r="AJ73" s="517"/>
      <c r="AK73" s="517"/>
      <c r="AL73" s="517"/>
      <c r="AM73" s="517"/>
      <c r="AN73" s="517"/>
      <c r="AO73" s="517"/>
      <c r="AP73" s="517"/>
      <c r="AQ73" s="517"/>
      <c r="AR73" s="517"/>
      <c r="AS73" s="517"/>
      <c r="BG73" s="391"/>
      <c r="BI73" s="1186"/>
      <c r="BJ73" s="1186"/>
      <c r="BK73" s="517"/>
      <c r="BL73" s="517"/>
      <c r="BM73"/>
      <c r="BN73"/>
      <c r="BO73"/>
      <c r="BP73"/>
      <c r="BQ73"/>
      <c r="BR73"/>
      <c r="BS73"/>
      <c r="BT73"/>
      <c r="BU73"/>
      <c r="BV73"/>
      <c r="BW73"/>
      <c r="BX73"/>
      <c r="BY73"/>
      <c r="BZ73"/>
      <c r="CA73"/>
      <c r="CB73"/>
      <c r="CC73"/>
      <c r="CD73"/>
      <c r="CS73"/>
      <c r="CT73" s="1217"/>
      <c r="CU73"/>
      <c r="CV73" s="1186"/>
      <c r="CW73" s="1186"/>
      <c r="CX73" s="517"/>
      <c r="CY73" s="517"/>
      <c r="CZ73" s="1186"/>
      <c r="DA73" s="1186"/>
      <c r="DB73" s="1186"/>
      <c r="DC73" s="1186"/>
      <c r="DD73" s="1186"/>
      <c r="DE73" s="1186"/>
      <c r="DF73" s="1186"/>
      <c r="DG73" s="1186"/>
      <c r="DH73" s="1186"/>
      <c r="DI73" s="1186"/>
      <c r="DJ73" s="1186"/>
      <c r="DK73" s="1186"/>
      <c r="DL73" s="1186"/>
      <c r="DM73" s="1186"/>
      <c r="DN73" s="1186"/>
      <c r="DO73" s="1186"/>
      <c r="DP73" s="1186"/>
      <c r="DQ73" s="1186"/>
    </row>
    <row r="74" spans="1:135" s="519" customFormat="1" ht="12.95" hidden="1" customHeight="1">
      <c r="A74" s="517"/>
      <c r="B74" s="517"/>
      <c r="C74" s="517"/>
      <c r="D74" s="517"/>
      <c r="E74" s="517"/>
      <c r="F74" s="407"/>
      <c r="G74" s="402">
        <v>3</v>
      </c>
      <c r="H74" s="393" t="s">
        <v>1975</v>
      </c>
      <c r="I74" s="393"/>
      <c r="J74" s="393"/>
      <c r="K74" s="393"/>
      <c r="L74" s="393"/>
      <c r="M74" s="393"/>
      <c r="N74" s="393"/>
      <c r="O74" s="407"/>
      <c r="P74" s="435"/>
      <c r="Q74"/>
      <c r="R74"/>
      <c r="S74"/>
      <c r="T74"/>
      <c r="U74"/>
      <c r="V74"/>
      <c r="W74"/>
      <c r="X74" s="517"/>
      <c r="Y74" s="517"/>
      <c r="Z74" s="517"/>
      <c r="AA74" s="517"/>
      <c r="AB74" s="517"/>
      <c r="AC74" s="517"/>
      <c r="AD74" s="517"/>
      <c r="AE74" s="517"/>
      <c r="AF74" s="517"/>
      <c r="AG74" s="517"/>
      <c r="AH74" s="517"/>
      <c r="AI74" s="517"/>
      <c r="AJ74" s="517"/>
      <c r="AK74" s="517"/>
      <c r="AL74" s="517"/>
      <c r="AM74" s="517"/>
      <c r="AN74" s="517"/>
      <c r="AO74" s="517"/>
      <c r="AP74" s="517"/>
      <c r="AQ74" s="517"/>
      <c r="AR74" s="517"/>
      <c r="AS74" s="517"/>
      <c r="BG74" s="391"/>
      <c r="BI74" s="1186"/>
      <c r="BJ74" s="1186"/>
      <c r="BK74" s="517"/>
      <c r="BL74" s="517"/>
      <c r="BM74"/>
      <c r="BN74"/>
      <c r="BO74"/>
      <c r="BP74"/>
      <c r="BQ74"/>
      <c r="BR74"/>
      <c r="BS74"/>
      <c r="BT74"/>
      <c r="BU74"/>
      <c r="BV74"/>
      <c r="BW74"/>
      <c r="BX74"/>
      <c r="BY74"/>
      <c r="BZ74"/>
      <c r="CA74"/>
      <c r="CB74"/>
      <c r="CC74"/>
      <c r="CD74"/>
      <c r="CS74"/>
      <c r="CT74" s="1217"/>
      <c r="CU74"/>
      <c r="CV74" s="1186"/>
      <c r="CW74" s="1186"/>
      <c r="CX74" s="517"/>
      <c r="CY74" s="517"/>
      <c r="CZ74" s="1186"/>
      <c r="DA74" s="1186"/>
      <c r="DB74" s="1186"/>
      <c r="DC74" s="1186"/>
      <c r="DD74" s="1186"/>
      <c r="DE74" s="1186"/>
      <c r="DF74" s="1186"/>
      <c r="DG74" s="1186"/>
      <c r="DH74" s="1186"/>
      <c r="DI74" s="1186"/>
      <c r="DJ74" s="1186"/>
      <c r="DK74" s="1186"/>
      <c r="DL74" s="1186"/>
      <c r="DM74" s="1186"/>
      <c r="DN74" s="1186"/>
      <c r="DO74" s="1186"/>
      <c r="DP74" s="1186"/>
      <c r="DQ74" s="1186"/>
    </row>
    <row r="75" spans="1:135" s="519" customFormat="1" ht="12.95" hidden="1" customHeight="1">
      <c r="A75" s="517"/>
      <c r="B75" s="517"/>
      <c r="C75" s="517"/>
      <c r="D75" s="517"/>
      <c r="E75" s="517"/>
      <c r="F75" s="407"/>
      <c r="G75" s="402">
        <v>4</v>
      </c>
      <c r="H75" s="393" t="s">
        <v>1198</v>
      </c>
      <c r="I75" s="393"/>
      <c r="J75" s="393"/>
      <c r="K75" s="393"/>
      <c r="L75" s="393"/>
      <c r="M75" s="393"/>
      <c r="N75" s="393"/>
      <c r="O75" s="407"/>
      <c r="P75" s="435"/>
      <c r="Q75"/>
      <c r="R75"/>
      <c r="S75"/>
      <c r="T75"/>
      <c r="U75"/>
      <c r="V75"/>
      <c r="W75"/>
      <c r="X75" s="517"/>
      <c r="Y75" s="517"/>
      <c r="Z75" s="517"/>
      <c r="AA75" s="517"/>
      <c r="AB75" s="517"/>
      <c r="AC75" s="517"/>
      <c r="AD75" s="517"/>
      <c r="AE75" s="517"/>
      <c r="AF75" s="517"/>
      <c r="AG75" s="517"/>
      <c r="AH75" s="517"/>
      <c r="AI75" s="517"/>
      <c r="AJ75" s="517"/>
      <c r="AK75" s="517"/>
      <c r="AL75" s="517"/>
      <c r="AM75" s="517"/>
      <c r="AN75" s="517"/>
      <c r="AO75" s="517"/>
      <c r="AP75" s="517"/>
      <c r="AQ75" s="517"/>
      <c r="AR75" s="517"/>
      <c r="AS75" s="517"/>
      <c r="BG75" s="391"/>
      <c r="BI75" s="1186"/>
      <c r="BJ75" s="1186"/>
      <c r="BK75" s="517"/>
      <c r="BL75" s="517"/>
      <c r="BM75"/>
      <c r="BN75"/>
      <c r="BO75"/>
      <c r="BP75"/>
      <c r="BQ75"/>
      <c r="BR75"/>
      <c r="BS75"/>
      <c r="BT75"/>
      <c r="BU75"/>
      <c r="BV75"/>
      <c r="BW75"/>
      <c r="BX75"/>
      <c r="BY75"/>
      <c r="BZ75"/>
      <c r="CA75"/>
      <c r="CB75"/>
      <c r="CC75"/>
      <c r="CD75"/>
      <c r="CE75" s="299"/>
      <c r="CF75" s="299"/>
      <c r="CG75" s="299"/>
      <c r="CH75" s="299"/>
      <c r="CI75" s="299"/>
      <c r="CJ75" s="299"/>
      <c r="CK75" s="299"/>
      <c r="CL75" s="299"/>
      <c r="CM75" s="299"/>
      <c r="CN75" s="299"/>
      <c r="CO75" s="299"/>
      <c r="CP75" s="299"/>
      <c r="CQ75" s="299"/>
      <c r="CR75" s="299"/>
      <c r="CS75"/>
      <c r="CT75" s="1217"/>
      <c r="CU75"/>
      <c r="CV75" s="1186"/>
      <c r="CW75" s="1186"/>
      <c r="CX75" s="517"/>
      <c r="CY75" s="517"/>
      <c r="CZ75" s="1186"/>
      <c r="DA75" s="1186"/>
      <c r="DB75" s="1186"/>
      <c r="DC75" s="1186"/>
      <c r="DD75" s="1186"/>
      <c r="DE75" s="1186"/>
      <c r="DF75" s="1186"/>
      <c r="DG75" s="1186"/>
      <c r="DH75" s="1186"/>
      <c r="DI75" s="1186"/>
      <c r="DJ75" s="1186"/>
      <c r="DK75" s="1186"/>
      <c r="DL75" s="1186"/>
      <c r="DM75" s="1186"/>
      <c r="DN75" s="1186"/>
      <c r="DO75" s="1186"/>
      <c r="DP75" s="1186"/>
      <c r="DQ75" s="1186"/>
      <c r="DR75" s="299"/>
      <c r="DS75" s="299"/>
      <c r="DT75" s="299"/>
      <c r="DU75" s="299"/>
      <c r="DV75" s="299"/>
      <c r="DW75" s="299"/>
      <c r="DX75" s="299"/>
      <c r="DY75" s="299"/>
      <c r="DZ75" s="299"/>
      <c r="EA75" s="299"/>
      <c r="EB75" s="299"/>
      <c r="EC75" s="299"/>
      <c r="ED75" s="299"/>
      <c r="EE75" s="299"/>
    </row>
    <row r="76" spans="1:135" s="519" customFormat="1" ht="12.95" hidden="1" customHeight="1">
      <c r="A76" s="517"/>
      <c r="B76" s="517"/>
      <c r="C76" s="517"/>
      <c r="D76" s="517"/>
      <c r="E76" s="517"/>
      <c r="F76" s="407"/>
      <c r="G76" s="402">
        <v>5</v>
      </c>
      <c r="H76" s="393" t="s">
        <v>1976</v>
      </c>
      <c r="I76" s="393"/>
      <c r="J76" s="393"/>
      <c r="K76" s="393"/>
      <c r="L76" s="393"/>
      <c r="M76" s="393"/>
      <c r="N76" s="393"/>
      <c r="O76" s="407"/>
      <c r="P76" s="435"/>
      <c r="Q76"/>
      <c r="R76"/>
      <c r="S76"/>
      <c r="T76"/>
      <c r="U76"/>
      <c r="V76"/>
      <c r="W76"/>
      <c r="X76" s="517"/>
      <c r="Y76" s="517"/>
      <c r="Z76" s="517"/>
      <c r="AA76" s="517"/>
      <c r="AB76" s="517"/>
      <c r="AC76" s="517"/>
      <c r="AD76" s="517"/>
      <c r="AE76" s="517"/>
      <c r="AF76" s="517"/>
      <c r="AG76" s="517"/>
      <c r="AH76" s="517"/>
      <c r="AI76" s="517"/>
      <c r="AJ76" s="517"/>
      <c r="AK76" s="517"/>
      <c r="AL76" s="517"/>
      <c r="AM76" s="517"/>
      <c r="AN76" s="517"/>
      <c r="AO76" s="517"/>
      <c r="AP76" s="517"/>
      <c r="AQ76" s="517"/>
      <c r="AR76" s="517"/>
      <c r="AS76" s="517"/>
      <c r="BG76" s="391"/>
      <c r="BI76" s="1186"/>
      <c r="BJ76" s="1186"/>
      <c r="BK76" s="517"/>
      <c r="BL76" s="517"/>
      <c r="BM76" s="517"/>
      <c r="BN76" s="517"/>
      <c r="BO76" s="517"/>
      <c r="BP76" s="517"/>
      <c r="BQ76" s="517"/>
      <c r="BR76" s="517"/>
      <c r="BS76" s="517"/>
      <c r="BT76" s="517"/>
      <c r="BU76" s="517"/>
      <c r="BV76" s="517"/>
      <c r="BW76" s="517"/>
      <c r="BX76" s="517"/>
      <c r="BY76" s="517"/>
      <c r="BZ76" s="517"/>
      <c r="CA76" s="517"/>
      <c r="CB76" s="517"/>
      <c r="CC76" s="517"/>
      <c r="CD76" s="517"/>
      <c r="CE76" s="517"/>
      <c r="CF76" s="517"/>
      <c r="CS76"/>
      <c r="CT76" s="1217"/>
      <c r="CU76"/>
      <c r="CV76" s="1186"/>
      <c r="CW76" s="1186"/>
      <c r="CX76" s="517"/>
      <c r="CY76" s="517"/>
      <c r="CZ76" s="517"/>
      <c r="DA76" s="517"/>
      <c r="DB76" s="517"/>
      <c r="DC76" s="517"/>
      <c r="DD76" s="517"/>
      <c r="DE76" s="517"/>
      <c r="DF76" s="517"/>
      <c r="DG76" s="517"/>
      <c r="DH76" s="517"/>
      <c r="DI76" s="517"/>
      <c r="DJ76" s="517"/>
      <c r="DK76" s="517"/>
      <c r="DL76" s="517"/>
      <c r="DM76" s="517"/>
      <c r="DN76" s="517"/>
      <c r="DO76" s="517"/>
      <c r="DP76" s="517"/>
      <c r="DQ76" s="517"/>
      <c r="DR76" s="517"/>
      <c r="DS76" s="517"/>
    </row>
    <row r="77" spans="1:135" s="519" customFormat="1" ht="12.95" hidden="1" customHeight="1">
      <c r="A77" s="517"/>
      <c r="B77" s="517"/>
      <c r="C77" s="517"/>
      <c r="D77" s="517"/>
      <c r="E77" s="517"/>
      <c r="F77" s="407"/>
      <c r="G77" s="402">
        <v>6</v>
      </c>
      <c r="H77" s="393" t="s">
        <v>1977</v>
      </c>
      <c r="I77" s="393"/>
      <c r="J77" s="393"/>
      <c r="K77" s="393"/>
      <c r="L77" s="393"/>
      <c r="M77" s="393"/>
      <c r="N77" s="393"/>
      <c r="O77" s="407"/>
      <c r="P77" s="435"/>
      <c r="Q77"/>
      <c r="R77"/>
      <c r="S77"/>
      <c r="T77"/>
      <c r="U77"/>
      <c r="V77"/>
      <c r="W77"/>
      <c r="X77" s="517"/>
      <c r="Y77" s="517"/>
      <c r="Z77" s="517"/>
      <c r="AA77" s="517"/>
      <c r="AB77" s="517"/>
      <c r="AC77" s="517"/>
      <c r="AD77" s="517"/>
      <c r="AE77" s="517"/>
      <c r="AF77" s="517"/>
      <c r="AG77" s="517"/>
      <c r="AH77" s="517"/>
      <c r="AI77" s="517"/>
      <c r="AJ77" s="517"/>
      <c r="AK77" s="517"/>
      <c r="AL77" s="517"/>
      <c r="AM77" s="517"/>
      <c r="AN77" s="517"/>
      <c r="AO77" s="517"/>
      <c r="AP77" s="517"/>
      <c r="AQ77" s="517"/>
      <c r="AR77" s="517"/>
      <c r="AS77" s="517"/>
      <c r="BG77" s="391"/>
      <c r="BI77" s="1186"/>
      <c r="BJ77" s="1186"/>
      <c r="BK77" s="517"/>
      <c r="BL77" s="517"/>
      <c r="BM77" s="517"/>
      <c r="BN77" s="517"/>
      <c r="BO77" s="517"/>
      <c r="BP77" s="517"/>
      <c r="BQ77" s="517"/>
      <c r="BR77" s="517"/>
      <c r="BS77" s="517"/>
      <c r="BT77" s="517"/>
      <c r="BU77" s="517"/>
      <c r="BV77" s="517"/>
      <c r="BW77" s="517"/>
      <c r="BX77" s="517"/>
      <c r="BY77" s="517"/>
      <c r="BZ77" s="517"/>
      <c r="CA77" s="517"/>
      <c r="CB77" s="517"/>
      <c r="CC77" s="517"/>
      <c r="CD77" s="517"/>
      <c r="CE77" s="517"/>
      <c r="CF77" s="517"/>
      <c r="CS77"/>
      <c r="CT77" s="1217"/>
      <c r="CU77"/>
      <c r="CV77" s="1186"/>
      <c r="CW77" s="1186"/>
      <c r="CX77" s="517"/>
      <c r="CY77" s="517"/>
      <c r="CZ77" s="517"/>
      <c r="DA77" s="517"/>
      <c r="DB77" s="517"/>
      <c r="DC77" s="517"/>
      <c r="DD77" s="517"/>
      <c r="DE77" s="517"/>
      <c r="DF77" s="517"/>
      <c r="DG77" s="517"/>
      <c r="DH77" s="517"/>
      <c r="DI77" s="517"/>
      <c r="DJ77" s="517"/>
      <c r="DK77" s="517"/>
      <c r="DL77" s="517"/>
      <c r="DM77" s="517"/>
      <c r="DN77" s="517"/>
      <c r="DO77" s="517"/>
      <c r="DP77" s="517"/>
      <c r="DQ77" s="517"/>
      <c r="DR77" s="517"/>
      <c r="DS77" s="517"/>
    </row>
    <row r="78" spans="1:135" s="519" customFormat="1" ht="12.95" hidden="1" customHeight="1">
      <c r="A78" s="517"/>
      <c r="B78" s="517"/>
      <c r="C78" s="517"/>
      <c r="D78" s="517"/>
      <c r="E78" s="517"/>
      <c r="F78" s="407"/>
      <c r="G78" s="402">
        <v>7</v>
      </c>
      <c r="H78" s="393" t="s">
        <v>1978</v>
      </c>
      <c r="I78" s="393"/>
      <c r="J78" s="393"/>
      <c r="K78" s="393"/>
      <c r="L78" s="393"/>
      <c r="M78" s="393"/>
      <c r="N78" s="393"/>
      <c r="O78" s="407"/>
      <c r="P78" s="435"/>
      <c r="Q78"/>
      <c r="R78"/>
      <c r="S78"/>
      <c r="T78"/>
      <c r="U78"/>
      <c r="V78"/>
      <c r="W78"/>
      <c r="X78" s="517"/>
      <c r="Y78" s="517"/>
      <c r="Z78" s="517"/>
      <c r="AA78" s="517"/>
      <c r="AB78" s="517"/>
      <c r="AC78" s="517"/>
      <c r="AD78" s="517"/>
      <c r="AE78" s="517"/>
      <c r="AF78" s="517"/>
      <c r="AG78" s="517"/>
      <c r="AH78" s="517"/>
      <c r="AI78" s="517"/>
      <c r="AJ78" s="517"/>
      <c r="AK78" s="517"/>
      <c r="AL78" s="517"/>
      <c r="AM78" s="517"/>
      <c r="AN78" s="517"/>
      <c r="AO78" s="517"/>
      <c r="AP78" s="517"/>
      <c r="AQ78" s="517"/>
      <c r="AR78" s="517"/>
      <c r="AS78" s="517"/>
      <c r="BG78" s="391"/>
      <c r="BI78" s="1186"/>
      <c r="BJ78" s="1186"/>
      <c r="BK78" s="517"/>
      <c r="BL78" s="517"/>
      <c r="BM78" s="517"/>
      <c r="BN78" s="517"/>
      <c r="BO78" s="517"/>
      <c r="BP78" s="517"/>
      <c r="BQ78" s="517"/>
      <c r="BR78" s="517"/>
      <c r="BS78" s="517"/>
      <c r="BT78" s="517"/>
      <c r="BU78" s="517"/>
      <c r="BV78" s="517"/>
      <c r="BW78" s="517"/>
      <c r="BX78" s="517"/>
      <c r="BY78" s="517"/>
      <c r="BZ78" s="517"/>
      <c r="CA78" s="517"/>
      <c r="CB78" s="517"/>
      <c r="CC78" s="517"/>
      <c r="CD78" s="517"/>
      <c r="CE78" s="517"/>
      <c r="CF78" s="517"/>
      <c r="CS78"/>
      <c r="CT78" s="1217"/>
      <c r="CU78"/>
      <c r="CV78" s="1186"/>
      <c r="CW78" s="1186"/>
      <c r="CX78" s="517"/>
      <c r="CY78" s="517"/>
      <c r="CZ78" s="517"/>
      <c r="DA78" s="517"/>
      <c r="DB78" s="517"/>
      <c r="DC78" s="517"/>
      <c r="DD78" s="517"/>
      <c r="DE78" s="517"/>
      <c r="DF78" s="517"/>
      <c r="DG78" s="517"/>
      <c r="DH78" s="517"/>
      <c r="DI78" s="517"/>
      <c r="DJ78" s="517"/>
      <c r="DK78" s="517"/>
      <c r="DL78" s="517"/>
      <c r="DM78" s="517"/>
      <c r="DN78" s="517"/>
      <c r="DO78" s="517"/>
      <c r="DP78" s="517"/>
      <c r="DQ78" s="517"/>
      <c r="DR78" s="517"/>
      <c r="DS78" s="517"/>
    </row>
    <row r="79" spans="1:135" s="519" customFormat="1" ht="12.95" hidden="1" customHeight="1">
      <c r="A79" s="517"/>
      <c r="B79" s="517"/>
      <c r="C79" s="517"/>
      <c r="D79" s="517"/>
      <c r="E79" s="517"/>
      <c r="F79" s="407"/>
      <c r="G79" s="402">
        <v>8</v>
      </c>
      <c r="H79" s="393" t="s">
        <v>1979</v>
      </c>
      <c r="I79" s="393"/>
      <c r="J79" s="393"/>
      <c r="K79" s="393"/>
      <c r="L79" s="393"/>
      <c r="M79" s="393"/>
      <c r="N79" s="393"/>
      <c r="O79" s="407"/>
      <c r="P79" s="435"/>
      <c r="Q79"/>
      <c r="R79"/>
      <c r="S79"/>
      <c r="T79"/>
      <c r="U79"/>
      <c r="V79"/>
      <c r="W79"/>
      <c r="X79" s="517"/>
      <c r="Y79" s="517"/>
      <c r="Z79" s="517"/>
      <c r="AA79" s="517"/>
      <c r="AB79" s="517"/>
      <c r="AC79" s="517"/>
      <c r="AD79" s="517"/>
      <c r="AE79" s="517"/>
      <c r="AF79" s="517"/>
      <c r="AG79" s="517"/>
      <c r="AH79" s="517"/>
      <c r="AI79" s="517"/>
      <c r="AJ79" s="517"/>
      <c r="AK79" s="517"/>
      <c r="AL79" s="517"/>
      <c r="AM79" s="517"/>
      <c r="AN79" s="517"/>
      <c r="AO79" s="517"/>
      <c r="AP79" s="517"/>
      <c r="AQ79" s="517"/>
      <c r="AR79" s="517"/>
      <c r="AS79" s="517"/>
      <c r="BG79" s="391"/>
      <c r="BI79" s="1186"/>
      <c r="BJ79" s="1186"/>
      <c r="BK79" s="517"/>
      <c r="BL79" s="517"/>
      <c r="BM79" s="517"/>
      <c r="BN79" s="517"/>
      <c r="BO79" s="517"/>
      <c r="BP79" s="517"/>
      <c r="BQ79" s="517"/>
      <c r="BR79" s="517"/>
      <c r="BS79" s="517"/>
      <c r="BT79" s="517"/>
      <c r="BU79" s="517"/>
      <c r="BV79" s="517"/>
      <c r="BW79" s="517"/>
      <c r="BX79" s="517"/>
      <c r="BY79" s="517"/>
      <c r="BZ79" s="517"/>
      <c r="CA79" s="517"/>
      <c r="CB79" s="517"/>
      <c r="CC79" s="517"/>
      <c r="CD79" s="517"/>
      <c r="CE79" s="517"/>
      <c r="CF79" s="517"/>
      <c r="CS79"/>
      <c r="CT79" s="1217"/>
      <c r="CU79"/>
      <c r="CV79" s="1186"/>
      <c r="CW79" s="1186"/>
      <c r="CX79" s="517"/>
      <c r="CY79" s="517"/>
      <c r="CZ79" s="517"/>
      <c r="DA79" s="517"/>
      <c r="DB79" s="517"/>
      <c r="DC79" s="517"/>
      <c r="DD79" s="517"/>
      <c r="DE79" s="517"/>
      <c r="DF79" s="517"/>
      <c r="DG79" s="517"/>
      <c r="DH79" s="517"/>
      <c r="DI79" s="517"/>
      <c r="DJ79" s="517"/>
      <c r="DK79" s="517"/>
      <c r="DL79" s="517"/>
      <c r="DM79" s="517"/>
      <c r="DN79" s="517"/>
      <c r="DO79" s="517"/>
      <c r="DP79" s="517"/>
      <c r="DQ79" s="517"/>
      <c r="DR79" s="517"/>
      <c r="DS79" s="517"/>
    </row>
    <row r="80" spans="1:135" s="519" customFormat="1" ht="12.95" hidden="1" customHeight="1">
      <c r="A80" s="517"/>
      <c r="B80" s="517"/>
      <c r="C80" s="517"/>
      <c r="D80" s="517"/>
      <c r="E80" s="517"/>
      <c r="F80" s="407"/>
      <c r="G80" s="402">
        <v>9</v>
      </c>
      <c r="H80" s="393" t="s">
        <v>1980</v>
      </c>
      <c r="I80" s="393"/>
      <c r="J80" s="393"/>
      <c r="K80" s="393"/>
      <c r="L80" s="393"/>
      <c r="M80" s="393"/>
      <c r="N80" s="393"/>
      <c r="O80" s="407"/>
      <c r="P80" s="435"/>
      <c r="Q80"/>
      <c r="R80"/>
      <c r="S80"/>
      <c r="T80"/>
      <c r="U80"/>
      <c r="V80"/>
      <c r="W80"/>
      <c r="X80" s="517"/>
      <c r="Y80" s="517"/>
      <c r="Z80" s="517"/>
      <c r="AA80" s="517"/>
      <c r="AB80" s="517"/>
      <c r="AC80" s="517"/>
      <c r="AD80" s="517"/>
      <c r="AE80" s="517"/>
      <c r="AF80" s="517"/>
      <c r="AG80" s="517"/>
      <c r="AH80" s="517"/>
      <c r="AI80" s="517"/>
      <c r="AJ80" s="517"/>
      <c r="AK80" s="517"/>
      <c r="AL80" s="517"/>
      <c r="AM80" s="517"/>
      <c r="AN80" s="517"/>
      <c r="AO80" s="517"/>
      <c r="AP80" s="517"/>
      <c r="AQ80" s="517"/>
      <c r="AR80" s="517"/>
      <c r="AS80" s="517"/>
      <c r="BG80" s="391"/>
      <c r="BI80" s="1186"/>
      <c r="BJ80" s="1186"/>
      <c r="BK80" s="517"/>
      <c r="BL80" s="517"/>
      <c r="BM80" s="517"/>
      <c r="BN80" s="517"/>
      <c r="BO80" s="517"/>
      <c r="BP80" s="517"/>
      <c r="BQ80" s="517"/>
      <c r="BR80" s="517"/>
      <c r="BS80" s="517"/>
      <c r="BT80" s="517"/>
      <c r="BU80" s="517"/>
      <c r="BV80" s="517"/>
      <c r="BW80" s="517"/>
      <c r="BX80" s="517"/>
      <c r="BY80" s="517"/>
      <c r="BZ80" s="517"/>
      <c r="CA80" s="517"/>
      <c r="CB80" s="517"/>
      <c r="CC80" s="517"/>
      <c r="CD80" s="517"/>
      <c r="CE80" s="517"/>
      <c r="CF80" s="517"/>
      <c r="CS80"/>
      <c r="CT80" s="1217"/>
      <c r="CU80"/>
      <c r="CV80" s="1186"/>
      <c r="CW80" s="1186"/>
      <c r="CX80" s="517"/>
      <c r="CY80" s="517"/>
      <c r="CZ80" s="517"/>
      <c r="DA80" s="517"/>
      <c r="DB80" s="517"/>
      <c r="DC80" s="517"/>
      <c r="DD80" s="517"/>
      <c r="DE80" s="517"/>
      <c r="DF80" s="517"/>
      <c r="DG80" s="517"/>
      <c r="DH80" s="517"/>
      <c r="DI80" s="517"/>
      <c r="DJ80" s="517"/>
      <c r="DK80" s="517"/>
      <c r="DL80" s="517"/>
      <c r="DM80" s="517"/>
      <c r="DN80" s="517"/>
      <c r="DO80" s="517"/>
      <c r="DP80" s="517"/>
      <c r="DQ80" s="517"/>
      <c r="DR80" s="517"/>
      <c r="DS80" s="517"/>
    </row>
    <row r="81" spans="1:135" s="519" customFormat="1" ht="12.95" hidden="1" customHeight="1">
      <c r="A81" s="517"/>
      <c r="B81" s="517"/>
      <c r="C81" s="517"/>
      <c r="D81" s="517"/>
      <c r="E81" s="517"/>
      <c r="F81" s="407"/>
      <c r="G81" s="402">
        <v>10</v>
      </c>
      <c r="H81" s="393" t="s">
        <v>1981</v>
      </c>
      <c r="I81" s="393"/>
      <c r="J81" s="393"/>
      <c r="K81" s="393"/>
      <c r="L81" s="393"/>
      <c r="M81" s="393"/>
      <c r="N81" s="393"/>
      <c r="O81" s="407"/>
      <c r="P81" s="435"/>
      <c r="Q81"/>
      <c r="R81"/>
      <c r="S81"/>
      <c r="T81"/>
      <c r="U81"/>
      <c r="V81"/>
      <c r="W81"/>
      <c r="X81" s="517"/>
      <c r="Y81" s="517"/>
      <c r="Z81" s="517"/>
      <c r="AA81" s="517"/>
      <c r="AB81" s="517"/>
      <c r="AC81" s="517"/>
      <c r="AD81" s="517"/>
      <c r="AE81" s="517"/>
      <c r="AF81" s="517"/>
      <c r="AG81" s="517"/>
      <c r="AH81" s="517"/>
      <c r="AI81" s="517"/>
      <c r="AJ81" s="517"/>
      <c r="AK81" s="517"/>
      <c r="AL81" s="517"/>
      <c r="AM81" s="517"/>
      <c r="AN81" s="517"/>
      <c r="AO81" s="517"/>
      <c r="AP81" s="517"/>
      <c r="AQ81" s="517"/>
      <c r="AR81" s="517"/>
      <c r="AS81" s="517"/>
      <c r="BG81" s="391"/>
      <c r="BI81" s="1186"/>
      <c r="BJ81" s="1186"/>
      <c r="BK81" s="517"/>
      <c r="BL81" s="517"/>
      <c r="BM81" s="517"/>
      <c r="BN81" s="517"/>
      <c r="BO81" s="517"/>
      <c r="BP81" s="517"/>
      <c r="BQ81" s="517"/>
      <c r="BR81" s="517"/>
      <c r="BS81" s="517"/>
      <c r="BT81" s="517"/>
      <c r="BU81" s="517"/>
      <c r="BV81" s="517"/>
      <c r="BW81" s="517"/>
      <c r="BX81" s="517"/>
      <c r="BY81" s="517"/>
      <c r="BZ81" s="517"/>
      <c r="CA81" s="517"/>
      <c r="CB81" s="517"/>
      <c r="CC81" s="517"/>
      <c r="CD81" s="517"/>
      <c r="CE81" s="517"/>
      <c r="CF81" s="517"/>
      <c r="CS81"/>
      <c r="CT81" s="1217"/>
      <c r="CU81"/>
      <c r="CV81" s="1186"/>
      <c r="CW81" s="1186"/>
      <c r="CX81" s="517"/>
      <c r="CY81" s="517"/>
      <c r="CZ81" s="517"/>
      <c r="DA81" s="517"/>
      <c r="DB81" s="517"/>
      <c r="DC81" s="517"/>
      <c r="DD81" s="517"/>
      <c r="DE81" s="517"/>
      <c r="DF81" s="517"/>
      <c r="DG81" s="517"/>
      <c r="DH81" s="517"/>
      <c r="DI81" s="517"/>
      <c r="DJ81" s="517"/>
      <c r="DK81" s="517"/>
      <c r="DL81" s="517"/>
      <c r="DM81" s="517"/>
      <c r="DN81" s="517"/>
      <c r="DO81" s="517"/>
      <c r="DP81" s="517"/>
      <c r="DQ81" s="517"/>
      <c r="DR81" s="517"/>
      <c r="DS81" s="517"/>
    </row>
    <row r="82" spans="1:135" s="519" customFormat="1" ht="12.95" hidden="1" customHeight="1">
      <c r="A82" s="517"/>
      <c r="B82" s="517"/>
      <c r="C82" s="517"/>
      <c r="D82" s="517"/>
      <c r="E82" s="517"/>
      <c r="F82" s="407"/>
      <c r="G82" s="402">
        <v>11</v>
      </c>
      <c r="H82" s="393" t="s">
        <v>1982</v>
      </c>
      <c r="I82" s="393"/>
      <c r="J82" s="393"/>
      <c r="K82" s="393"/>
      <c r="L82" s="393"/>
      <c r="M82" s="393"/>
      <c r="N82" s="393"/>
      <c r="O82" s="407"/>
      <c r="P82" s="435"/>
      <c r="Q82"/>
      <c r="R82"/>
      <c r="S82"/>
      <c r="T82"/>
      <c r="U82"/>
      <c r="V82"/>
      <c r="W82"/>
      <c r="X82" s="517"/>
      <c r="Y82" s="517"/>
      <c r="Z82" s="517"/>
      <c r="AA82" s="517"/>
      <c r="AB82" s="517"/>
      <c r="AC82" s="517"/>
      <c r="AD82" s="517"/>
      <c r="AE82" s="517"/>
      <c r="AF82" s="517"/>
      <c r="AG82" s="517"/>
      <c r="AH82" s="517"/>
      <c r="AI82" s="517"/>
      <c r="AJ82" s="517"/>
      <c r="AK82" s="517"/>
      <c r="AL82" s="517"/>
      <c r="AM82" s="517"/>
      <c r="AN82" s="517"/>
      <c r="AO82" s="517"/>
      <c r="AP82" s="517"/>
      <c r="AQ82" s="517"/>
      <c r="AR82" s="517"/>
      <c r="AS82" s="517"/>
      <c r="BG82" s="391"/>
      <c r="BI82" s="1186"/>
      <c r="BJ82" s="1186"/>
      <c r="BK82" s="517"/>
      <c r="BL82" s="517"/>
      <c r="BM82" s="517"/>
      <c r="BN82" s="517"/>
      <c r="BO82" s="517"/>
      <c r="BP82" s="517"/>
      <c r="BQ82" s="517"/>
      <c r="BR82" s="517"/>
      <c r="BS82" s="517"/>
      <c r="BT82" s="517"/>
      <c r="BU82" s="517"/>
      <c r="BV82" s="517"/>
      <c r="BW82" s="517"/>
      <c r="BX82" s="517"/>
      <c r="BY82" s="517"/>
      <c r="BZ82" s="517"/>
      <c r="CA82" s="517"/>
      <c r="CB82" s="517"/>
      <c r="CC82" s="517"/>
      <c r="CD82" s="517"/>
      <c r="CE82" s="517"/>
      <c r="CF82" s="517"/>
      <c r="CS82"/>
      <c r="CT82" s="1217"/>
      <c r="CU82"/>
      <c r="CV82" s="1186"/>
      <c r="CW82" s="1186"/>
      <c r="CX82" s="517"/>
      <c r="CY82" s="517"/>
      <c r="CZ82" s="517"/>
      <c r="DA82" s="517"/>
      <c r="DB82" s="517"/>
      <c r="DC82" s="517"/>
      <c r="DD82" s="517"/>
      <c r="DE82" s="517"/>
      <c r="DF82" s="517"/>
      <c r="DG82" s="517"/>
      <c r="DH82" s="517"/>
      <c r="DI82" s="517"/>
      <c r="DJ82" s="517"/>
      <c r="DK82" s="517"/>
      <c r="DL82" s="517"/>
      <c r="DM82" s="517"/>
      <c r="DN82" s="517"/>
      <c r="DO82" s="517"/>
      <c r="DP82" s="517"/>
      <c r="DQ82" s="517"/>
      <c r="DR82" s="517"/>
      <c r="DS82" s="517"/>
    </row>
    <row r="83" spans="1:135" s="519" customFormat="1" ht="12.95" hidden="1" customHeight="1">
      <c r="A83" s="517"/>
      <c r="B83" s="517"/>
      <c r="C83" s="517"/>
      <c r="D83" s="517"/>
      <c r="E83" s="517"/>
      <c r="F83" s="407"/>
      <c r="G83" s="402">
        <v>12</v>
      </c>
      <c r="H83" s="406"/>
      <c r="I83" s="406"/>
      <c r="J83" s="393"/>
      <c r="K83" s="393"/>
      <c r="L83" s="393"/>
      <c r="M83" s="393"/>
      <c r="N83" s="393"/>
      <c r="O83" s="407"/>
      <c r="P83" s="435"/>
      <c r="Q83"/>
      <c r="R83"/>
      <c r="S83"/>
      <c r="T83"/>
      <c r="U83"/>
      <c r="V83"/>
      <c r="W83"/>
      <c r="X83" s="517"/>
      <c r="Y83" s="517"/>
      <c r="Z83" s="517"/>
      <c r="AA83" s="517"/>
      <c r="AB83" s="517"/>
      <c r="AC83" s="517"/>
      <c r="AD83" s="517"/>
      <c r="AE83" s="517"/>
      <c r="AF83" s="517"/>
      <c r="AG83" s="517"/>
      <c r="AH83" s="517"/>
      <c r="AI83" s="517"/>
      <c r="AJ83" s="517"/>
      <c r="AK83" s="517"/>
      <c r="AL83" s="517"/>
      <c r="AM83" s="517"/>
      <c r="AN83" s="517"/>
      <c r="AO83" s="517"/>
      <c r="AP83" s="517"/>
      <c r="AQ83" s="517"/>
      <c r="AR83" s="517"/>
      <c r="AS83" s="517"/>
      <c r="BG83" s="391"/>
      <c r="BI83" s="1186"/>
      <c r="BJ83" s="1186"/>
      <c r="BK83" s="517"/>
      <c r="BL83" s="517"/>
      <c r="BM83" s="517"/>
      <c r="BN83" s="517"/>
      <c r="BO83" s="517"/>
      <c r="BP83" s="517"/>
      <c r="BQ83" s="517"/>
      <c r="BR83" s="517"/>
      <c r="BS83" s="517"/>
      <c r="BT83" s="517"/>
      <c r="BU83" s="517"/>
      <c r="BV83" s="517"/>
      <c r="BW83" s="517"/>
      <c r="BX83" s="517"/>
      <c r="BY83" s="517"/>
      <c r="BZ83" s="517"/>
      <c r="CA83" s="517"/>
      <c r="CB83" s="517"/>
      <c r="CC83" s="517"/>
      <c r="CD83" s="517"/>
      <c r="CE83" s="517"/>
      <c r="CF83" s="517"/>
      <c r="CS83"/>
      <c r="CT83" s="1217"/>
      <c r="CU83"/>
      <c r="CV83" s="1186"/>
      <c r="CW83" s="1186"/>
      <c r="CX83" s="517"/>
      <c r="CY83" s="517"/>
      <c r="CZ83" s="517"/>
      <c r="DA83" s="517"/>
      <c r="DB83" s="517"/>
      <c r="DC83" s="517"/>
      <c r="DD83" s="517"/>
      <c r="DE83" s="517"/>
      <c r="DF83" s="517"/>
      <c r="DG83" s="517"/>
      <c r="DH83" s="517"/>
      <c r="DI83" s="517"/>
      <c r="DJ83" s="517"/>
      <c r="DK83" s="517"/>
      <c r="DL83" s="517"/>
      <c r="DM83" s="517"/>
      <c r="DN83" s="517"/>
      <c r="DO83" s="517"/>
      <c r="DP83" s="517"/>
      <c r="DQ83" s="517"/>
      <c r="DR83" s="517"/>
      <c r="DS83" s="517"/>
    </row>
    <row r="84" spans="1:135" s="519" customFormat="1" ht="12.95" hidden="1" customHeight="1">
      <c r="A84" s="517"/>
      <c r="B84" s="517"/>
      <c r="C84" s="517"/>
      <c r="D84" s="517"/>
      <c r="E84" s="517"/>
      <c r="F84" s="407"/>
      <c r="G84" s="402">
        <v>13</v>
      </c>
      <c r="H84" s="406"/>
      <c r="I84" s="406"/>
      <c r="J84" s="393"/>
      <c r="K84" s="393"/>
      <c r="L84" s="393"/>
      <c r="M84" s="393"/>
      <c r="N84" s="393"/>
      <c r="O84" s="407"/>
      <c r="P84" s="435"/>
      <c r="Q84"/>
      <c r="R84"/>
      <c r="S84"/>
      <c r="T84"/>
      <c r="U84"/>
      <c r="V84"/>
      <c r="W84"/>
      <c r="X84" s="517"/>
      <c r="Y84" s="517"/>
      <c r="Z84" s="517"/>
      <c r="AA84" s="517"/>
      <c r="AB84" s="517"/>
      <c r="AC84" s="517"/>
      <c r="AD84" s="517"/>
      <c r="AE84" s="517"/>
      <c r="AF84" s="517"/>
      <c r="AG84" s="517"/>
      <c r="AH84" s="517"/>
      <c r="AI84" s="517"/>
      <c r="AJ84" s="517"/>
      <c r="AK84" s="517"/>
      <c r="AL84" s="517"/>
      <c r="AM84" s="517"/>
      <c r="AN84" s="517"/>
      <c r="AO84" s="517"/>
      <c r="AP84" s="517"/>
      <c r="AQ84" s="517"/>
      <c r="AR84" s="517"/>
      <c r="AS84" s="517"/>
      <c r="BG84" s="391"/>
      <c r="BI84" s="1186"/>
      <c r="BJ84" s="1186"/>
      <c r="BK84" s="517"/>
      <c r="BL84" s="517"/>
      <c r="BM84" s="517"/>
      <c r="BN84" s="517"/>
      <c r="BO84" s="517"/>
      <c r="BP84" s="517"/>
      <c r="BQ84" s="517"/>
      <c r="BR84" s="517"/>
      <c r="BS84" s="517"/>
      <c r="BT84" s="517"/>
      <c r="BU84" s="517"/>
      <c r="BV84" s="517"/>
      <c r="BW84" s="517"/>
      <c r="BX84" s="517"/>
      <c r="BY84" s="517"/>
      <c r="BZ84" s="517"/>
      <c r="CA84" s="517"/>
      <c r="CB84" s="517"/>
      <c r="CC84" s="517"/>
      <c r="CD84" s="517"/>
      <c r="CE84" s="517"/>
      <c r="CF84" s="517"/>
      <c r="CS84"/>
      <c r="CT84" s="1217"/>
      <c r="CU84"/>
      <c r="CV84" s="1186"/>
      <c r="CW84" s="1186"/>
      <c r="CX84" s="517"/>
      <c r="CY84" s="517"/>
      <c r="CZ84" s="517"/>
      <c r="DA84" s="517"/>
      <c r="DB84" s="517"/>
      <c r="DC84" s="517"/>
      <c r="DD84" s="517"/>
      <c r="DE84" s="517"/>
      <c r="DF84" s="517"/>
      <c r="DG84" s="517"/>
      <c r="DH84" s="517"/>
      <c r="DI84" s="517"/>
      <c r="DJ84" s="517"/>
      <c r="DK84" s="517"/>
      <c r="DL84" s="517"/>
      <c r="DM84" s="517"/>
      <c r="DN84" s="517"/>
      <c r="DO84" s="517"/>
      <c r="DP84" s="517"/>
      <c r="DQ84" s="517"/>
      <c r="DR84" s="517"/>
      <c r="DS84" s="517"/>
    </row>
    <row r="85" spans="1:135" s="519" customFormat="1" ht="12.95" hidden="1" customHeight="1">
      <c r="A85" s="517"/>
      <c r="B85" s="517"/>
      <c r="C85" s="517"/>
      <c r="D85" s="517"/>
      <c r="E85" s="517"/>
      <c r="F85" s="407"/>
      <c r="G85" s="402">
        <v>14</v>
      </c>
      <c r="H85" s="406"/>
      <c r="I85" s="406"/>
      <c r="J85" s="393"/>
      <c r="K85" s="393"/>
      <c r="L85" s="393"/>
      <c r="M85" s="393"/>
      <c r="N85" s="393"/>
      <c r="O85" s="407"/>
      <c r="P85" s="435"/>
      <c r="Q85"/>
      <c r="R85"/>
      <c r="S85"/>
      <c r="T85"/>
      <c r="U85"/>
      <c r="V85"/>
      <c r="W85"/>
      <c r="X85" s="517"/>
      <c r="Y85" s="517"/>
      <c r="Z85" s="517"/>
      <c r="AA85" s="517"/>
      <c r="AB85" s="517"/>
      <c r="AC85" s="517"/>
      <c r="AD85" s="517"/>
      <c r="AE85" s="517"/>
      <c r="AF85" s="517"/>
      <c r="AG85" s="517"/>
      <c r="AH85" s="517"/>
      <c r="AI85" s="517"/>
      <c r="AJ85" s="517"/>
      <c r="AK85" s="517"/>
      <c r="AL85" s="517"/>
      <c r="AM85" s="517"/>
      <c r="AN85" s="517"/>
      <c r="AO85" s="517"/>
      <c r="AP85" s="517"/>
      <c r="AQ85" s="517"/>
      <c r="AR85" s="517"/>
      <c r="AS85" s="517"/>
      <c r="BG85" s="391"/>
      <c r="BI85" s="1186"/>
      <c r="BJ85" s="1186"/>
      <c r="BK85" s="517"/>
      <c r="BL85" s="517"/>
      <c r="BM85" s="517"/>
      <c r="BN85" s="517"/>
      <c r="BO85" s="517"/>
      <c r="BP85" s="517"/>
      <c r="BQ85" s="517"/>
      <c r="BR85" s="517"/>
      <c r="BS85" s="517"/>
      <c r="BT85" s="517"/>
      <c r="BU85" s="517"/>
      <c r="BV85" s="517"/>
      <c r="BW85" s="517"/>
      <c r="BX85" s="517"/>
      <c r="BY85" s="517"/>
      <c r="BZ85" s="517"/>
      <c r="CA85" s="517"/>
      <c r="CB85" s="517"/>
      <c r="CC85" s="517"/>
      <c r="CD85" s="517"/>
      <c r="CE85" s="517"/>
      <c r="CF85" s="517"/>
      <c r="CS85"/>
      <c r="CT85" s="1217"/>
      <c r="CU85"/>
      <c r="CV85" s="1186"/>
      <c r="CW85" s="1186"/>
      <c r="CX85" s="517"/>
      <c r="CY85" s="517"/>
      <c r="CZ85" s="517"/>
      <c r="DA85" s="517"/>
      <c r="DB85" s="517"/>
      <c r="DC85" s="517"/>
      <c r="DD85" s="517"/>
      <c r="DE85" s="517"/>
      <c r="DF85" s="517"/>
      <c r="DG85" s="517"/>
      <c r="DH85" s="517"/>
      <c r="DI85" s="517"/>
      <c r="DJ85" s="517"/>
      <c r="DK85" s="517"/>
      <c r="DL85" s="517"/>
      <c r="DM85" s="517"/>
      <c r="DN85" s="517"/>
      <c r="DO85" s="517"/>
      <c r="DP85" s="517"/>
      <c r="DQ85" s="517"/>
      <c r="DR85" s="517"/>
      <c r="DS85" s="517"/>
    </row>
    <row r="86" spans="1:135" s="519" customFormat="1" ht="12.95" hidden="1" customHeight="1">
      <c r="A86" s="517"/>
      <c r="B86" s="517"/>
      <c r="C86" s="517"/>
      <c r="D86" s="517"/>
      <c r="E86" s="517"/>
      <c r="F86" s="407"/>
      <c r="G86" s="402">
        <v>15</v>
      </c>
      <c r="H86" s="406"/>
      <c r="I86" s="406"/>
      <c r="J86" s="393"/>
      <c r="K86" s="393"/>
      <c r="L86" s="393"/>
      <c r="M86" s="393"/>
      <c r="N86" s="393"/>
      <c r="O86" s="407"/>
      <c r="P86" s="435"/>
      <c r="Q86"/>
      <c r="R86"/>
      <c r="S86"/>
      <c r="T86"/>
      <c r="U86"/>
      <c r="V86"/>
      <c r="W86"/>
      <c r="X86" s="517"/>
      <c r="Y86" s="517"/>
      <c r="Z86" s="517"/>
      <c r="AA86" s="517"/>
      <c r="AB86" s="517"/>
      <c r="AC86" s="517"/>
      <c r="AD86" s="517"/>
      <c r="AE86" s="517"/>
      <c r="AF86" s="517"/>
      <c r="AG86" s="517"/>
      <c r="AH86" s="517"/>
      <c r="AI86" s="517"/>
      <c r="AJ86" s="517"/>
      <c r="AK86" s="517"/>
      <c r="AL86" s="517"/>
      <c r="AM86" s="517"/>
      <c r="AN86" s="517"/>
      <c r="AO86" s="517"/>
      <c r="AP86" s="517"/>
      <c r="AQ86" s="517"/>
      <c r="AR86" s="517"/>
      <c r="AS86" s="517"/>
      <c r="BG86" s="391"/>
      <c r="BI86" s="1186"/>
      <c r="BJ86" s="1186"/>
      <c r="BK86" s="517"/>
      <c r="BL86" s="517"/>
      <c r="BM86" s="517"/>
      <c r="BN86" s="517"/>
      <c r="BO86" s="517"/>
      <c r="BP86" s="517"/>
      <c r="BQ86" s="517"/>
      <c r="BR86" s="517"/>
      <c r="BS86" s="517"/>
      <c r="BT86" s="517"/>
      <c r="BU86" s="517"/>
      <c r="BV86" s="517"/>
      <c r="BW86" s="517"/>
      <c r="BX86" s="517"/>
      <c r="BY86" s="517"/>
      <c r="BZ86" s="517"/>
      <c r="CA86" s="517"/>
      <c r="CB86" s="517"/>
      <c r="CC86" s="517"/>
      <c r="CD86" s="517"/>
      <c r="CE86" s="517"/>
      <c r="CF86" s="517"/>
      <c r="CS86"/>
      <c r="CT86" s="1217"/>
      <c r="CU86"/>
      <c r="CV86" s="1186"/>
      <c r="CW86" s="1186"/>
      <c r="CX86" s="517"/>
      <c r="CY86" s="517"/>
      <c r="CZ86" s="517"/>
      <c r="DA86" s="517"/>
      <c r="DB86" s="517"/>
      <c r="DC86" s="517"/>
      <c r="DD86" s="517"/>
      <c r="DE86" s="517"/>
      <c r="DF86" s="517"/>
      <c r="DG86" s="517"/>
      <c r="DH86" s="517"/>
      <c r="DI86" s="517"/>
      <c r="DJ86" s="517"/>
      <c r="DK86" s="517"/>
      <c r="DL86" s="517"/>
      <c r="DM86" s="517"/>
      <c r="DN86" s="517"/>
      <c r="DO86" s="517"/>
      <c r="DP86" s="517"/>
      <c r="DQ86" s="517"/>
      <c r="DR86" s="517"/>
      <c r="DS86" s="517"/>
    </row>
    <row r="87" spans="1:135" s="519" customFormat="1" ht="12.95" hidden="1" customHeight="1">
      <c r="A87" s="517"/>
      <c r="B87" s="517"/>
      <c r="C87" s="517"/>
      <c r="D87" s="517"/>
      <c r="E87" s="517"/>
      <c r="F87" s="407"/>
      <c r="G87" s="407"/>
      <c r="H87" s="407"/>
      <c r="I87" s="407"/>
      <c r="J87" s="407"/>
      <c r="K87" s="407"/>
      <c r="L87" s="407"/>
      <c r="M87" s="407"/>
      <c r="N87" s="407"/>
      <c r="O87" s="407"/>
      <c r="P87" s="435"/>
      <c r="Q87"/>
      <c r="R87"/>
      <c r="S87"/>
      <c r="T87"/>
      <c r="U87"/>
      <c r="V87"/>
      <c r="W87"/>
      <c r="X87" s="517"/>
      <c r="Y87" s="517"/>
      <c r="Z87" s="517"/>
      <c r="AA87" s="517"/>
      <c r="AB87" s="517"/>
      <c r="AC87" s="517"/>
      <c r="AD87" s="517"/>
      <c r="AE87" s="517"/>
      <c r="AF87" s="517"/>
      <c r="AG87" s="517"/>
      <c r="AH87" s="517"/>
      <c r="AI87" s="517"/>
      <c r="AJ87" s="517"/>
      <c r="AK87" s="517"/>
      <c r="AL87" s="517"/>
      <c r="AM87" s="517"/>
      <c r="AN87" s="517"/>
      <c r="AO87" s="517"/>
      <c r="AP87" s="517"/>
      <c r="AQ87" s="517"/>
      <c r="AR87" s="517"/>
      <c r="AS87" s="517"/>
      <c r="BG87" s="391"/>
      <c r="BI87" s="1186"/>
      <c r="BJ87" s="1186"/>
      <c r="BK87" s="517"/>
      <c r="BL87" s="517"/>
      <c r="BM87" s="517"/>
      <c r="BN87" s="517"/>
      <c r="BO87" s="517"/>
      <c r="BP87" s="517"/>
      <c r="BQ87" s="517"/>
      <c r="BR87" s="517"/>
      <c r="BS87" s="517"/>
      <c r="BT87" s="517"/>
      <c r="BU87" s="517"/>
      <c r="BV87" s="517"/>
      <c r="BW87" s="517"/>
      <c r="BX87" s="517"/>
      <c r="BY87" s="517"/>
      <c r="BZ87" s="517"/>
      <c r="CA87" s="517"/>
      <c r="CB87" s="517"/>
      <c r="CC87" s="517"/>
      <c r="CD87" s="517"/>
      <c r="CE87" s="517"/>
      <c r="CF87" s="517"/>
      <c r="CS87"/>
      <c r="CT87" s="1217"/>
      <c r="CU87"/>
      <c r="CV87" s="1186"/>
      <c r="CW87" s="1186"/>
      <c r="CX87" s="517"/>
      <c r="CY87" s="517"/>
      <c r="CZ87" s="517"/>
      <c r="DA87" s="517"/>
      <c r="DB87" s="517"/>
      <c r="DC87" s="517"/>
      <c r="DD87" s="517"/>
      <c r="DE87" s="517"/>
      <c r="DF87" s="517"/>
      <c r="DG87" s="517"/>
      <c r="DH87" s="517"/>
      <c r="DI87" s="517"/>
      <c r="DJ87" s="517"/>
      <c r="DK87" s="517"/>
      <c r="DL87" s="517"/>
      <c r="DM87" s="517"/>
      <c r="DN87" s="517"/>
      <c r="DO87" s="517"/>
      <c r="DP87" s="517"/>
      <c r="DQ87" s="517"/>
      <c r="DR87" s="517"/>
      <c r="DS87" s="517"/>
    </row>
    <row r="88" spans="1:135" s="519" customFormat="1" ht="12.95" hidden="1" customHeight="1">
      <c r="A88" s="517"/>
      <c r="B88" s="517"/>
      <c r="C88" s="517"/>
      <c r="D88" s="517"/>
      <c r="E88" s="517"/>
      <c r="F88" s="517"/>
      <c r="G88" s="517"/>
      <c r="H88" s="517"/>
      <c r="I88" s="517"/>
      <c r="J88" s="517"/>
      <c r="K88" s="517"/>
      <c r="L88" s="517"/>
      <c r="M88" s="517"/>
      <c r="N88" s="517"/>
      <c r="O88" s="517"/>
      <c r="P88" s="517"/>
      <c r="Q88"/>
      <c r="R88"/>
      <c r="S88"/>
      <c r="T88"/>
      <c r="U88"/>
      <c r="V88"/>
      <c r="W88"/>
      <c r="X88" s="517"/>
      <c r="Y88" s="517"/>
      <c r="Z88" s="517"/>
      <c r="AA88" s="517"/>
      <c r="AB88" s="517"/>
      <c r="AC88" s="517"/>
      <c r="AD88" s="517"/>
      <c r="AE88" s="517"/>
      <c r="AF88" s="517"/>
      <c r="AG88" s="517"/>
      <c r="AH88" s="517"/>
      <c r="AI88" s="517"/>
      <c r="AJ88" s="517"/>
      <c r="AK88" s="517"/>
      <c r="AL88" s="517"/>
      <c r="AM88" s="517"/>
      <c r="AN88" s="517"/>
      <c r="AO88" s="517"/>
      <c r="AP88" s="517"/>
      <c r="AQ88" s="517"/>
      <c r="AR88" s="517"/>
      <c r="AS88" s="517"/>
      <c r="BG88" s="391"/>
      <c r="BI88" s="1186"/>
      <c r="BJ88" s="1186"/>
      <c r="BK88" s="517"/>
      <c r="BL88" s="517"/>
      <c r="BM88" s="517"/>
      <c r="BN88" s="517"/>
      <c r="BO88" s="517"/>
      <c r="BP88" s="517"/>
      <c r="BQ88" s="517"/>
      <c r="BR88" s="517"/>
      <c r="BS88" s="517"/>
      <c r="BT88" s="517"/>
      <c r="BU88" s="517"/>
      <c r="BV88" s="517"/>
      <c r="BW88" s="517"/>
      <c r="BX88" s="517"/>
      <c r="BY88" s="517"/>
      <c r="BZ88" s="517"/>
      <c r="CA88" s="517"/>
      <c r="CB88" s="517"/>
      <c r="CC88" s="517"/>
      <c r="CD88" s="517"/>
      <c r="CE88" s="517"/>
      <c r="CF88" s="517"/>
      <c r="CS88"/>
      <c r="CT88" s="1217"/>
      <c r="CU88"/>
      <c r="CV88" s="1186"/>
      <c r="CW88" s="1186"/>
      <c r="CX88" s="517"/>
      <c r="CY88" s="517"/>
      <c r="CZ88" s="517"/>
      <c r="DA88" s="517"/>
      <c r="DB88" s="517"/>
      <c r="DC88" s="517"/>
      <c r="DD88" s="517"/>
      <c r="DE88" s="517"/>
      <c r="DF88" s="517"/>
      <c r="DG88" s="517"/>
      <c r="DH88" s="517"/>
      <c r="DI88" s="517"/>
      <c r="DJ88" s="517"/>
      <c r="DK88" s="517"/>
      <c r="DL88" s="517"/>
      <c r="DM88" s="517"/>
      <c r="DN88" s="517"/>
      <c r="DO88" s="517"/>
      <c r="DP88" s="517"/>
      <c r="DQ88" s="517"/>
      <c r="DR88" s="517"/>
      <c r="DS88" s="517"/>
    </row>
    <row r="89" spans="1:135" s="524" customFormat="1" ht="12.95" hidden="1" customHeight="1">
      <c r="B89" s="520"/>
      <c r="C89" s="521"/>
      <c r="D89" s="521"/>
      <c r="E89" s="521"/>
      <c r="F89" s="522"/>
      <c r="G89" s="523"/>
      <c r="H89" s="521"/>
      <c r="I89" s="521"/>
      <c r="J89" s="521"/>
      <c r="K89" s="521"/>
      <c r="L89" s="521"/>
      <c r="M89" s="521"/>
      <c r="N89" s="521"/>
      <c r="O89" s="521"/>
      <c r="P89" s="521"/>
      <c r="Q89" s="521"/>
      <c r="R89" s="521"/>
      <c r="S89" s="521"/>
      <c r="T89" s="521"/>
      <c r="U89" s="521"/>
      <c r="V89" s="521"/>
      <c r="W89" s="521"/>
      <c r="X89" s="521"/>
      <c r="Y89" s="521"/>
      <c r="Z89" s="521"/>
      <c r="AA89" s="521"/>
      <c r="AB89" s="521"/>
      <c r="AC89" s="521"/>
      <c r="AD89" s="521"/>
      <c r="AE89" s="522"/>
      <c r="AF89" s="522"/>
      <c r="AG89" s="522"/>
      <c r="AH89" s="522"/>
      <c r="AI89" s="522"/>
      <c r="AJ89" s="522"/>
      <c r="AK89" s="522"/>
      <c r="AL89" s="522"/>
      <c r="AM89" s="522"/>
      <c r="AN89" s="522"/>
      <c r="AO89" s="522"/>
      <c r="AP89" s="522"/>
      <c r="AQ89" s="522"/>
      <c r="AR89" s="522"/>
      <c r="AS89" s="522"/>
      <c r="AT89" s="522"/>
      <c r="AU89" s="522"/>
      <c r="AV89" s="522"/>
      <c r="AW89" s="522"/>
      <c r="AX89" s="522"/>
      <c r="AY89" s="522"/>
      <c r="AZ89" s="522"/>
      <c r="BA89" s="522"/>
      <c r="BB89" s="522"/>
      <c r="BC89" s="522"/>
      <c r="BD89" s="522"/>
      <c r="BE89" s="522"/>
      <c r="BG89" s="391"/>
      <c r="BI89" s="521"/>
      <c r="BJ89" s="521"/>
      <c r="BK89" s="521"/>
      <c r="BL89" s="521"/>
      <c r="BM89" s="521"/>
      <c r="BN89" s="521"/>
      <c r="BO89" s="521"/>
      <c r="BP89" s="521"/>
      <c r="BQ89" s="521"/>
      <c r="BR89" s="522"/>
      <c r="BS89" s="522"/>
      <c r="BT89" s="522"/>
      <c r="BU89" s="522"/>
      <c r="BV89" s="522"/>
      <c r="BW89" s="522"/>
      <c r="BX89" s="522"/>
      <c r="BY89" s="522"/>
      <c r="BZ89" s="522"/>
      <c r="CA89" s="522"/>
      <c r="CB89" s="522"/>
      <c r="CC89" s="522"/>
      <c r="CD89" s="522"/>
      <c r="CE89" s="522"/>
      <c r="CF89" s="522"/>
      <c r="CG89" s="522"/>
      <c r="CH89" s="522"/>
      <c r="CI89" s="522"/>
      <c r="CJ89" s="522"/>
      <c r="CK89" s="522"/>
      <c r="CL89" s="522"/>
      <c r="CM89" s="522"/>
      <c r="CN89" s="522"/>
      <c r="CO89" s="522"/>
      <c r="CP89" s="522"/>
      <c r="CQ89" s="522"/>
      <c r="CR89" s="522"/>
      <c r="CS89"/>
      <c r="CT89" s="1218"/>
      <c r="CU89"/>
      <c r="CV89" s="521"/>
      <c r="CW89" s="521"/>
      <c r="CX89" s="521"/>
      <c r="CY89" s="521"/>
      <c r="CZ89" s="521"/>
      <c r="DA89" s="521"/>
      <c r="DB89" s="521"/>
      <c r="DC89" s="521"/>
      <c r="DD89" s="521"/>
      <c r="DE89" s="522"/>
      <c r="DF89" s="522"/>
      <c r="DG89" s="522"/>
      <c r="DH89" s="522"/>
      <c r="DI89" s="522"/>
      <c r="DJ89" s="522"/>
      <c r="DK89" s="522"/>
      <c r="DL89" s="522"/>
      <c r="DM89" s="522"/>
      <c r="DN89" s="522"/>
      <c r="DO89" s="522"/>
      <c r="DP89" s="522"/>
      <c r="DQ89" s="522"/>
      <c r="DR89" s="522"/>
      <c r="DS89" s="522"/>
      <c r="DT89" s="522"/>
      <c r="DU89" s="522"/>
      <c r="DV89" s="522"/>
      <c r="DW89" s="522"/>
      <c r="DX89" s="522"/>
      <c r="DY89" s="522"/>
      <c r="DZ89" s="522"/>
      <c r="EA89" s="522"/>
      <c r="EB89" s="522"/>
      <c r="EC89" s="522"/>
      <c r="ED89" s="522"/>
      <c r="EE89" s="522"/>
    </row>
    <row r="90" spans="1:135" s="524" customFormat="1" ht="12.95" hidden="1" customHeight="1">
      <c r="B90" s="520"/>
      <c r="C90" s="521"/>
      <c r="D90" s="521"/>
      <c r="E90" s="521"/>
      <c r="F90" s="522"/>
      <c r="G90" s="523"/>
      <c r="H90" s="521"/>
      <c r="I90" s="521"/>
      <c r="J90" s="521"/>
      <c r="K90" s="521"/>
      <c r="L90" s="521"/>
      <c r="M90" s="521"/>
      <c r="N90" s="521"/>
      <c r="O90" s="521"/>
      <c r="P90" s="521"/>
      <c r="Q90" s="521"/>
      <c r="R90" s="521"/>
      <c r="S90" s="521"/>
      <c r="T90" s="521"/>
      <c r="U90" s="521"/>
      <c r="V90" s="521"/>
      <c r="W90" s="521"/>
      <c r="X90" s="521"/>
      <c r="Y90" s="521"/>
      <c r="Z90" s="521"/>
      <c r="AA90" s="521"/>
      <c r="AB90" s="521"/>
      <c r="AC90" s="521"/>
      <c r="AD90" s="521"/>
      <c r="AE90" s="522"/>
      <c r="AF90" s="522"/>
      <c r="AG90" s="522"/>
      <c r="AH90" s="522"/>
      <c r="AI90" s="522"/>
      <c r="AJ90" s="522"/>
      <c r="AK90" s="522"/>
      <c r="AL90" s="522"/>
      <c r="AM90" s="522"/>
      <c r="AN90" s="522"/>
      <c r="AO90" s="522"/>
      <c r="AP90" s="522"/>
      <c r="AQ90" s="522"/>
      <c r="AR90" s="522"/>
      <c r="AS90" s="522"/>
      <c r="AT90" s="522"/>
      <c r="AU90" s="522"/>
      <c r="AV90" s="522"/>
      <c r="AW90" s="522"/>
      <c r="AX90" s="522"/>
      <c r="AY90" s="522"/>
      <c r="AZ90" s="522"/>
      <c r="BA90" s="522"/>
      <c r="BB90" s="522"/>
      <c r="BC90" s="522"/>
      <c r="BD90" s="522"/>
      <c r="BE90" s="522"/>
      <c r="BG90" s="391"/>
      <c r="BI90" s="521"/>
      <c r="BJ90" s="521"/>
      <c r="BK90" s="521"/>
      <c r="BL90" s="521"/>
      <c r="BM90" s="521"/>
      <c r="BN90" s="521"/>
      <c r="BO90" s="521"/>
      <c r="BP90" s="521"/>
      <c r="BQ90" s="521"/>
      <c r="BR90" s="522"/>
      <c r="BS90" s="522"/>
      <c r="BT90" s="522"/>
      <c r="BU90" s="522"/>
      <c r="BV90" s="522"/>
      <c r="BW90" s="522"/>
      <c r="BX90" s="522"/>
      <c r="BY90" s="522"/>
      <c r="BZ90" s="522"/>
      <c r="CA90" s="522"/>
      <c r="CB90" s="522"/>
      <c r="CC90" s="522"/>
      <c r="CD90" s="522"/>
      <c r="CE90" s="522"/>
      <c r="CF90" s="522"/>
      <c r="CG90" s="522"/>
      <c r="CH90" s="522"/>
      <c r="CI90" s="522"/>
      <c r="CJ90" s="522"/>
      <c r="CK90" s="522"/>
      <c r="CL90" s="522"/>
      <c r="CM90" s="522"/>
      <c r="CN90" s="522"/>
      <c r="CO90" s="522"/>
      <c r="CP90" s="522"/>
      <c r="CQ90" s="522"/>
      <c r="CR90" s="522"/>
      <c r="CS90"/>
      <c r="CT90" s="1218"/>
      <c r="CU90"/>
      <c r="CV90" s="521"/>
      <c r="CW90" s="521"/>
      <c r="CX90" s="521"/>
      <c r="CY90" s="521"/>
      <c r="CZ90" s="521"/>
      <c r="DA90" s="521"/>
      <c r="DB90" s="521"/>
      <c r="DC90" s="521"/>
      <c r="DD90" s="521"/>
      <c r="DE90" s="522"/>
      <c r="DF90" s="522"/>
      <c r="DG90" s="522"/>
      <c r="DH90" s="522"/>
      <c r="DI90" s="522"/>
      <c r="DJ90" s="522"/>
      <c r="DK90" s="522"/>
      <c r="DL90" s="522"/>
      <c r="DM90" s="522"/>
      <c r="DN90" s="522"/>
      <c r="DO90" s="522"/>
      <c r="DP90" s="522"/>
      <c r="DQ90" s="522"/>
      <c r="DR90" s="522"/>
      <c r="DS90" s="522"/>
      <c r="DT90" s="522"/>
      <c r="DU90" s="522"/>
      <c r="DV90" s="522"/>
      <c r="DW90" s="522"/>
      <c r="DX90" s="522"/>
      <c r="DY90" s="522"/>
      <c r="DZ90" s="522"/>
      <c r="EA90" s="522"/>
      <c r="EB90" s="522"/>
      <c r="EC90" s="522"/>
      <c r="ED90" s="522"/>
      <c r="EE90" s="522"/>
    </row>
    <row r="91" spans="1:135" s="524" customFormat="1" ht="12.95" hidden="1" customHeight="1">
      <c r="B91" s="520"/>
      <c r="C91" s="521"/>
      <c r="D91" s="521"/>
      <c r="E91" s="521"/>
      <c r="F91" s="521"/>
      <c r="G91" s="523"/>
      <c r="H91" s="521"/>
      <c r="I91" s="521"/>
      <c r="J91" s="521"/>
      <c r="K91" s="521"/>
      <c r="L91" s="521"/>
      <c r="M91" s="521"/>
      <c r="N91" s="521"/>
      <c r="O91" s="521"/>
      <c r="P91" s="521"/>
      <c r="Q91" s="521"/>
      <c r="R91" s="521"/>
      <c r="S91" s="521"/>
      <c r="T91" s="521"/>
      <c r="U91" s="521"/>
      <c r="V91" s="521"/>
      <c r="W91" s="521"/>
      <c r="X91" s="1389">
        <f>SUM(X92:AW92)</f>
        <v>0.23</v>
      </c>
      <c r="Y91" s="1388"/>
      <c r="Z91" s="525"/>
      <c r="AA91" s="525"/>
      <c r="AB91" s="525"/>
      <c r="AC91" s="525"/>
      <c r="AD91" s="525"/>
      <c r="AE91" s="526"/>
      <c r="AF91" s="526"/>
      <c r="AG91" s="526"/>
      <c r="AH91" s="526"/>
      <c r="AI91" s="526"/>
      <c r="AJ91" s="526"/>
      <c r="AK91" s="526"/>
      <c r="AL91" s="526"/>
      <c r="AM91" s="526"/>
      <c r="AN91" s="526"/>
      <c r="AO91" s="526"/>
      <c r="AP91" s="526"/>
      <c r="AQ91" s="526"/>
      <c r="AR91" s="526"/>
      <c r="AS91" s="526"/>
      <c r="AT91" s="526"/>
      <c r="AU91" s="526"/>
      <c r="AV91" s="526"/>
      <c r="AW91" s="526"/>
      <c r="AX91" s="522"/>
      <c r="AY91" s="522"/>
      <c r="AZ91" s="522"/>
      <c r="BA91" s="522"/>
      <c r="BB91" s="522"/>
      <c r="BC91" s="522"/>
      <c r="BD91" s="522"/>
      <c r="BE91" s="522"/>
      <c r="BG91" s="391"/>
      <c r="BI91" s="521"/>
      <c r="BJ91" s="521"/>
      <c r="BK91" s="1389">
        <f>SUM(BK92:CJ92)</f>
        <v>0</v>
      </c>
      <c r="BL91" s="1388"/>
      <c r="BM91" s="525"/>
      <c r="BN91" s="525"/>
      <c r="BO91" s="525"/>
      <c r="BP91" s="525"/>
      <c r="BQ91" s="525"/>
      <c r="BR91" s="526"/>
      <c r="BS91" s="526"/>
      <c r="BT91" s="526"/>
      <c r="BU91" s="526"/>
      <c r="BV91" s="526"/>
      <c r="BW91" s="526"/>
      <c r="BX91" s="526"/>
      <c r="BY91" s="526"/>
      <c r="BZ91" s="526"/>
      <c r="CA91" s="526"/>
      <c r="CB91" s="526"/>
      <c r="CC91" s="526"/>
      <c r="CD91" s="526"/>
      <c r="CE91" s="526"/>
      <c r="CF91" s="526"/>
      <c r="CG91" s="526"/>
      <c r="CH91" s="526"/>
      <c r="CI91" s="526"/>
      <c r="CJ91" s="526"/>
      <c r="CK91" s="522"/>
      <c r="CL91" s="522"/>
      <c r="CM91" s="522"/>
      <c r="CN91" s="522"/>
      <c r="CO91" s="522"/>
      <c r="CP91" s="522"/>
      <c r="CQ91" s="522"/>
      <c r="CR91" s="522"/>
      <c r="CS91"/>
      <c r="CT91" s="1218"/>
      <c r="CU91"/>
      <c r="CV91" s="521"/>
      <c r="CW91" s="521"/>
      <c r="CX91" s="1389">
        <f>SUM(CX92:DW92)</f>
        <v>0</v>
      </c>
      <c r="CY91" s="1388"/>
      <c r="CZ91" s="525"/>
      <c r="DA91" s="525"/>
      <c r="DB91" s="525"/>
      <c r="DC91" s="525"/>
      <c r="DD91" s="525"/>
      <c r="DE91" s="526"/>
      <c r="DF91" s="526"/>
      <c r="DG91" s="526"/>
      <c r="DH91" s="526"/>
      <c r="DI91" s="526"/>
      <c r="DJ91" s="526"/>
      <c r="DK91" s="526"/>
      <c r="DL91" s="526"/>
      <c r="DM91" s="526"/>
      <c r="DN91" s="526"/>
      <c r="DO91" s="526"/>
      <c r="DP91" s="526"/>
      <c r="DQ91" s="526"/>
      <c r="DR91" s="526"/>
      <c r="DS91" s="526"/>
      <c r="DT91" s="526"/>
      <c r="DU91" s="526"/>
      <c r="DV91" s="526"/>
      <c r="DW91" s="526"/>
      <c r="DX91" s="522"/>
      <c r="DY91" s="522"/>
      <c r="DZ91" s="522"/>
      <c r="EA91" s="522"/>
      <c r="EB91" s="522"/>
      <c r="EC91" s="522"/>
      <c r="ED91" s="522"/>
      <c r="EE91" s="522"/>
    </row>
    <row r="92" spans="1:135" s="524" customFormat="1" ht="12.95" hidden="1" customHeight="1">
      <c r="B92" s="520"/>
      <c r="C92" s="521"/>
      <c r="D92" s="521"/>
      <c r="E92" s="521"/>
      <c r="F92" s="521"/>
      <c r="G92" s="523"/>
      <c r="H92" s="521"/>
      <c r="I92" s="521"/>
      <c r="J92" s="521"/>
      <c r="K92" s="521"/>
      <c r="L92" s="521"/>
      <c r="M92" s="521"/>
      <c r="N92" s="521"/>
      <c r="O92" s="521"/>
      <c r="P92" s="521"/>
      <c r="Q92" s="521"/>
      <c r="R92" s="521"/>
      <c r="S92" s="521"/>
      <c r="T92" s="521"/>
      <c r="U92" s="521"/>
      <c r="V92" s="521"/>
      <c r="W92" s="521"/>
      <c r="X92" s="1389">
        <f>X50</f>
        <v>0.08</v>
      </c>
      <c r="Y92" s="1388"/>
      <c r="Z92" s="525"/>
      <c r="AA92" s="525"/>
      <c r="AB92" s="525"/>
      <c r="AC92" s="525"/>
      <c r="AD92" s="525"/>
      <c r="AE92" s="526"/>
      <c r="AF92" s="526"/>
      <c r="AG92" s="526"/>
      <c r="AH92" s="526"/>
      <c r="AI92" s="526"/>
      <c r="AJ92" s="1389">
        <f>AJ50</f>
        <v>0.05</v>
      </c>
      <c r="AK92" s="1388"/>
      <c r="AL92" s="526"/>
      <c r="AM92" s="526"/>
      <c r="AN92" s="526"/>
      <c r="AO92" s="526"/>
      <c r="AP92" s="526"/>
      <c r="AQ92" s="526"/>
      <c r="AR92" s="526"/>
      <c r="AS92" s="526"/>
      <c r="AT92" s="526"/>
      <c r="AU92" s="526"/>
      <c r="AV92" s="1389">
        <f>AV50</f>
        <v>0.1</v>
      </c>
      <c r="AW92" s="1388"/>
      <c r="AX92" s="522"/>
      <c r="AY92" s="522"/>
      <c r="AZ92" s="522"/>
      <c r="BA92" s="522"/>
      <c r="BB92" s="522"/>
      <c r="BC92" s="522"/>
      <c r="BD92" s="522"/>
      <c r="BE92" s="522"/>
      <c r="BG92" s="391"/>
      <c r="BI92" s="521"/>
      <c r="BJ92" s="521"/>
      <c r="BK92" s="1389">
        <f>BK50</f>
        <v>0</v>
      </c>
      <c r="BL92" s="1388"/>
      <c r="BM92" s="525"/>
      <c r="BN92" s="525"/>
      <c r="BO92" s="525"/>
      <c r="BP92" s="525"/>
      <c r="BQ92" s="525"/>
      <c r="BR92" s="526"/>
      <c r="BS92" s="526"/>
      <c r="BT92" s="526"/>
      <c r="BU92" s="526"/>
      <c r="BV92" s="526"/>
      <c r="BW92" s="1389">
        <f>BW50</f>
        <v>0</v>
      </c>
      <c r="BX92" s="1388"/>
      <c r="BY92" s="526"/>
      <c r="BZ92" s="526"/>
      <c r="CA92" s="526"/>
      <c r="CB92" s="526"/>
      <c r="CC92" s="526"/>
      <c r="CD92" s="526"/>
      <c r="CE92" s="526"/>
      <c r="CF92" s="526"/>
      <c r="CG92" s="526"/>
      <c r="CH92" s="526"/>
      <c r="CI92" s="1389">
        <f>CI50</f>
        <v>0</v>
      </c>
      <c r="CJ92" s="1388"/>
      <c r="CK92" s="522"/>
      <c r="CL92" s="522"/>
      <c r="CM92" s="522"/>
      <c r="CN92" s="522"/>
      <c r="CO92" s="522"/>
      <c r="CP92" s="522"/>
      <c r="CQ92" s="522"/>
      <c r="CR92" s="522"/>
      <c r="CS92"/>
      <c r="CT92" s="1218"/>
      <c r="CU92"/>
      <c r="CV92" s="521"/>
      <c r="CW92" s="521"/>
      <c r="CX92" s="1389">
        <f>CX50</f>
        <v>0</v>
      </c>
      <c r="CY92" s="1388"/>
      <c r="CZ92" s="525"/>
      <c r="DA92" s="525"/>
      <c r="DB92" s="525"/>
      <c r="DC92" s="525"/>
      <c r="DD92" s="525"/>
      <c r="DE92" s="526"/>
      <c r="DF92" s="526"/>
      <c r="DG92" s="526"/>
      <c r="DH92" s="526"/>
      <c r="DI92" s="526"/>
      <c r="DJ92" s="1389">
        <f>DJ50</f>
        <v>0</v>
      </c>
      <c r="DK92" s="1388"/>
      <c r="DL92" s="526"/>
      <c r="DM92" s="526"/>
      <c r="DN92" s="526"/>
      <c r="DO92" s="526"/>
      <c r="DP92" s="526"/>
      <c r="DQ92" s="526"/>
      <c r="DR92" s="526"/>
      <c r="DS92" s="526"/>
      <c r="DT92" s="526"/>
      <c r="DU92" s="526"/>
      <c r="DV92" s="1389">
        <f>DV50</f>
        <v>0</v>
      </c>
      <c r="DW92" s="1388"/>
      <c r="DX92" s="522"/>
      <c r="DY92" s="522"/>
      <c r="DZ92" s="522"/>
      <c r="EA92" s="522"/>
      <c r="EB92" s="522"/>
      <c r="EC92" s="522"/>
      <c r="ED92" s="522"/>
      <c r="EE92" s="522"/>
    </row>
    <row r="93" spans="1:135" s="524" customFormat="1" ht="12.95" hidden="1" customHeight="1">
      <c r="B93" s="520"/>
      <c r="C93" s="521"/>
      <c r="D93" s="521"/>
      <c r="E93" s="521"/>
      <c r="F93" s="521"/>
      <c r="G93" s="521"/>
      <c r="H93" s="521"/>
      <c r="I93" s="521"/>
      <c r="J93" s="521"/>
      <c r="K93" s="521"/>
      <c r="L93" s="521"/>
      <c r="M93" s="521"/>
      <c r="N93" s="521"/>
      <c r="O93" s="521"/>
      <c r="P93" s="521"/>
      <c r="Q93" s="521"/>
      <c r="R93" s="521"/>
      <c r="S93" s="521"/>
      <c r="T93" s="521"/>
      <c r="U93" s="521"/>
      <c r="V93" s="521"/>
      <c r="W93" s="521"/>
      <c r="X93" s="1387">
        <f>X92/$X$91</f>
        <v>0.34782608695652173</v>
      </c>
      <c r="Y93" s="1388"/>
      <c r="Z93" s="525"/>
      <c r="AA93" s="525"/>
      <c r="AB93" s="525"/>
      <c r="AC93" s="525"/>
      <c r="AD93" s="525"/>
      <c r="AE93" s="526"/>
      <c r="AF93" s="526"/>
      <c r="AG93" s="526"/>
      <c r="AH93" s="526"/>
      <c r="AI93" s="526"/>
      <c r="AJ93" s="1387">
        <f>AJ92/$X$91</f>
        <v>0.21739130434782608</v>
      </c>
      <c r="AK93" s="1388"/>
      <c r="AL93" s="526"/>
      <c r="AM93" s="526"/>
      <c r="AN93" s="526"/>
      <c r="AO93" s="526"/>
      <c r="AP93" s="526"/>
      <c r="AQ93" s="526"/>
      <c r="AR93" s="526"/>
      <c r="AS93" s="526"/>
      <c r="AT93" s="526"/>
      <c r="AU93" s="526"/>
      <c r="AV93" s="1387">
        <f>AV92/$X$91</f>
        <v>0.43478260869565216</v>
      </c>
      <c r="AW93" s="1388"/>
      <c r="AX93" s="522"/>
      <c r="AY93" s="522"/>
      <c r="AZ93" s="522"/>
      <c r="BA93" s="522"/>
      <c r="BB93" s="522"/>
      <c r="BC93" s="522"/>
      <c r="BD93" s="522"/>
      <c r="BE93" s="522"/>
      <c r="BG93" s="391"/>
      <c r="BI93" s="521"/>
      <c r="BJ93" s="521"/>
      <c r="BK93" s="1387" t="e">
        <f>BK92/$BK$91</f>
        <v>#DIV/0!</v>
      </c>
      <c r="BL93" s="1388"/>
      <c r="BM93" s="525"/>
      <c r="BN93" s="525"/>
      <c r="BO93" s="525"/>
      <c r="BP93" s="525"/>
      <c r="BQ93" s="525"/>
      <c r="BR93" s="526"/>
      <c r="BS93" s="526"/>
      <c r="BT93" s="526"/>
      <c r="BU93" s="526"/>
      <c r="BV93" s="526"/>
      <c r="BW93" s="1387" t="e">
        <f>BW92/$BK$91</f>
        <v>#DIV/0!</v>
      </c>
      <c r="BX93" s="1388"/>
      <c r="BY93" s="526"/>
      <c r="BZ93" s="526"/>
      <c r="CA93" s="526"/>
      <c r="CB93" s="526"/>
      <c r="CC93" s="526"/>
      <c r="CD93" s="526"/>
      <c r="CE93" s="526"/>
      <c r="CF93" s="526"/>
      <c r="CG93" s="526"/>
      <c r="CH93" s="526"/>
      <c r="CI93" s="1387" t="e">
        <f>CI92/$BK$91</f>
        <v>#DIV/0!</v>
      </c>
      <c r="CJ93" s="1388"/>
      <c r="CK93" s="522"/>
      <c r="CL93" s="522"/>
      <c r="CM93" s="522"/>
      <c r="CN93" s="522"/>
      <c r="CO93" s="522"/>
      <c r="CP93" s="522"/>
      <c r="CQ93" s="522"/>
      <c r="CR93" s="522"/>
      <c r="CS93"/>
      <c r="CT93" s="1218"/>
      <c r="CU93"/>
      <c r="CV93" s="521"/>
      <c r="CW93" s="521"/>
      <c r="CX93" s="1598" t="e">
        <f>CX92/$CX$91</f>
        <v>#DIV/0!</v>
      </c>
      <c r="CY93" s="1388"/>
      <c r="CZ93" s="525"/>
      <c r="DA93" s="525"/>
      <c r="DB93" s="525"/>
      <c r="DC93" s="525"/>
      <c r="DD93" s="525"/>
      <c r="DE93" s="526"/>
      <c r="DF93" s="526"/>
      <c r="DG93" s="526"/>
      <c r="DH93" s="526"/>
      <c r="DI93" s="526"/>
      <c r="DJ93" s="1598" t="e">
        <f>DJ92/$CX$91</f>
        <v>#DIV/0!</v>
      </c>
      <c r="DK93" s="1388"/>
      <c r="DL93" s="526"/>
      <c r="DM93" s="526"/>
      <c r="DN93" s="526"/>
      <c r="DO93" s="526"/>
      <c r="DP93" s="526"/>
      <c r="DQ93" s="526"/>
      <c r="DR93" s="526"/>
      <c r="DS93" s="526"/>
      <c r="DT93" s="526"/>
      <c r="DU93" s="526"/>
      <c r="DV93" s="1598" t="e">
        <f>DV92/$CX$91</f>
        <v>#DIV/0!</v>
      </c>
      <c r="DW93" s="1388"/>
      <c r="DX93" s="522"/>
      <c r="DY93" s="522"/>
      <c r="DZ93" s="522"/>
      <c r="EA93" s="522"/>
      <c r="EB93" s="522"/>
      <c r="EC93" s="522"/>
      <c r="ED93" s="522"/>
      <c r="EE93" s="522"/>
    </row>
    <row r="94" spans="1:135" s="524" customFormat="1" ht="12.95" hidden="1" customHeight="1">
      <c r="B94" s="520"/>
      <c r="C94" s="521"/>
      <c r="D94" s="521"/>
      <c r="E94" s="521"/>
      <c r="F94" s="521"/>
      <c r="G94" s="521"/>
      <c r="H94" s="521"/>
      <c r="I94" s="521"/>
      <c r="J94" s="521"/>
      <c r="K94" s="521"/>
      <c r="L94" s="521"/>
      <c r="M94" s="521"/>
      <c r="N94" s="521"/>
      <c r="O94" s="521"/>
      <c r="P94" s="521"/>
      <c r="Q94" s="521"/>
      <c r="R94" s="521"/>
      <c r="S94" s="521"/>
      <c r="T94" s="521"/>
      <c r="U94" s="521"/>
      <c r="V94" s="521"/>
      <c r="W94" s="521"/>
      <c r="X94" s="1387">
        <f>1-X93</f>
        <v>0.65217391304347827</v>
      </c>
      <c r="Y94" s="1388"/>
      <c r="Z94" s="525"/>
      <c r="AA94" s="525"/>
      <c r="AB94" s="525"/>
      <c r="AC94" s="525"/>
      <c r="AD94" s="525"/>
      <c r="AE94" s="526"/>
      <c r="AF94" s="526"/>
      <c r="AG94" s="526"/>
      <c r="AH94" s="526"/>
      <c r="AI94" s="526"/>
      <c r="AJ94" s="1387">
        <f>1-AJ93</f>
        <v>0.78260869565217395</v>
      </c>
      <c r="AK94" s="1388"/>
      <c r="AL94" s="526"/>
      <c r="AM94" s="526"/>
      <c r="AN94" s="526"/>
      <c r="AO94" s="526"/>
      <c r="AP94" s="526"/>
      <c r="AQ94" s="526"/>
      <c r="AR94" s="526"/>
      <c r="AS94" s="526"/>
      <c r="AT94" s="526"/>
      <c r="AU94" s="526"/>
      <c r="AV94" s="1387">
        <f>1-AV93</f>
        <v>0.56521739130434789</v>
      </c>
      <c r="AW94" s="1388"/>
      <c r="AX94" s="522"/>
      <c r="AY94" s="522"/>
      <c r="AZ94" s="522"/>
      <c r="BA94" s="522"/>
      <c r="BB94" s="522"/>
      <c r="BC94" s="522"/>
      <c r="BD94" s="522"/>
      <c r="BE94" s="522"/>
      <c r="BG94" s="391"/>
      <c r="BI94" s="521"/>
      <c r="BJ94" s="521"/>
      <c r="BK94" s="1387" t="e">
        <f>1-BK93</f>
        <v>#DIV/0!</v>
      </c>
      <c r="BL94" s="1388"/>
      <c r="BM94" s="525"/>
      <c r="BN94" s="525"/>
      <c r="BO94" s="525"/>
      <c r="BP94" s="525"/>
      <c r="BQ94" s="525"/>
      <c r="BR94" s="526"/>
      <c r="BS94" s="526"/>
      <c r="BT94" s="526"/>
      <c r="BU94" s="526"/>
      <c r="BV94" s="526"/>
      <c r="BW94" s="1387" t="e">
        <f>1-BW93</f>
        <v>#DIV/0!</v>
      </c>
      <c r="BX94" s="1388"/>
      <c r="BY94" s="526"/>
      <c r="BZ94" s="526"/>
      <c r="CA94" s="526"/>
      <c r="CB94" s="526"/>
      <c r="CC94" s="526"/>
      <c r="CD94" s="526"/>
      <c r="CE94" s="526"/>
      <c r="CF94" s="526"/>
      <c r="CG94" s="526"/>
      <c r="CH94" s="526"/>
      <c r="CI94" s="1387" t="e">
        <f>1-CI93</f>
        <v>#DIV/0!</v>
      </c>
      <c r="CJ94" s="1388"/>
      <c r="CK94" s="522"/>
      <c r="CL94" s="522"/>
      <c r="CM94" s="522"/>
      <c r="CN94" s="522"/>
      <c r="CO94" s="522"/>
      <c r="CP94" s="522"/>
      <c r="CQ94" s="522"/>
      <c r="CR94" s="522"/>
      <c r="CS94"/>
      <c r="CT94" s="1218"/>
      <c r="CU94"/>
      <c r="CV94" s="521"/>
      <c r="CW94" s="521"/>
      <c r="CX94" s="1387" t="e">
        <f>1-CX93</f>
        <v>#DIV/0!</v>
      </c>
      <c r="CY94" s="1388"/>
      <c r="CZ94" s="525"/>
      <c r="DA94" s="525"/>
      <c r="DB94" s="525"/>
      <c r="DC94" s="525"/>
      <c r="DD94" s="525"/>
      <c r="DE94" s="526"/>
      <c r="DF94" s="526"/>
      <c r="DG94" s="526"/>
      <c r="DH94" s="526"/>
      <c r="DI94" s="526"/>
      <c r="DJ94" s="1387" t="e">
        <f>1-DJ93</f>
        <v>#DIV/0!</v>
      </c>
      <c r="DK94" s="1388"/>
      <c r="DL94" s="526"/>
      <c r="DM94" s="526"/>
      <c r="DN94" s="526"/>
      <c r="DO94" s="526"/>
      <c r="DP94" s="526"/>
      <c r="DQ94" s="526"/>
      <c r="DR94" s="526"/>
      <c r="DS94" s="526"/>
      <c r="DT94" s="526"/>
      <c r="DU94" s="526"/>
      <c r="DV94" s="1387" t="e">
        <f>1-DV93</f>
        <v>#DIV/0!</v>
      </c>
      <c r="DW94" s="1388"/>
      <c r="DX94" s="522"/>
      <c r="DY94" s="522"/>
      <c r="DZ94" s="522"/>
      <c r="EA94" s="522"/>
      <c r="EB94" s="522"/>
      <c r="EC94" s="522"/>
      <c r="ED94" s="522"/>
      <c r="EE94" s="522"/>
    </row>
    <row r="95" spans="1:135" s="524" customFormat="1" ht="12.95" hidden="1" customHeight="1">
      <c r="B95" s="520"/>
      <c r="C95" s="521"/>
      <c r="D95" s="521"/>
      <c r="E95" s="521"/>
      <c r="F95" s="521"/>
      <c r="G95" s="521"/>
      <c r="H95" s="521"/>
      <c r="I95" s="521"/>
      <c r="J95" s="521"/>
      <c r="K95" s="521"/>
      <c r="L95" s="521"/>
      <c r="M95" s="521"/>
      <c r="N95" s="521"/>
      <c r="O95" s="521"/>
      <c r="P95" s="521"/>
      <c r="Q95" s="521"/>
      <c r="R95" s="521"/>
      <c r="S95" s="521"/>
      <c r="T95" s="521"/>
      <c r="U95" s="521"/>
      <c r="V95" s="521"/>
      <c r="W95" s="521"/>
      <c r="X95" s="1387">
        <f>SUM(X94:AW94)</f>
        <v>2</v>
      </c>
      <c r="Y95" s="1388"/>
      <c r="Z95" s="525"/>
      <c r="AA95" s="525"/>
      <c r="AB95" s="525"/>
      <c r="AC95" s="525"/>
      <c r="AD95" s="525"/>
      <c r="AE95" s="526"/>
      <c r="AF95" s="526"/>
      <c r="AG95" s="526"/>
      <c r="AH95" s="527"/>
      <c r="AI95" s="527"/>
      <c r="AJ95" s="526"/>
      <c r="AK95" s="526"/>
      <c r="AL95" s="526"/>
      <c r="AM95" s="526"/>
      <c r="AN95" s="526"/>
      <c r="AO95" s="526"/>
      <c r="AP95" s="526"/>
      <c r="AQ95" s="526"/>
      <c r="AR95" s="526"/>
      <c r="AS95" s="526"/>
      <c r="AT95" s="526"/>
      <c r="AU95" s="526"/>
      <c r="AV95" s="526"/>
      <c r="AW95" s="526"/>
      <c r="AX95" s="522"/>
      <c r="AY95" s="522"/>
      <c r="AZ95" s="522"/>
      <c r="BA95" s="522"/>
      <c r="BB95" s="522"/>
      <c r="BC95" s="522"/>
      <c r="BD95" s="522"/>
      <c r="BE95" s="522"/>
      <c r="BG95" s="391"/>
      <c r="BI95" s="521"/>
      <c r="BJ95" s="521"/>
      <c r="BK95" s="1387" t="e">
        <f>SUM(BK94:CJ94)</f>
        <v>#DIV/0!</v>
      </c>
      <c r="BL95" s="1388"/>
      <c r="BM95" s="525"/>
      <c r="BN95" s="525"/>
      <c r="BO95" s="525"/>
      <c r="BP95" s="525"/>
      <c r="BQ95" s="525"/>
      <c r="BR95" s="526"/>
      <c r="BS95" s="526"/>
      <c r="BT95" s="526"/>
      <c r="BU95" s="527"/>
      <c r="BV95" s="527"/>
      <c r="BW95" s="526"/>
      <c r="BX95" s="526"/>
      <c r="BY95" s="526"/>
      <c r="BZ95" s="526"/>
      <c r="CA95" s="526"/>
      <c r="CB95" s="526"/>
      <c r="CC95" s="526"/>
      <c r="CD95" s="526"/>
      <c r="CE95" s="526"/>
      <c r="CF95" s="526"/>
      <c r="CG95" s="526"/>
      <c r="CH95" s="526"/>
      <c r="CI95" s="526"/>
      <c r="CJ95" s="526"/>
      <c r="CK95" s="522"/>
      <c r="CL95" s="522"/>
      <c r="CM95" s="522"/>
      <c r="CN95" s="522"/>
      <c r="CO95" s="522"/>
      <c r="CP95" s="522"/>
      <c r="CQ95" s="522"/>
      <c r="CR95" s="522"/>
      <c r="CS95"/>
      <c r="CT95" s="1218"/>
      <c r="CU95"/>
      <c r="CV95" s="521"/>
      <c r="CW95" s="521"/>
      <c r="CX95" s="1387" t="e">
        <f>SUM(CX94:DW94)</f>
        <v>#DIV/0!</v>
      </c>
      <c r="CY95" s="1388"/>
      <c r="CZ95" s="525"/>
      <c r="DA95" s="525"/>
      <c r="DB95" s="525"/>
      <c r="DC95" s="525"/>
      <c r="DD95" s="525"/>
      <c r="DE95" s="526"/>
      <c r="DF95" s="526"/>
      <c r="DG95" s="526"/>
      <c r="DH95" s="527"/>
      <c r="DI95" s="527"/>
      <c r="DJ95" s="526"/>
      <c r="DK95" s="526"/>
      <c r="DL95" s="526"/>
      <c r="DM95" s="526"/>
      <c r="DN95" s="526"/>
      <c r="DO95" s="526"/>
      <c r="DP95" s="526"/>
      <c r="DQ95" s="526"/>
      <c r="DR95" s="526"/>
      <c r="DS95" s="526"/>
      <c r="DT95" s="526"/>
      <c r="DU95" s="526"/>
      <c r="DV95" s="526"/>
      <c r="DW95" s="526"/>
      <c r="DX95" s="522"/>
      <c r="DY95" s="522"/>
      <c r="DZ95" s="522"/>
      <c r="EA95" s="522"/>
      <c r="EB95" s="522"/>
      <c r="EC95" s="522"/>
      <c r="ED95" s="522"/>
      <c r="EE95" s="522"/>
    </row>
    <row r="96" spans="1:135" s="524" customFormat="1" ht="12.95" hidden="1" customHeight="1">
      <c r="B96" s="520"/>
      <c r="C96" s="521"/>
      <c r="D96" s="521"/>
      <c r="E96" s="521"/>
      <c r="F96" s="521"/>
      <c r="G96" s="521"/>
      <c r="H96" s="521"/>
      <c r="I96" s="521"/>
      <c r="J96" s="521"/>
      <c r="K96" s="521"/>
      <c r="L96" s="521"/>
      <c r="M96" s="521"/>
      <c r="N96" s="521"/>
      <c r="O96" s="521"/>
      <c r="P96" s="521"/>
      <c r="Q96" s="521"/>
      <c r="R96" s="521"/>
      <c r="S96" s="521"/>
      <c r="T96" s="521"/>
      <c r="U96" s="521"/>
      <c r="V96" s="521"/>
      <c r="W96" s="521"/>
      <c r="X96" s="521"/>
      <c r="Y96" s="521"/>
      <c r="Z96" s="521"/>
      <c r="AA96" s="521"/>
      <c r="AB96" s="521"/>
      <c r="AC96" s="521"/>
      <c r="AD96" s="521"/>
      <c r="AE96" s="522"/>
      <c r="AF96" s="522"/>
      <c r="AG96" s="522"/>
      <c r="AH96" s="522"/>
      <c r="AI96" s="522"/>
      <c r="AJ96" s="522"/>
      <c r="AK96" s="522"/>
      <c r="AL96" s="522"/>
      <c r="AM96" s="522"/>
      <c r="AN96" s="522"/>
      <c r="AO96" s="522"/>
      <c r="AP96" s="522"/>
      <c r="AQ96" s="522"/>
      <c r="AR96" s="522"/>
      <c r="AS96" s="522"/>
      <c r="AT96" s="522"/>
      <c r="AU96" s="522"/>
      <c r="AV96" s="522"/>
      <c r="AW96" s="522"/>
      <c r="AX96" s="522"/>
      <c r="AY96" s="522"/>
      <c r="AZ96" s="522"/>
      <c r="BA96" s="522"/>
      <c r="BB96" s="522"/>
      <c r="BC96" s="522"/>
      <c r="BD96" s="522"/>
      <c r="BE96" s="522"/>
      <c r="BG96" s="391"/>
      <c r="BI96" s="521"/>
      <c r="BJ96" s="521"/>
      <c r="BK96" s="521"/>
      <c r="BL96" s="521"/>
      <c r="BM96" s="521"/>
      <c r="BN96" s="521"/>
      <c r="BO96" s="521"/>
      <c r="BP96" s="521"/>
      <c r="BQ96" s="521"/>
      <c r="BR96" s="522"/>
      <c r="BS96" s="522"/>
      <c r="BT96" s="522"/>
      <c r="BU96" s="522"/>
      <c r="BV96" s="522"/>
      <c r="BW96" s="522"/>
      <c r="BX96" s="522"/>
      <c r="BY96" s="522"/>
      <c r="BZ96" s="522"/>
      <c r="CA96" s="522"/>
      <c r="CB96" s="522"/>
      <c r="CC96" s="522"/>
      <c r="CD96" s="522"/>
      <c r="CE96" s="522"/>
      <c r="CF96" s="522"/>
      <c r="CG96" s="522"/>
      <c r="CH96" s="522"/>
      <c r="CI96" s="522"/>
      <c r="CJ96" s="522"/>
      <c r="CK96" s="522"/>
      <c r="CL96" s="522"/>
      <c r="CM96" s="522"/>
      <c r="CN96" s="522"/>
      <c r="CO96" s="522"/>
      <c r="CP96" s="522"/>
      <c r="CQ96" s="522"/>
      <c r="CR96" s="522"/>
      <c r="CS96"/>
      <c r="CT96" s="1218"/>
      <c r="CU96"/>
      <c r="CV96" s="521"/>
      <c r="CW96" s="521"/>
      <c r="CX96" s="521"/>
      <c r="CY96" s="521"/>
      <c r="CZ96" s="521"/>
      <c r="DA96" s="521"/>
      <c r="DB96" s="521"/>
      <c r="DC96" s="521"/>
      <c r="DD96" s="521"/>
      <c r="DE96" s="522"/>
      <c r="DF96" s="522"/>
      <c r="DG96" s="522"/>
      <c r="DH96" s="522"/>
      <c r="DI96" s="522"/>
      <c r="DJ96" s="522"/>
      <c r="DK96" s="522"/>
      <c r="DL96" s="522"/>
      <c r="DM96" s="522"/>
      <c r="DN96" s="522"/>
      <c r="DO96" s="522"/>
      <c r="DP96" s="522"/>
      <c r="DQ96" s="522"/>
      <c r="DR96" s="522"/>
      <c r="DS96" s="522"/>
      <c r="DT96" s="522"/>
      <c r="DU96" s="522"/>
      <c r="DV96" s="522"/>
      <c r="DW96" s="522"/>
      <c r="DX96" s="522"/>
      <c r="DY96" s="522"/>
      <c r="DZ96" s="522"/>
      <c r="EA96" s="522"/>
      <c r="EB96" s="522"/>
      <c r="EC96" s="522"/>
      <c r="ED96" s="522"/>
      <c r="EE96" s="522"/>
    </row>
    <row r="97" spans="2:135" s="524" customFormat="1" ht="12.95" customHeight="1">
      <c r="B97" s="520"/>
      <c r="C97" s="521"/>
      <c r="D97" s="521"/>
      <c r="E97" s="521"/>
      <c r="F97" s="521"/>
      <c r="G97" s="521"/>
      <c r="H97" s="521"/>
      <c r="I97" s="521"/>
      <c r="J97" s="521"/>
      <c r="K97" s="521"/>
      <c r="L97" s="521"/>
      <c r="M97" s="521"/>
      <c r="N97" s="521"/>
      <c r="O97" s="521"/>
      <c r="P97" s="521"/>
      <c r="Q97" s="521"/>
      <c r="R97" s="521"/>
      <c r="S97" s="521"/>
      <c r="T97" s="521"/>
      <c r="U97" s="521"/>
      <c r="V97" s="521"/>
      <c r="W97" s="521"/>
      <c r="X97" s="521"/>
      <c r="Y97" s="521"/>
      <c r="Z97" s="521"/>
      <c r="AA97" s="521"/>
      <c r="AB97" s="521"/>
      <c r="AC97" s="521"/>
      <c r="AD97" s="521"/>
      <c r="AE97" s="522"/>
      <c r="AF97" s="522"/>
      <c r="AG97" s="522"/>
      <c r="AH97" s="522"/>
      <c r="AI97" s="522"/>
      <c r="AJ97" s="522"/>
      <c r="AK97" s="522"/>
      <c r="AL97" s="522"/>
      <c r="AM97" s="522"/>
      <c r="AN97" s="522"/>
      <c r="AO97" s="522"/>
      <c r="AP97" s="522"/>
      <c r="AQ97" s="522"/>
      <c r="AR97" s="522"/>
      <c r="AS97" s="522"/>
      <c r="AT97" s="522"/>
      <c r="AU97" s="522"/>
      <c r="AV97" s="522"/>
      <c r="AW97" s="522"/>
      <c r="AX97" s="522"/>
      <c r="AY97" s="522"/>
      <c r="AZ97" s="522"/>
      <c r="BA97" s="522"/>
      <c r="BB97" s="522"/>
      <c r="BC97" s="522"/>
      <c r="BD97" s="522"/>
      <c r="BE97" s="522"/>
      <c r="BG97" s="391"/>
      <c r="BI97" s="521"/>
      <c r="BJ97" s="521"/>
      <c r="BK97" s="521"/>
      <c r="BL97" s="521"/>
      <c r="BM97" s="521"/>
      <c r="BN97" s="521"/>
      <c r="BO97" s="521"/>
      <c r="BP97" s="521"/>
      <c r="BQ97" s="521"/>
      <c r="BR97" s="522"/>
      <c r="BS97" s="522"/>
      <c r="BT97" s="522"/>
      <c r="BU97" s="522"/>
      <c r="BV97" s="522"/>
      <c r="BW97" s="522"/>
      <c r="BX97" s="522"/>
      <c r="BY97" s="522"/>
      <c r="BZ97" s="522"/>
      <c r="CA97" s="522"/>
      <c r="CB97" s="522"/>
      <c r="CC97" s="522"/>
      <c r="CD97" s="522"/>
      <c r="CE97" s="522"/>
      <c r="CF97" s="522"/>
      <c r="CG97" s="522"/>
      <c r="CH97" s="522"/>
      <c r="CI97" s="522"/>
      <c r="CJ97" s="522"/>
      <c r="CK97" s="522"/>
      <c r="CL97" s="522"/>
      <c r="CM97" s="522"/>
      <c r="CN97" s="522"/>
      <c r="CO97" s="522"/>
      <c r="CP97" s="522"/>
      <c r="CQ97" s="522"/>
      <c r="CR97" s="522"/>
      <c r="CS97"/>
      <c r="CT97" s="1218"/>
      <c r="CU97"/>
      <c r="CV97" s="521"/>
      <c r="CW97" s="521"/>
      <c r="CX97" s="521"/>
      <c r="CY97" s="521"/>
      <c r="CZ97" s="521"/>
      <c r="DA97" s="521"/>
      <c r="DB97" s="521"/>
      <c r="DC97" s="521"/>
      <c r="DD97" s="521"/>
      <c r="DE97" s="522"/>
      <c r="DF97" s="522"/>
      <c r="DG97" s="522"/>
      <c r="DH97" s="522"/>
      <c r="DI97" s="522"/>
      <c r="DJ97" s="522"/>
      <c r="DK97" s="522"/>
      <c r="DL97" s="522"/>
      <c r="DM97" s="522"/>
      <c r="DN97" s="522"/>
      <c r="DO97" s="522"/>
      <c r="DP97" s="522"/>
      <c r="DQ97" s="522"/>
      <c r="DR97" s="522"/>
      <c r="DS97" s="522"/>
      <c r="DT97" s="522"/>
      <c r="DU97" s="522"/>
      <c r="DV97" s="522"/>
      <c r="DW97" s="522"/>
      <c r="DX97" s="522"/>
      <c r="DY97" s="522"/>
      <c r="DZ97" s="522"/>
      <c r="EA97" s="522"/>
      <c r="EB97" s="522"/>
      <c r="EC97" s="522"/>
      <c r="ED97" s="522"/>
      <c r="EE97" s="522"/>
    </row>
    <row r="98" spans="2:135" s="524" customFormat="1" ht="12.95" customHeight="1">
      <c r="B98" s="520"/>
      <c r="C98" s="521"/>
      <c r="D98" s="521"/>
      <c r="E98" s="521"/>
      <c r="F98" s="521"/>
      <c r="G98" s="521"/>
      <c r="H98" s="521"/>
      <c r="I98" s="521"/>
      <c r="J98" s="521"/>
      <c r="K98" s="521"/>
      <c r="L98" s="521"/>
      <c r="M98" s="521"/>
      <c r="N98" s="521"/>
      <c r="O98" s="521"/>
      <c r="P98" s="521"/>
      <c r="Q98" s="521"/>
      <c r="R98" s="521"/>
      <c r="S98" s="521"/>
      <c r="T98" s="521"/>
      <c r="U98" s="521"/>
      <c r="V98" s="521"/>
      <c r="W98" s="521"/>
      <c r="X98" s="521"/>
      <c r="Y98" s="521"/>
      <c r="Z98" s="521"/>
      <c r="AA98" s="521"/>
      <c r="AB98" s="521"/>
      <c r="AC98" s="521"/>
      <c r="AD98" s="521"/>
      <c r="AE98" s="522"/>
      <c r="AF98" s="522"/>
      <c r="AG98" s="522"/>
      <c r="AH98" s="522"/>
      <c r="AI98" s="522"/>
      <c r="AJ98" s="522"/>
      <c r="AK98" s="522"/>
      <c r="AL98" s="522"/>
      <c r="AM98" s="522"/>
      <c r="AN98" s="522"/>
      <c r="AO98" s="522"/>
      <c r="AP98" s="522"/>
      <c r="AQ98" s="522"/>
      <c r="AR98" s="522"/>
      <c r="AS98" s="522"/>
      <c r="AT98" s="522"/>
      <c r="AU98" s="522"/>
      <c r="AV98" s="522"/>
      <c r="AW98" s="522"/>
      <c r="AX98" s="522"/>
      <c r="AY98" s="522"/>
      <c r="AZ98" s="522"/>
      <c r="BA98" s="522"/>
      <c r="BB98" s="522"/>
      <c r="BC98" s="522"/>
      <c r="BD98" s="522"/>
      <c r="BE98" s="522"/>
      <c r="BG98" s="391"/>
      <c r="BI98" s="521"/>
      <c r="BJ98" s="521"/>
      <c r="BK98" s="521"/>
      <c r="BL98" s="521"/>
      <c r="BM98" s="521"/>
      <c r="BN98" s="521"/>
      <c r="BO98" s="521"/>
      <c r="BP98" s="521"/>
      <c r="BQ98" s="521"/>
      <c r="BR98" s="522"/>
      <c r="BS98" s="522"/>
      <c r="BT98" s="522"/>
      <c r="BU98" s="522"/>
      <c r="BV98" s="522"/>
      <c r="BW98" s="522"/>
      <c r="BX98" s="522"/>
      <c r="BY98" s="522"/>
      <c r="BZ98" s="522"/>
      <c r="CA98" s="522"/>
      <c r="CB98" s="522"/>
      <c r="CC98" s="522"/>
      <c r="CD98" s="522"/>
      <c r="CE98" s="522"/>
      <c r="CF98" s="522"/>
      <c r="CG98" s="522"/>
      <c r="CH98" s="522"/>
      <c r="CI98" s="522"/>
      <c r="CJ98" s="522"/>
      <c r="CK98" s="522"/>
      <c r="CL98" s="522"/>
      <c r="CM98" s="522"/>
      <c r="CN98" s="522"/>
      <c r="CO98" s="522"/>
      <c r="CP98" s="522"/>
      <c r="CQ98" s="522"/>
      <c r="CR98" s="522"/>
      <c r="CS98"/>
      <c r="CT98" s="1218"/>
      <c r="CU98"/>
      <c r="CV98" s="521"/>
      <c r="CW98" s="521"/>
      <c r="CX98" s="521"/>
      <c r="CY98" s="521"/>
      <c r="CZ98" s="521"/>
      <c r="DA98" s="521"/>
      <c r="DB98" s="521"/>
      <c r="DC98" s="521"/>
      <c r="DD98" s="521"/>
      <c r="DE98" s="522"/>
      <c r="DF98" s="522"/>
      <c r="DG98" s="522"/>
      <c r="DH98" s="522"/>
      <c r="DI98" s="522"/>
      <c r="DJ98" s="522"/>
      <c r="DK98" s="522"/>
      <c r="DL98" s="522"/>
      <c r="DM98" s="522"/>
      <c r="DN98" s="522"/>
      <c r="DO98" s="522"/>
      <c r="DP98" s="522"/>
      <c r="DQ98" s="522"/>
      <c r="DR98" s="522"/>
      <c r="DS98" s="522"/>
      <c r="DT98" s="522"/>
      <c r="DU98" s="522"/>
      <c r="DV98" s="522"/>
      <c r="DW98" s="522"/>
      <c r="DX98" s="522"/>
      <c r="DY98" s="522"/>
      <c r="DZ98" s="522"/>
      <c r="EA98" s="522"/>
      <c r="EB98" s="522"/>
      <c r="EC98" s="522"/>
      <c r="ED98" s="522"/>
      <c r="EE98" s="522"/>
    </row>
    <row r="99" spans="2:135" s="524" customFormat="1" ht="12.95" customHeight="1">
      <c r="B99" s="520"/>
      <c r="C99" s="521"/>
      <c r="D99" s="521"/>
      <c r="E99" s="521"/>
      <c r="F99" s="521"/>
      <c r="G99" s="521"/>
      <c r="H99" s="521"/>
      <c r="I99" s="521"/>
      <c r="J99" s="521"/>
      <c r="K99" s="521"/>
      <c r="L99" s="521"/>
      <c r="M99" s="521"/>
      <c r="N99" s="521"/>
      <c r="O99" s="521"/>
      <c r="P99" s="521"/>
      <c r="Q99" s="521"/>
      <c r="R99" s="521"/>
      <c r="S99" s="521"/>
      <c r="T99" s="521"/>
      <c r="U99" s="521"/>
      <c r="V99" s="521"/>
      <c r="W99" s="521"/>
      <c r="X99" s="521"/>
      <c r="Y99" s="521"/>
      <c r="Z99" s="521"/>
      <c r="AA99" s="521"/>
      <c r="AB99" s="521"/>
      <c r="AC99" s="521"/>
      <c r="AD99" s="521"/>
      <c r="AE99" s="522"/>
      <c r="AF99" s="522"/>
      <c r="AG99" s="522"/>
      <c r="AH99" s="522"/>
      <c r="AI99" s="522"/>
      <c r="AJ99" s="522"/>
      <c r="AK99" s="522"/>
      <c r="AL99" s="522"/>
      <c r="AM99" s="522"/>
      <c r="AN99" s="522"/>
      <c r="AO99" s="522"/>
      <c r="AP99" s="522"/>
      <c r="AQ99" s="522"/>
      <c r="AR99" s="522"/>
      <c r="AS99" s="522"/>
      <c r="AT99" s="522"/>
      <c r="AU99" s="522"/>
      <c r="AV99" s="522"/>
      <c r="AW99" s="522"/>
      <c r="AX99" s="522"/>
      <c r="AY99" s="522"/>
      <c r="AZ99" s="522"/>
      <c r="BA99" s="522"/>
      <c r="BB99" s="522"/>
      <c r="BC99" s="522"/>
      <c r="BD99" s="522"/>
      <c r="BE99" s="522"/>
      <c r="BG99" s="391"/>
      <c r="BI99" s="521"/>
      <c r="BJ99" s="521"/>
      <c r="BK99" s="521"/>
      <c r="BL99" s="521"/>
      <c r="BM99" s="521"/>
      <c r="BN99" s="521"/>
      <c r="BO99" s="521"/>
      <c r="BP99" s="521"/>
      <c r="BQ99" s="521"/>
      <c r="BR99" s="522"/>
      <c r="BS99" s="522"/>
      <c r="BT99" s="522"/>
      <c r="BU99" s="522"/>
      <c r="BV99" s="522"/>
      <c r="BW99" s="522"/>
      <c r="BX99" s="522"/>
      <c r="BY99" s="522"/>
      <c r="BZ99" s="522"/>
      <c r="CA99" s="522"/>
      <c r="CB99" s="522"/>
      <c r="CC99" s="522"/>
      <c r="CD99" s="522"/>
      <c r="CE99" s="522"/>
      <c r="CF99" s="522"/>
      <c r="CG99" s="522"/>
      <c r="CH99" s="522"/>
      <c r="CI99" s="522"/>
      <c r="CJ99" s="522"/>
      <c r="CK99" s="522"/>
      <c r="CL99" s="522"/>
      <c r="CM99" s="522"/>
      <c r="CN99" s="522"/>
      <c r="CO99" s="522"/>
      <c r="CP99" s="522"/>
      <c r="CQ99" s="522"/>
      <c r="CR99" s="522"/>
      <c r="CS99"/>
      <c r="CT99" s="1218"/>
      <c r="CU99"/>
      <c r="CV99" s="521"/>
      <c r="CW99" s="521"/>
      <c r="CX99" s="521"/>
      <c r="CY99" s="521"/>
      <c r="CZ99" s="521"/>
      <c r="DA99" s="521"/>
      <c r="DB99" s="521"/>
      <c r="DC99" s="521"/>
      <c r="DD99" s="521"/>
      <c r="DE99" s="522"/>
      <c r="DF99" s="522"/>
      <c r="DG99" s="522"/>
      <c r="DH99" s="522"/>
      <c r="DI99" s="522"/>
      <c r="DJ99" s="522"/>
      <c r="DK99" s="522"/>
      <c r="DL99" s="522"/>
      <c r="DM99" s="522"/>
      <c r="DN99" s="522"/>
      <c r="DO99" s="522"/>
      <c r="DP99" s="522"/>
      <c r="DQ99" s="522"/>
      <c r="DR99" s="522"/>
      <c r="DS99" s="522"/>
      <c r="DT99" s="522"/>
      <c r="DU99" s="522"/>
      <c r="DV99" s="522"/>
      <c r="DW99" s="522"/>
      <c r="DX99" s="522"/>
      <c r="DY99" s="522"/>
      <c r="DZ99" s="522"/>
      <c r="EA99" s="522"/>
      <c r="EB99" s="522"/>
      <c r="EC99" s="522"/>
      <c r="ED99" s="522"/>
      <c r="EE99" s="522"/>
    </row>
    <row r="100" spans="2:135" s="524" customFormat="1" ht="12.95" customHeight="1">
      <c r="B100" s="520"/>
      <c r="C100" s="521"/>
      <c r="D100" s="521"/>
      <c r="E100" s="521"/>
      <c r="F100" s="521"/>
      <c r="G100" s="521"/>
      <c r="H100" s="521"/>
      <c r="I100" s="521"/>
      <c r="J100" s="521"/>
      <c r="K100" s="521"/>
      <c r="L100" s="521"/>
      <c r="M100" s="521"/>
      <c r="N100" s="521"/>
      <c r="O100" s="521"/>
      <c r="P100" s="521"/>
      <c r="Q100" s="521"/>
      <c r="R100" s="521"/>
      <c r="S100" s="521"/>
      <c r="T100" s="521"/>
      <c r="U100" s="521"/>
      <c r="V100" s="521"/>
      <c r="W100" s="521"/>
      <c r="X100" s="521"/>
      <c r="Y100" s="521"/>
      <c r="Z100" s="521"/>
      <c r="AA100" s="521"/>
      <c r="AB100" s="521"/>
      <c r="AC100" s="521"/>
      <c r="AD100" s="521"/>
      <c r="AE100" s="522"/>
      <c r="AF100" s="522"/>
      <c r="AG100" s="522"/>
      <c r="AH100" s="522"/>
      <c r="AI100" s="522"/>
      <c r="AJ100" s="522"/>
      <c r="AK100" s="522"/>
      <c r="AL100" s="522"/>
      <c r="AM100" s="522"/>
      <c r="AN100" s="522"/>
      <c r="AO100" s="522"/>
      <c r="AP100" s="522"/>
      <c r="AQ100" s="522"/>
      <c r="AR100" s="522"/>
      <c r="AS100" s="522"/>
      <c r="AT100" s="522"/>
      <c r="AU100" s="522"/>
      <c r="AV100" s="522"/>
      <c r="AW100" s="522"/>
      <c r="AX100" s="522"/>
      <c r="AY100" s="522"/>
      <c r="AZ100" s="522"/>
      <c r="BA100" s="522"/>
      <c r="BB100" s="522"/>
      <c r="BC100" s="522"/>
      <c r="BD100" s="522"/>
      <c r="BE100" s="522"/>
      <c r="BG100" s="391"/>
      <c r="BI100" s="521"/>
      <c r="BJ100" s="521"/>
      <c r="BK100" s="521"/>
      <c r="BL100" s="521"/>
      <c r="BM100" s="521"/>
      <c r="BN100" s="521"/>
      <c r="BO100" s="521"/>
      <c r="BP100" s="521"/>
      <c r="BQ100" s="521"/>
      <c r="BR100" s="522"/>
      <c r="BS100" s="522"/>
      <c r="BT100" s="522"/>
      <c r="BU100" s="522"/>
      <c r="BV100" s="522"/>
      <c r="BW100" s="522"/>
      <c r="BX100" s="522"/>
      <c r="BY100" s="522"/>
      <c r="BZ100" s="522"/>
      <c r="CA100" s="522"/>
      <c r="CB100" s="522"/>
      <c r="CC100" s="522"/>
      <c r="CD100" s="522"/>
      <c r="CE100" s="522"/>
      <c r="CF100" s="522"/>
      <c r="CG100" s="522"/>
      <c r="CH100" s="522"/>
      <c r="CI100" s="522"/>
      <c r="CJ100" s="522"/>
      <c r="CK100" s="522"/>
      <c r="CL100" s="522"/>
      <c r="CM100" s="522"/>
      <c r="CN100" s="522"/>
      <c r="CO100" s="522"/>
      <c r="CP100" s="522"/>
      <c r="CQ100" s="522"/>
      <c r="CR100" s="522"/>
      <c r="CS100"/>
      <c r="CT100" s="1218"/>
      <c r="CU100"/>
      <c r="CV100" s="521"/>
      <c r="CW100" s="521"/>
      <c r="CX100" s="521"/>
      <c r="CY100" s="521"/>
      <c r="CZ100" s="521"/>
      <c r="DA100" s="521"/>
      <c r="DB100" s="521"/>
      <c r="DC100" s="521"/>
      <c r="DD100" s="521"/>
      <c r="DE100" s="522"/>
      <c r="DF100" s="522"/>
      <c r="DG100" s="522"/>
      <c r="DH100" s="522"/>
      <c r="DI100" s="522"/>
      <c r="DJ100" s="522"/>
      <c r="DK100" s="522"/>
      <c r="DL100" s="522"/>
      <c r="DM100" s="522"/>
      <c r="DN100" s="522"/>
      <c r="DO100" s="522"/>
      <c r="DP100" s="522"/>
      <c r="DQ100" s="522"/>
      <c r="DR100" s="522"/>
      <c r="DS100" s="522"/>
      <c r="DT100" s="522"/>
      <c r="DU100" s="522"/>
      <c r="DV100" s="522"/>
      <c r="DW100" s="522"/>
      <c r="DX100" s="522"/>
      <c r="DY100" s="522"/>
      <c r="DZ100" s="522"/>
      <c r="EA100" s="522"/>
      <c r="EB100" s="522"/>
      <c r="EC100" s="522"/>
      <c r="ED100" s="522"/>
      <c r="EE100" s="522"/>
    </row>
    <row r="101" spans="2:135" s="524" customFormat="1" ht="12.95" customHeight="1">
      <c r="B101" s="520"/>
      <c r="C101" s="521"/>
      <c r="D101" s="521"/>
      <c r="E101" s="521"/>
      <c r="F101" s="521"/>
      <c r="G101" s="521"/>
      <c r="H101" s="521"/>
      <c r="I101" s="521"/>
      <c r="J101" s="521"/>
      <c r="K101" s="521"/>
      <c r="L101" s="521"/>
      <c r="M101" s="521"/>
      <c r="N101" s="521"/>
      <c r="O101" s="521"/>
      <c r="P101" s="521"/>
      <c r="Q101" s="521"/>
      <c r="R101" s="521"/>
      <c r="S101" s="521"/>
      <c r="T101" s="521"/>
      <c r="U101" s="521"/>
      <c r="V101" s="521"/>
      <c r="W101" s="521"/>
      <c r="X101" s="521"/>
      <c r="Y101" s="521"/>
      <c r="Z101" s="521"/>
      <c r="AA101" s="521"/>
      <c r="AB101" s="521"/>
      <c r="AC101" s="521"/>
      <c r="AD101" s="521"/>
      <c r="AE101" s="522"/>
      <c r="AF101" s="522"/>
      <c r="AG101" s="522"/>
      <c r="AH101" s="522"/>
      <c r="AI101" s="522"/>
      <c r="AJ101" s="522"/>
      <c r="AK101" s="522"/>
      <c r="AL101" s="522"/>
      <c r="AM101" s="522"/>
      <c r="AN101" s="522"/>
      <c r="AO101" s="522"/>
      <c r="AP101" s="522"/>
      <c r="AQ101" s="522"/>
      <c r="AR101" s="522"/>
      <c r="AS101" s="522"/>
      <c r="AT101" s="522"/>
      <c r="AU101" s="522"/>
      <c r="AV101" s="522"/>
      <c r="AW101" s="522"/>
      <c r="AX101" s="522"/>
      <c r="AY101" s="522"/>
      <c r="AZ101" s="522"/>
      <c r="BA101" s="522"/>
      <c r="BB101" s="522"/>
      <c r="BC101" s="522"/>
      <c r="BD101" s="522"/>
      <c r="BE101" s="522"/>
      <c r="BG101" s="391"/>
      <c r="BI101" s="521"/>
      <c r="BJ101" s="521"/>
      <c r="BK101" s="521"/>
      <c r="BL101" s="521"/>
      <c r="BM101" s="521"/>
      <c r="BN101" s="521"/>
      <c r="BO101" s="521"/>
      <c r="BP101" s="521"/>
      <c r="BQ101" s="521"/>
      <c r="BR101" s="522"/>
      <c r="BS101" s="522"/>
      <c r="BT101" s="522"/>
      <c r="BU101" s="522"/>
      <c r="BV101" s="522"/>
      <c r="BW101" s="522"/>
      <c r="BX101" s="522"/>
      <c r="BY101" s="522"/>
      <c r="BZ101" s="522"/>
      <c r="CA101" s="522"/>
      <c r="CB101" s="522"/>
      <c r="CC101" s="522"/>
      <c r="CD101" s="522"/>
      <c r="CE101" s="522"/>
      <c r="CF101" s="522"/>
      <c r="CG101" s="522"/>
      <c r="CH101" s="522"/>
      <c r="CI101" s="522"/>
      <c r="CJ101" s="522"/>
      <c r="CK101" s="522"/>
      <c r="CL101" s="522"/>
      <c r="CM101" s="522"/>
      <c r="CN101" s="522"/>
      <c r="CO101" s="522"/>
      <c r="CP101" s="522"/>
      <c r="CQ101" s="522"/>
      <c r="CR101" s="522"/>
      <c r="CS101"/>
      <c r="CT101" s="1218"/>
      <c r="CU101"/>
      <c r="CV101" s="521"/>
      <c r="CW101" s="521"/>
      <c r="CX101" s="521"/>
      <c r="CY101" s="521"/>
      <c r="CZ101" s="521"/>
      <c r="DA101" s="521"/>
      <c r="DB101" s="521"/>
      <c r="DC101" s="521"/>
      <c r="DD101" s="521"/>
      <c r="DE101" s="522"/>
      <c r="DF101" s="522"/>
      <c r="DG101" s="522"/>
      <c r="DH101" s="522"/>
      <c r="DI101" s="522"/>
      <c r="DJ101" s="522"/>
      <c r="DK101" s="522"/>
      <c r="DL101" s="522"/>
      <c r="DM101" s="522"/>
      <c r="DN101" s="522"/>
      <c r="DO101" s="522"/>
      <c r="DP101" s="522"/>
      <c r="DQ101" s="522"/>
      <c r="DR101" s="522"/>
      <c r="DS101" s="522"/>
      <c r="DT101" s="522"/>
      <c r="DU101" s="522"/>
      <c r="DV101" s="522"/>
      <c r="DW101" s="522"/>
      <c r="DX101" s="522"/>
      <c r="DY101" s="522"/>
      <c r="DZ101" s="522"/>
      <c r="EA101" s="522"/>
      <c r="EB101" s="522"/>
      <c r="EC101" s="522"/>
      <c r="ED101" s="522"/>
      <c r="EE101" s="522"/>
    </row>
    <row r="102" spans="2:135" s="524" customFormat="1" ht="12.95" customHeight="1">
      <c r="B102" s="520"/>
      <c r="C102" s="521"/>
      <c r="D102" s="521"/>
      <c r="E102" s="521"/>
      <c r="F102" s="521"/>
      <c r="G102" s="521"/>
      <c r="H102" s="521"/>
      <c r="I102" s="521"/>
      <c r="J102" s="521"/>
      <c r="K102" s="521"/>
      <c r="L102" s="521"/>
      <c r="M102" s="521"/>
      <c r="N102" s="521"/>
      <c r="O102" s="521"/>
      <c r="P102" s="521"/>
      <c r="Q102" s="521"/>
      <c r="R102" s="521"/>
      <c r="S102" s="521"/>
      <c r="T102" s="521"/>
      <c r="U102" s="521"/>
      <c r="V102" s="521"/>
      <c r="W102" s="521"/>
      <c r="X102" s="521"/>
      <c r="Y102" s="521"/>
      <c r="Z102" s="521"/>
      <c r="AA102" s="521"/>
      <c r="AB102" s="521"/>
      <c r="AC102" s="521"/>
      <c r="AD102" s="521"/>
      <c r="AE102" s="522"/>
      <c r="AF102" s="522"/>
      <c r="AG102" s="522"/>
      <c r="AH102" s="522"/>
      <c r="AI102" s="522"/>
      <c r="AJ102" s="522"/>
      <c r="AK102" s="522"/>
      <c r="AL102" s="522"/>
      <c r="AM102" s="522"/>
      <c r="AN102" s="522"/>
      <c r="AO102" s="522"/>
      <c r="AP102" s="522"/>
      <c r="AQ102" s="522"/>
      <c r="AR102" s="522"/>
      <c r="AS102" s="522"/>
      <c r="AT102" s="522"/>
      <c r="AU102" s="522"/>
      <c r="AV102" s="522"/>
      <c r="AW102" s="522"/>
      <c r="AX102" s="522"/>
      <c r="AY102" s="522"/>
      <c r="AZ102" s="522"/>
      <c r="BA102" s="522"/>
      <c r="BB102" s="522"/>
      <c r="BC102" s="522"/>
      <c r="BD102" s="522"/>
      <c r="BE102" s="522"/>
      <c r="BG102" s="391"/>
      <c r="BI102" s="521"/>
      <c r="BJ102" s="521"/>
      <c r="BK102" s="521"/>
      <c r="BL102" s="521"/>
      <c r="BM102" s="521"/>
      <c r="BN102" s="521"/>
      <c r="BO102" s="521"/>
      <c r="BP102" s="521"/>
      <c r="BQ102" s="521"/>
      <c r="BR102" s="522"/>
      <c r="BS102" s="522"/>
      <c r="BT102" s="522"/>
      <c r="BU102" s="522"/>
      <c r="BV102" s="522"/>
      <c r="BW102" s="522"/>
      <c r="BX102" s="522"/>
      <c r="BY102" s="522"/>
      <c r="BZ102" s="522"/>
      <c r="CA102" s="522"/>
      <c r="CB102" s="522"/>
      <c r="CC102" s="522"/>
      <c r="CD102" s="522"/>
      <c r="CE102" s="522"/>
      <c r="CF102" s="522"/>
      <c r="CG102" s="522"/>
      <c r="CH102" s="522"/>
      <c r="CI102" s="522"/>
      <c r="CJ102" s="522"/>
      <c r="CK102" s="522"/>
      <c r="CL102" s="522"/>
      <c r="CM102" s="522"/>
      <c r="CN102" s="522"/>
      <c r="CO102" s="522"/>
      <c r="CP102" s="522"/>
      <c r="CQ102" s="522"/>
      <c r="CR102" s="522"/>
      <c r="CS102"/>
      <c r="CT102" s="1218"/>
      <c r="CU102"/>
      <c r="CV102" s="521"/>
      <c r="CW102" s="521"/>
      <c r="CX102" s="521"/>
      <c r="CY102" s="521"/>
      <c r="CZ102" s="521"/>
      <c r="DA102" s="521"/>
      <c r="DB102" s="521"/>
      <c r="DC102" s="521"/>
      <c r="DD102" s="521"/>
      <c r="DE102" s="522"/>
      <c r="DF102" s="522"/>
      <c r="DG102" s="522"/>
      <c r="DH102" s="522"/>
      <c r="DI102" s="522"/>
      <c r="DJ102" s="522"/>
      <c r="DK102" s="522"/>
      <c r="DL102" s="522"/>
      <c r="DM102" s="522"/>
      <c r="DN102" s="522"/>
      <c r="DO102" s="522"/>
      <c r="DP102" s="522"/>
      <c r="DQ102" s="522"/>
      <c r="DR102" s="522"/>
      <c r="DS102" s="522"/>
      <c r="DT102" s="522"/>
      <c r="DU102" s="522"/>
      <c r="DV102" s="522"/>
      <c r="DW102" s="522"/>
      <c r="DX102" s="522"/>
      <c r="DY102" s="522"/>
      <c r="DZ102" s="522"/>
      <c r="EA102" s="522"/>
      <c r="EB102" s="522"/>
      <c r="EC102" s="522"/>
      <c r="ED102" s="522"/>
      <c r="EE102" s="522"/>
    </row>
    <row r="103" spans="2:135" s="524" customFormat="1" ht="12.95" customHeight="1">
      <c r="B103" s="520"/>
      <c r="C103" s="521"/>
      <c r="D103" s="521"/>
      <c r="E103" s="521"/>
      <c r="F103" s="521"/>
      <c r="G103" s="521"/>
      <c r="H103" s="521"/>
      <c r="I103" s="521"/>
      <c r="J103" s="521"/>
      <c r="K103" s="521"/>
      <c r="L103" s="521"/>
      <c r="M103" s="521"/>
      <c r="N103" s="521"/>
      <c r="O103" s="521"/>
      <c r="P103" s="521"/>
      <c r="Q103" s="521"/>
      <c r="R103" s="521"/>
      <c r="S103" s="521"/>
      <c r="T103" s="521"/>
      <c r="U103" s="521"/>
      <c r="V103" s="521"/>
      <c r="W103" s="521"/>
      <c r="X103" s="521"/>
      <c r="Y103" s="521"/>
      <c r="Z103" s="521"/>
      <c r="AA103" s="521"/>
      <c r="AB103" s="521"/>
      <c r="AC103" s="521"/>
      <c r="AD103" s="521"/>
      <c r="AE103" s="522"/>
      <c r="AF103" s="522"/>
      <c r="AG103" s="522"/>
      <c r="AH103" s="522"/>
      <c r="AI103" s="522"/>
      <c r="AJ103" s="522"/>
      <c r="AK103" s="522"/>
      <c r="AL103" s="522"/>
      <c r="AM103" s="522"/>
      <c r="AN103" s="522"/>
      <c r="AO103" s="522"/>
      <c r="AP103" s="522"/>
      <c r="AQ103" s="522"/>
      <c r="AR103" s="522"/>
      <c r="AS103" s="522"/>
      <c r="AT103" s="522"/>
      <c r="AU103" s="522"/>
      <c r="AV103" s="522"/>
      <c r="AW103" s="522"/>
      <c r="AX103" s="522"/>
      <c r="AY103" s="522"/>
      <c r="AZ103" s="522"/>
      <c r="BA103" s="522"/>
      <c r="BB103" s="522"/>
      <c r="BC103" s="522"/>
      <c r="BD103" s="522"/>
      <c r="BE103" s="522"/>
      <c r="BG103" s="391"/>
      <c r="BI103" s="521"/>
      <c r="BJ103" s="521"/>
      <c r="BK103" s="521"/>
      <c r="BL103" s="521"/>
      <c r="BM103" s="521"/>
      <c r="BN103" s="521"/>
      <c r="BO103" s="521"/>
      <c r="BP103" s="521"/>
      <c r="BQ103" s="521"/>
      <c r="BR103" s="522"/>
      <c r="BS103" s="522"/>
      <c r="BT103" s="522"/>
      <c r="BU103" s="522"/>
      <c r="BV103" s="522"/>
      <c r="BW103" s="522"/>
      <c r="BX103" s="522"/>
      <c r="BY103" s="522"/>
      <c r="BZ103" s="522"/>
      <c r="CA103" s="522"/>
      <c r="CB103" s="522"/>
      <c r="CC103" s="522"/>
      <c r="CD103" s="522"/>
      <c r="CE103" s="522"/>
      <c r="CF103" s="522"/>
      <c r="CG103" s="522"/>
      <c r="CH103" s="522"/>
      <c r="CI103" s="522"/>
      <c r="CJ103" s="522"/>
      <c r="CK103" s="522"/>
      <c r="CL103" s="522"/>
      <c r="CM103" s="522"/>
      <c r="CN103" s="522"/>
      <c r="CO103" s="522"/>
      <c r="CP103" s="522"/>
      <c r="CQ103" s="522"/>
      <c r="CR103" s="522"/>
      <c r="CS103"/>
      <c r="CT103" s="1218"/>
      <c r="CU103"/>
      <c r="CV103" s="521"/>
      <c r="CW103" s="521"/>
      <c r="CX103" s="521"/>
      <c r="CY103" s="521"/>
      <c r="CZ103" s="521"/>
      <c r="DA103" s="521"/>
      <c r="DB103" s="521"/>
      <c r="DC103" s="521"/>
      <c r="DD103" s="521"/>
      <c r="DE103" s="522"/>
      <c r="DF103" s="522"/>
      <c r="DG103" s="522"/>
      <c r="DH103" s="522"/>
      <c r="DI103" s="522"/>
      <c r="DJ103" s="522"/>
      <c r="DK103" s="522"/>
      <c r="DL103" s="522"/>
      <c r="DM103" s="522"/>
      <c r="DN103" s="522"/>
      <c r="DO103" s="522"/>
      <c r="DP103" s="522"/>
      <c r="DQ103" s="522"/>
      <c r="DR103" s="522"/>
      <c r="DS103" s="522"/>
      <c r="DT103" s="522"/>
      <c r="DU103" s="522"/>
      <c r="DV103" s="522"/>
      <c r="DW103" s="522"/>
      <c r="DX103" s="522"/>
      <c r="DY103" s="522"/>
      <c r="DZ103" s="522"/>
      <c r="EA103" s="522"/>
      <c r="EB103" s="522"/>
      <c r="EC103" s="522"/>
      <c r="ED103" s="522"/>
      <c r="EE103" s="522"/>
    </row>
    <row r="104" spans="2:135" s="524" customFormat="1" ht="12.95" customHeight="1">
      <c r="B104" s="520"/>
      <c r="C104" s="521"/>
      <c r="D104" s="521"/>
      <c r="E104" s="521"/>
      <c r="F104" s="521"/>
      <c r="G104" s="521"/>
      <c r="H104" s="521"/>
      <c r="I104" s="521"/>
      <c r="J104" s="521"/>
      <c r="K104" s="521"/>
      <c r="L104" s="521"/>
      <c r="M104" s="521"/>
      <c r="N104" s="521"/>
      <c r="O104" s="521"/>
      <c r="P104" s="521"/>
      <c r="Q104" s="521"/>
      <c r="R104" s="521"/>
      <c r="S104" s="521"/>
      <c r="T104" s="521"/>
      <c r="U104" s="521"/>
      <c r="V104" s="521"/>
      <c r="W104" s="521"/>
      <c r="X104" s="521"/>
      <c r="Y104" s="521"/>
      <c r="Z104" s="521"/>
      <c r="AA104" s="521"/>
      <c r="AB104" s="521"/>
      <c r="AC104" s="521"/>
      <c r="AD104" s="521"/>
      <c r="AE104" s="522"/>
      <c r="AF104" s="522"/>
      <c r="AG104" s="522"/>
      <c r="AH104" s="522"/>
      <c r="AI104" s="522"/>
      <c r="AJ104" s="522"/>
      <c r="AK104" s="522"/>
      <c r="AL104" s="522"/>
      <c r="AM104" s="522"/>
      <c r="AN104" s="522"/>
      <c r="AO104" s="522"/>
      <c r="AP104" s="522"/>
      <c r="AQ104" s="522"/>
      <c r="AR104" s="522"/>
      <c r="AS104" s="522"/>
      <c r="AT104" s="522"/>
      <c r="AU104" s="522"/>
      <c r="AV104" s="522"/>
      <c r="AW104" s="522"/>
      <c r="AX104" s="522"/>
      <c r="AY104" s="522"/>
      <c r="AZ104" s="522"/>
      <c r="BA104" s="522"/>
      <c r="BB104" s="522"/>
      <c r="BC104" s="522"/>
      <c r="BD104" s="522"/>
      <c r="BE104" s="522"/>
      <c r="BG104" s="391"/>
      <c r="BI104" s="521"/>
      <c r="BJ104" s="521"/>
      <c r="BK104" s="521"/>
      <c r="BL104" s="521"/>
      <c r="BM104" s="521"/>
      <c r="BN104" s="521"/>
      <c r="BO104" s="521"/>
      <c r="BP104" s="521"/>
      <c r="BQ104" s="521"/>
      <c r="BR104" s="522"/>
      <c r="BS104" s="522"/>
      <c r="BT104" s="522"/>
      <c r="BU104" s="522"/>
      <c r="BV104" s="522"/>
      <c r="BW104" s="522"/>
      <c r="BX104" s="522"/>
      <c r="BY104" s="522"/>
      <c r="BZ104" s="522"/>
      <c r="CA104" s="522"/>
      <c r="CB104" s="522"/>
      <c r="CC104" s="522"/>
      <c r="CD104" s="522"/>
      <c r="CE104" s="522"/>
      <c r="CF104" s="522"/>
      <c r="CG104" s="522"/>
      <c r="CH104" s="522"/>
      <c r="CI104" s="522"/>
      <c r="CJ104" s="522"/>
      <c r="CK104" s="522"/>
      <c r="CL104" s="522"/>
      <c r="CM104" s="522"/>
      <c r="CN104" s="522"/>
      <c r="CO104" s="522"/>
      <c r="CP104" s="522"/>
      <c r="CQ104" s="522"/>
      <c r="CR104" s="522"/>
      <c r="CS104"/>
      <c r="CT104" s="1218"/>
      <c r="CU104"/>
      <c r="CV104" s="521"/>
      <c r="CW104" s="521"/>
      <c r="CX104" s="521"/>
      <c r="CY104" s="521"/>
      <c r="CZ104" s="521"/>
      <c r="DA104" s="521"/>
      <c r="DB104" s="521"/>
      <c r="DC104" s="521"/>
      <c r="DD104" s="521"/>
      <c r="DE104" s="522"/>
      <c r="DF104" s="522"/>
      <c r="DG104" s="522"/>
      <c r="DH104" s="522"/>
      <c r="DI104" s="522"/>
      <c r="DJ104" s="522"/>
      <c r="DK104" s="522"/>
      <c r="DL104" s="522"/>
      <c r="DM104" s="522"/>
      <c r="DN104" s="522"/>
      <c r="DO104" s="522"/>
      <c r="DP104" s="522"/>
      <c r="DQ104" s="522"/>
      <c r="DR104" s="522"/>
      <c r="DS104" s="522"/>
      <c r="DT104" s="522"/>
      <c r="DU104" s="522"/>
      <c r="DV104" s="522"/>
      <c r="DW104" s="522"/>
      <c r="DX104" s="522"/>
      <c r="DY104" s="522"/>
      <c r="DZ104" s="522"/>
      <c r="EA104" s="522"/>
      <c r="EB104" s="522"/>
      <c r="EC104" s="522"/>
      <c r="ED104" s="522"/>
      <c r="EE104" s="522"/>
    </row>
    <row r="105" spans="2:135" s="524" customFormat="1" ht="12.95" customHeight="1">
      <c r="B105" s="520"/>
      <c r="C105" s="521"/>
      <c r="D105" s="521"/>
      <c r="E105" s="521"/>
      <c r="F105" s="521"/>
      <c r="G105" s="521"/>
      <c r="H105" s="521"/>
      <c r="I105" s="521"/>
      <c r="J105" s="521"/>
      <c r="K105" s="521"/>
      <c r="L105" s="521"/>
      <c r="M105" s="521"/>
      <c r="N105" s="521"/>
      <c r="O105" s="521"/>
      <c r="P105" s="521"/>
      <c r="Q105" s="521"/>
      <c r="R105" s="521"/>
      <c r="S105" s="521"/>
      <c r="T105" s="521"/>
      <c r="U105" s="521"/>
      <c r="V105" s="521"/>
      <c r="W105" s="521"/>
      <c r="X105" s="521"/>
      <c r="Y105" s="521"/>
      <c r="Z105" s="521"/>
      <c r="AA105" s="521"/>
      <c r="AB105" s="521"/>
      <c r="AC105" s="521"/>
      <c r="AD105" s="521"/>
      <c r="AE105" s="522"/>
      <c r="AF105" s="522"/>
      <c r="AG105" s="522"/>
      <c r="AH105" s="522"/>
      <c r="AI105" s="522"/>
      <c r="AJ105" s="522"/>
      <c r="AK105" s="522"/>
      <c r="AL105" s="522"/>
      <c r="AM105" s="522"/>
      <c r="AN105" s="522"/>
      <c r="AO105" s="522"/>
      <c r="AP105" s="522"/>
      <c r="AQ105" s="522"/>
      <c r="AR105" s="522"/>
      <c r="AS105" s="522"/>
      <c r="AT105" s="522"/>
      <c r="AU105" s="522"/>
      <c r="AV105" s="522"/>
      <c r="AW105" s="522"/>
      <c r="AX105" s="522"/>
      <c r="AY105" s="522"/>
      <c r="AZ105" s="522"/>
      <c r="BA105" s="522"/>
      <c r="BB105" s="522"/>
      <c r="BC105" s="522"/>
      <c r="BD105" s="522"/>
      <c r="BE105" s="522"/>
      <c r="BG105" s="391"/>
      <c r="BI105" s="521"/>
      <c r="BJ105" s="521"/>
      <c r="BK105" s="521"/>
      <c r="BL105" s="521"/>
      <c r="BM105" s="521"/>
      <c r="BN105" s="521"/>
      <c r="BO105" s="521"/>
      <c r="BP105" s="521"/>
      <c r="BQ105" s="521"/>
      <c r="BR105" s="522"/>
      <c r="BS105" s="522"/>
      <c r="BT105" s="522"/>
      <c r="BU105" s="522"/>
      <c r="BV105" s="522"/>
      <c r="BW105" s="522"/>
      <c r="BX105" s="522"/>
      <c r="BY105" s="522"/>
      <c r="BZ105" s="522"/>
      <c r="CA105" s="522"/>
      <c r="CB105" s="522"/>
      <c r="CC105" s="522"/>
      <c r="CD105" s="522"/>
      <c r="CE105" s="522"/>
      <c r="CF105" s="522"/>
      <c r="CG105" s="522"/>
      <c r="CH105" s="522"/>
      <c r="CI105" s="522"/>
      <c r="CJ105" s="522"/>
      <c r="CK105" s="522"/>
      <c r="CL105" s="522"/>
      <c r="CM105" s="522"/>
      <c r="CN105" s="522"/>
      <c r="CO105" s="522"/>
      <c r="CP105" s="522"/>
      <c r="CQ105" s="522"/>
      <c r="CR105" s="522"/>
      <c r="CS105"/>
      <c r="CT105" s="1218"/>
      <c r="CU105"/>
      <c r="CV105" s="521"/>
      <c r="CW105" s="521"/>
      <c r="CX105" s="521"/>
      <c r="CY105" s="521"/>
      <c r="CZ105" s="521"/>
      <c r="DA105" s="521"/>
      <c r="DB105" s="521"/>
      <c r="DC105" s="521"/>
      <c r="DD105" s="521"/>
      <c r="DE105" s="522"/>
      <c r="DF105" s="522"/>
      <c r="DG105" s="522"/>
      <c r="DH105" s="522"/>
      <c r="DI105" s="522"/>
      <c r="DJ105" s="522"/>
      <c r="DK105" s="522"/>
      <c r="DL105" s="522"/>
      <c r="DM105" s="522"/>
      <c r="DN105" s="522"/>
      <c r="DO105" s="522"/>
      <c r="DP105" s="522"/>
      <c r="DQ105" s="522"/>
      <c r="DR105" s="522"/>
      <c r="DS105" s="522"/>
      <c r="DT105" s="522"/>
      <c r="DU105" s="522"/>
      <c r="DV105" s="522"/>
      <c r="DW105" s="522"/>
      <c r="DX105" s="522"/>
      <c r="DY105" s="522"/>
      <c r="DZ105" s="522"/>
      <c r="EA105" s="522"/>
      <c r="EB105" s="522"/>
      <c r="EC105" s="522"/>
      <c r="ED105" s="522"/>
      <c r="EE105" s="522"/>
    </row>
    <row r="106" spans="2:135" s="524" customFormat="1" ht="12.95" customHeight="1">
      <c r="B106" s="520"/>
      <c r="C106" s="521"/>
      <c r="D106" s="521"/>
      <c r="E106" s="521"/>
      <c r="F106" s="521"/>
      <c r="G106" s="521"/>
      <c r="H106" s="521"/>
      <c r="I106" s="521"/>
      <c r="J106" s="521"/>
      <c r="K106" s="521"/>
      <c r="L106" s="521"/>
      <c r="M106" s="521"/>
      <c r="N106" s="521"/>
      <c r="O106" s="521"/>
      <c r="P106" s="521"/>
      <c r="Q106" s="521"/>
      <c r="R106" s="521"/>
      <c r="S106" s="521"/>
      <c r="T106" s="521"/>
      <c r="U106" s="521"/>
      <c r="V106" s="521"/>
      <c r="W106" s="521"/>
      <c r="X106" s="521"/>
      <c r="Y106" s="521"/>
      <c r="Z106" s="521"/>
      <c r="AA106" s="521"/>
      <c r="AB106" s="521"/>
      <c r="AC106" s="521"/>
      <c r="AD106" s="521"/>
      <c r="AE106" s="522"/>
      <c r="AF106" s="522"/>
      <c r="AG106" s="522"/>
      <c r="AH106" s="522"/>
      <c r="AI106" s="522"/>
      <c r="AJ106" s="522"/>
      <c r="AK106" s="522"/>
      <c r="AL106" s="522"/>
      <c r="AM106" s="522"/>
      <c r="AN106" s="522"/>
      <c r="AO106" s="522"/>
      <c r="AP106" s="522"/>
      <c r="AQ106" s="522"/>
      <c r="AR106" s="522"/>
      <c r="AS106" s="522"/>
      <c r="AT106" s="522"/>
      <c r="AU106" s="522"/>
      <c r="AV106" s="522"/>
      <c r="AW106" s="522"/>
      <c r="AX106" s="522"/>
      <c r="AY106" s="522"/>
      <c r="AZ106" s="522"/>
      <c r="BA106" s="522"/>
      <c r="BB106" s="522"/>
      <c r="BC106" s="522"/>
      <c r="BD106" s="522"/>
      <c r="BE106" s="522"/>
      <c r="BG106" s="391"/>
      <c r="BI106" s="521"/>
      <c r="BJ106" s="521"/>
      <c r="BK106" s="521"/>
      <c r="BL106" s="521"/>
      <c r="BM106" s="521"/>
      <c r="BN106" s="521"/>
      <c r="BO106" s="521"/>
      <c r="BP106" s="521"/>
      <c r="BQ106" s="521"/>
      <c r="BR106" s="522"/>
      <c r="BS106" s="522"/>
      <c r="BT106" s="522"/>
      <c r="BU106" s="522"/>
      <c r="BV106" s="522"/>
      <c r="BW106" s="522"/>
      <c r="BX106" s="522"/>
      <c r="BY106" s="522"/>
      <c r="BZ106" s="522"/>
      <c r="CA106" s="522"/>
      <c r="CB106" s="522"/>
      <c r="CC106" s="522"/>
      <c r="CD106" s="522"/>
      <c r="CE106" s="522"/>
      <c r="CF106" s="522"/>
      <c r="CG106" s="522"/>
      <c r="CH106" s="522"/>
      <c r="CI106" s="522"/>
      <c r="CJ106" s="522"/>
      <c r="CK106" s="522"/>
      <c r="CL106" s="522"/>
      <c r="CM106" s="522"/>
      <c r="CN106" s="522"/>
      <c r="CO106" s="522"/>
      <c r="CP106" s="522"/>
      <c r="CQ106" s="522"/>
      <c r="CR106" s="522"/>
      <c r="CS106"/>
      <c r="CT106" s="1218"/>
      <c r="CU106"/>
      <c r="CV106" s="521"/>
      <c r="CW106" s="521"/>
      <c r="CX106" s="521"/>
      <c r="CY106" s="521"/>
      <c r="CZ106" s="521"/>
      <c r="DA106" s="521"/>
      <c r="DB106" s="521"/>
      <c r="DC106" s="521"/>
      <c r="DD106" s="521"/>
      <c r="DE106" s="522"/>
      <c r="DF106" s="522"/>
      <c r="DG106" s="522"/>
      <c r="DH106" s="522"/>
      <c r="DI106" s="522"/>
      <c r="DJ106" s="522"/>
      <c r="DK106" s="522"/>
      <c r="DL106" s="522"/>
      <c r="DM106" s="522"/>
      <c r="DN106" s="522"/>
      <c r="DO106" s="522"/>
      <c r="DP106" s="522"/>
      <c r="DQ106" s="522"/>
      <c r="DR106" s="522"/>
      <c r="DS106" s="522"/>
      <c r="DT106" s="522"/>
      <c r="DU106" s="522"/>
      <c r="DV106" s="522"/>
      <c r="DW106" s="522"/>
      <c r="DX106" s="522"/>
      <c r="DY106" s="522"/>
      <c r="DZ106" s="522"/>
      <c r="EA106" s="522"/>
      <c r="EB106" s="522"/>
      <c r="EC106" s="522"/>
      <c r="ED106" s="522"/>
      <c r="EE106" s="522"/>
    </row>
    <row r="107" spans="2:135" s="524" customFormat="1" ht="12.95" customHeight="1">
      <c r="B107" s="520"/>
      <c r="C107" s="521"/>
      <c r="D107" s="521"/>
      <c r="E107" s="521"/>
      <c r="F107" s="521"/>
      <c r="G107" s="521"/>
      <c r="H107" s="521"/>
      <c r="I107" s="521"/>
      <c r="J107" s="521"/>
      <c r="K107" s="521"/>
      <c r="L107" s="521"/>
      <c r="M107" s="521"/>
      <c r="N107" s="521"/>
      <c r="O107" s="521"/>
      <c r="P107" s="521"/>
      <c r="Q107" s="521"/>
      <c r="R107" s="521"/>
      <c r="S107" s="521"/>
      <c r="T107" s="521"/>
      <c r="U107" s="521"/>
      <c r="V107" s="521"/>
      <c r="W107" s="521"/>
      <c r="X107" s="521"/>
      <c r="Y107" s="521"/>
      <c r="Z107" s="521"/>
      <c r="AA107" s="521"/>
      <c r="AB107" s="521"/>
      <c r="AC107" s="521"/>
      <c r="AD107" s="521"/>
      <c r="AE107" s="522"/>
      <c r="AF107" s="522"/>
      <c r="AG107" s="522"/>
      <c r="AH107" s="522"/>
      <c r="AI107" s="522"/>
      <c r="AJ107" s="522"/>
      <c r="AK107" s="522"/>
      <c r="AL107" s="522"/>
      <c r="AM107" s="522"/>
      <c r="AN107" s="522"/>
      <c r="AO107" s="522"/>
      <c r="AP107" s="522"/>
      <c r="AQ107" s="522"/>
      <c r="AR107" s="522"/>
      <c r="AS107" s="522"/>
      <c r="AT107" s="522"/>
      <c r="AU107" s="522"/>
      <c r="AV107" s="522"/>
      <c r="AW107" s="522"/>
      <c r="AX107" s="522"/>
      <c r="AY107" s="522"/>
      <c r="AZ107" s="522"/>
      <c r="BA107" s="522"/>
      <c r="BB107" s="522"/>
      <c r="BC107" s="522"/>
      <c r="BD107" s="522"/>
      <c r="BE107" s="522"/>
      <c r="BG107" s="391"/>
      <c r="BI107" s="521"/>
      <c r="BJ107" s="521"/>
      <c r="BK107" s="521"/>
      <c r="BL107" s="521"/>
      <c r="BM107" s="521"/>
      <c r="BN107" s="521"/>
      <c r="BO107" s="521"/>
      <c r="BP107" s="521"/>
      <c r="BQ107" s="521"/>
      <c r="BR107" s="522"/>
      <c r="BS107" s="522"/>
      <c r="BT107" s="522"/>
      <c r="BU107" s="522"/>
      <c r="BV107" s="522"/>
      <c r="BW107" s="522"/>
      <c r="BX107" s="522"/>
      <c r="BY107" s="522"/>
      <c r="BZ107" s="522"/>
      <c r="CA107" s="522"/>
      <c r="CB107" s="522"/>
      <c r="CC107" s="522"/>
      <c r="CD107" s="522"/>
      <c r="CE107" s="522"/>
      <c r="CF107" s="522"/>
      <c r="CG107" s="522"/>
      <c r="CH107" s="522"/>
      <c r="CI107" s="522"/>
      <c r="CJ107" s="522"/>
      <c r="CK107" s="522"/>
      <c r="CL107" s="522"/>
      <c r="CM107" s="522"/>
      <c r="CN107" s="522"/>
      <c r="CO107" s="522"/>
      <c r="CP107" s="522"/>
      <c r="CQ107" s="522"/>
      <c r="CR107" s="522"/>
      <c r="CS107"/>
      <c r="CT107" s="1218"/>
      <c r="CU107"/>
      <c r="CV107" s="521"/>
      <c r="CW107" s="521"/>
      <c r="CX107" s="521"/>
      <c r="CY107" s="521"/>
      <c r="CZ107" s="521"/>
      <c r="DA107" s="521"/>
      <c r="DB107" s="521"/>
      <c r="DC107" s="521"/>
      <c r="DD107" s="521"/>
      <c r="DE107" s="522"/>
      <c r="DF107" s="522"/>
      <c r="DG107" s="522"/>
      <c r="DH107" s="522"/>
      <c r="DI107" s="522"/>
      <c r="DJ107" s="522"/>
      <c r="DK107" s="522"/>
      <c r="DL107" s="522"/>
      <c r="DM107" s="522"/>
      <c r="DN107" s="522"/>
      <c r="DO107" s="522"/>
      <c r="DP107" s="522"/>
      <c r="DQ107" s="522"/>
      <c r="DR107" s="522"/>
      <c r="DS107" s="522"/>
      <c r="DT107" s="522"/>
      <c r="DU107" s="522"/>
      <c r="DV107" s="522"/>
      <c r="DW107" s="522"/>
      <c r="DX107" s="522"/>
      <c r="DY107" s="522"/>
      <c r="DZ107" s="522"/>
      <c r="EA107" s="522"/>
      <c r="EB107" s="522"/>
      <c r="EC107" s="522"/>
      <c r="ED107" s="522"/>
      <c r="EE107" s="522"/>
    </row>
    <row r="108" spans="2:135" s="524" customFormat="1" ht="12.95" customHeight="1">
      <c r="B108" s="520"/>
      <c r="C108" s="521"/>
      <c r="D108" s="521"/>
      <c r="E108" s="521"/>
      <c r="F108" s="521"/>
      <c r="G108" s="521"/>
      <c r="H108" s="521"/>
      <c r="I108" s="521"/>
      <c r="J108" s="521"/>
      <c r="K108" s="521"/>
      <c r="L108" s="521"/>
      <c r="M108" s="521"/>
      <c r="N108" s="521"/>
      <c r="O108" s="521"/>
      <c r="P108" s="521"/>
      <c r="Q108" s="521"/>
      <c r="R108" s="521"/>
      <c r="S108" s="521"/>
      <c r="T108" s="521"/>
      <c r="U108" s="521"/>
      <c r="V108" s="521"/>
      <c r="W108" s="521"/>
      <c r="X108" s="521"/>
      <c r="Y108" s="521"/>
      <c r="Z108" s="521"/>
      <c r="AA108" s="521"/>
      <c r="AB108" s="521"/>
      <c r="AC108" s="521"/>
      <c r="AD108" s="521"/>
      <c r="AE108" s="522"/>
      <c r="AF108" s="522"/>
      <c r="AG108" s="522"/>
      <c r="AH108" s="522"/>
      <c r="AI108" s="522"/>
      <c r="AJ108" s="522"/>
      <c r="AK108" s="522"/>
      <c r="AL108" s="522"/>
      <c r="AM108" s="522"/>
      <c r="AN108" s="522"/>
      <c r="AO108" s="522"/>
      <c r="AP108" s="522"/>
      <c r="AQ108" s="522"/>
      <c r="AR108" s="522"/>
      <c r="AS108" s="522"/>
      <c r="AT108" s="522"/>
      <c r="AU108" s="522"/>
      <c r="AV108" s="522"/>
      <c r="AW108" s="522"/>
      <c r="AX108" s="522"/>
      <c r="AY108" s="522"/>
      <c r="AZ108" s="522"/>
      <c r="BA108" s="522"/>
      <c r="BB108" s="522"/>
      <c r="BC108" s="522"/>
      <c r="BD108" s="522"/>
      <c r="BE108" s="522"/>
      <c r="BG108" s="391"/>
      <c r="BI108" s="521"/>
      <c r="BJ108" s="521"/>
      <c r="BK108" s="521"/>
      <c r="BL108" s="521"/>
      <c r="BM108" s="521"/>
      <c r="BN108" s="521"/>
      <c r="BO108" s="521"/>
      <c r="BP108" s="521"/>
      <c r="BQ108" s="521"/>
      <c r="BR108" s="522"/>
      <c r="BS108" s="522"/>
      <c r="BT108" s="522"/>
      <c r="BU108" s="522"/>
      <c r="BV108" s="522"/>
      <c r="BW108" s="522"/>
      <c r="BX108" s="522"/>
      <c r="BY108" s="522"/>
      <c r="BZ108" s="522"/>
      <c r="CA108" s="522"/>
      <c r="CB108" s="522"/>
      <c r="CC108" s="522"/>
      <c r="CD108" s="522"/>
      <c r="CE108" s="522"/>
      <c r="CF108" s="522"/>
      <c r="CG108" s="522"/>
      <c r="CH108" s="522"/>
      <c r="CI108" s="522"/>
      <c r="CJ108" s="522"/>
      <c r="CK108" s="522"/>
      <c r="CL108" s="522"/>
      <c r="CM108" s="522"/>
      <c r="CN108" s="522"/>
      <c r="CO108" s="522"/>
      <c r="CP108" s="522"/>
      <c r="CQ108" s="522"/>
      <c r="CR108" s="522"/>
      <c r="CS108"/>
      <c r="CT108" s="1218"/>
      <c r="CU108"/>
      <c r="CV108" s="521"/>
      <c r="CW108" s="521"/>
      <c r="CX108" s="521"/>
      <c r="CY108" s="521"/>
      <c r="CZ108" s="521"/>
      <c r="DA108" s="521"/>
      <c r="DB108" s="521"/>
      <c r="DC108" s="521"/>
      <c r="DD108" s="521"/>
      <c r="DE108" s="522"/>
      <c r="DF108" s="522"/>
      <c r="DG108" s="522"/>
      <c r="DH108" s="522"/>
      <c r="DI108" s="522"/>
      <c r="DJ108" s="522"/>
      <c r="DK108" s="522"/>
      <c r="DL108" s="522"/>
      <c r="DM108" s="522"/>
      <c r="DN108" s="522"/>
      <c r="DO108" s="522"/>
      <c r="DP108" s="522"/>
      <c r="DQ108" s="522"/>
      <c r="DR108" s="522"/>
      <c r="DS108" s="522"/>
      <c r="DT108" s="522"/>
      <c r="DU108" s="522"/>
      <c r="DV108" s="522"/>
      <c r="DW108" s="522"/>
      <c r="DX108" s="522"/>
      <c r="DY108" s="522"/>
      <c r="DZ108" s="522"/>
      <c r="EA108" s="522"/>
      <c r="EB108" s="522"/>
      <c r="EC108" s="522"/>
      <c r="ED108" s="522"/>
      <c r="EE108" s="522"/>
    </row>
    <row r="109" spans="2:135" s="524" customFormat="1" ht="12.95" customHeight="1">
      <c r="B109" s="520"/>
      <c r="C109" s="521"/>
      <c r="D109" s="521"/>
      <c r="E109" s="521"/>
      <c r="F109" s="521"/>
      <c r="G109" s="521"/>
      <c r="H109" s="521"/>
      <c r="I109" s="521"/>
      <c r="J109" s="521"/>
      <c r="K109" s="521"/>
      <c r="L109" s="521"/>
      <c r="M109" s="521"/>
      <c r="N109" s="521"/>
      <c r="O109" s="521"/>
      <c r="P109" s="521"/>
      <c r="Q109" s="521"/>
      <c r="R109" s="521"/>
      <c r="S109" s="521"/>
      <c r="T109" s="521"/>
      <c r="U109" s="521"/>
      <c r="V109" s="521"/>
      <c r="W109" s="521"/>
      <c r="X109" s="521"/>
      <c r="Y109" s="521"/>
      <c r="Z109" s="521"/>
      <c r="AA109" s="521"/>
      <c r="AB109" s="521"/>
      <c r="AC109" s="521"/>
      <c r="AD109" s="521"/>
      <c r="AE109" s="522"/>
      <c r="AF109" s="522"/>
      <c r="AG109" s="522"/>
      <c r="AH109" s="522"/>
      <c r="AI109" s="522"/>
      <c r="AJ109" s="522"/>
      <c r="AK109" s="522"/>
      <c r="AL109" s="522"/>
      <c r="AM109" s="522"/>
      <c r="AN109" s="522"/>
      <c r="AO109" s="522"/>
      <c r="AP109" s="522"/>
      <c r="AQ109" s="522"/>
      <c r="AR109" s="522"/>
      <c r="AS109" s="522"/>
      <c r="AT109" s="522"/>
      <c r="AU109" s="522"/>
      <c r="AV109" s="522"/>
      <c r="AW109" s="522"/>
      <c r="AX109" s="522"/>
      <c r="AY109" s="522"/>
      <c r="AZ109" s="522"/>
      <c r="BA109" s="522"/>
      <c r="BB109" s="522"/>
      <c r="BC109" s="522"/>
      <c r="BD109" s="522"/>
      <c r="BE109" s="522"/>
      <c r="BG109" s="391"/>
      <c r="BI109" s="521"/>
      <c r="BJ109" s="521"/>
      <c r="BK109" s="521"/>
      <c r="BL109" s="521"/>
      <c r="BM109" s="521"/>
      <c r="BN109" s="521"/>
      <c r="BO109" s="521"/>
      <c r="BP109" s="521"/>
      <c r="BQ109" s="521"/>
      <c r="BR109" s="522"/>
      <c r="BS109" s="522"/>
      <c r="BT109" s="522"/>
      <c r="BU109" s="522"/>
      <c r="BV109" s="522"/>
      <c r="BW109" s="522"/>
      <c r="BX109" s="522"/>
      <c r="BY109" s="522"/>
      <c r="BZ109" s="522"/>
      <c r="CA109" s="522"/>
      <c r="CB109" s="522"/>
      <c r="CC109" s="522"/>
      <c r="CD109" s="522"/>
      <c r="CE109" s="522"/>
      <c r="CF109" s="522"/>
      <c r="CG109" s="522"/>
      <c r="CH109" s="522"/>
      <c r="CI109" s="522"/>
      <c r="CJ109" s="522"/>
      <c r="CK109" s="522"/>
      <c r="CL109" s="522"/>
      <c r="CM109" s="522"/>
      <c r="CN109" s="522"/>
      <c r="CO109" s="522"/>
      <c r="CP109" s="522"/>
      <c r="CQ109" s="522"/>
      <c r="CR109" s="522"/>
      <c r="CS109"/>
      <c r="CT109" s="1218"/>
      <c r="CU109"/>
      <c r="CV109" s="521"/>
      <c r="CW109" s="521"/>
      <c r="CX109" s="521"/>
      <c r="CY109" s="521"/>
      <c r="CZ109" s="521"/>
      <c r="DA109" s="521"/>
      <c r="DB109" s="521"/>
      <c r="DC109" s="521"/>
      <c r="DD109" s="521"/>
      <c r="DE109" s="522"/>
      <c r="DF109" s="522"/>
      <c r="DG109" s="522"/>
      <c r="DH109" s="522"/>
      <c r="DI109" s="522"/>
      <c r="DJ109" s="522"/>
      <c r="DK109" s="522"/>
      <c r="DL109" s="522"/>
      <c r="DM109" s="522"/>
      <c r="DN109" s="522"/>
      <c r="DO109" s="522"/>
      <c r="DP109" s="522"/>
      <c r="DQ109" s="522"/>
      <c r="DR109" s="522"/>
      <c r="DS109" s="522"/>
      <c r="DT109" s="522"/>
      <c r="DU109" s="522"/>
      <c r="DV109" s="522"/>
      <c r="DW109" s="522"/>
      <c r="DX109" s="522"/>
      <c r="DY109" s="522"/>
      <c r="DZ109" s="522"/>
      <c r="EA109" s="522"/>
      <c r="EB109" s="522"/>
      <c r="EC109" s="522"/>
      <c r="ED109" s="522"/>
      <c r="EE109" s="522"/>
    </row>
    <row r="110" spans="2:135" s="524" customFormat="1" ht="12.95" customHeight="1">
      <c r="B110" s="520"/>
      <c r="C110" s="521"/>
      <c r="D110" s="521"/>
      <c r="E110" s="521"/>
      <c r="F110" s="521"/>
      <c r="G110" s="521"/>
      <c r="H110" s="521"/>
      <c r="I110" s="521"/>
      <c r="J110" s="521"/>
      <c r="K110" s="521"/>
      <c r="L110" s="521"/>
      <c r="M110" s="521"/>
      <c r="N110" s="521"/>
      <c r="O110" s="521"/>
      <c r="P110" s="521"/>
      <c r="Q110" s="521"/>
      <c r="R110" s="521"/>
      <c r="S110" s="521"/>
      <c r="T110" s="521"/>
      <c r="U110" s="521"/>
      <c r="V110" s="521"/>
      <c r="W110" s="521"/>
      <c r="X110" s="521"/>
      <c r="Y110" s="521"/>
      <c r="Z110" s="521"/>
      <c r="AA110" s="521"/>
      <c r="AB110" s="521"/>
      <c r="AC110" s="521"/>
      <c r="AD110" s="521"/>
      <c r="AE110" s="522"/>
      <c r="AF110" s="522"/>
      <c r="AG110" s="522"/>
      <c r="AH110" s="522"/>
      <c r="AI110" s="522"/>
      <c r="AJ110" s="522"/>
      <c r="AK110" s="522"/>
      <c r="AL110" s="522"/>
      <c r="AM110" s="522"/>
      <c r="AN110" s="522"/>
      <c r="AO110" s="522"/>
      <c r="AP110" s="522"/>
      <c r="AQ110" s="522"/>
      <c r="AR110" s="522"/>
      <c r="AS110" s="522"/>
      <c r="AT110" s="522"/>
      <c r="AU110" s="522"/>
      <c r="AV110" s="522"/>
      <c r="AW110" s="522"/>
      <c r="AX110" s="522"/>
      <c r="AY110" s="522"/>
      <c r="AZ110" s="522"/>
      <c r="BA110" s="522"/>
      <c r="BB110" s="522"/>
      <c r="BC110" s="522"/>
      <c r="BD110" s="522"/>
      <c r="BE110" s="522"/>
      <c r="BG110" s="391"/>
      <c r="BI110" s="521"/>
      <c r="BJ110" s="521"/>
      <c r="BK110" s="521"/>
      <c r="BL110" s="521"/>
      <c r="BM110" s="521"/>
      <c r="BN110" s="521"/>
      <c r="BO110" s="521"/>
      <c r="BP110" s="521"/>
      <c r="BQ110" s="521"/>
      <c r="BR110" s="522"/>
      <c r="BS110" s="522"/>
      <c r="BT110" s="522"/>
      <c r="BU110" s="522"/>
      <c r="BV110" s="522"/>
      <c r="BW110" s="522"/>
      <c r="BX110" s="522"/>
      <c r="BY110" s="522"/>
      <c r="BZ110" s="522"/>
      <c r="CA110" s="522"/>
      <c r="CB110" s="522"/>
      <c r="CC110" s="522"/>
      <c r="CD110" s="522"/>
      <c r="CE110" s="522"/>
      <c r="CF110" s="522"/>
      <c r="CG110" s="522"/>
      <c r="CH110" s="522"/>
      <c r="CI110" s="522"/>
      <c r="CJ110" s="522"/>
      <c r="CK110" s="522"/>
      <c r="CL110" s="522"/>
      <c r="CM110" s="522"/>
      <c r="CN110" s="522"/>
      <c r="CO110" s="522"/>
      <c r="CP110" s="522"/>
      <c r="CQ110" s="522"/>
      <c r="CR110" s="522"/>
      <c r="CS110"/>
      <c r="CT110" s="1218"/>
      <c r="CU110"/>
      <c r="CV110" s="521"/>
      <c r="CW110" s="521"/>
      <c r="CX110" s="521"/>
      <c r="CY110" s="521"/>
      <c r="CZ110" s="521"/>
      <c r="DA110" s="521"/>
      <c r="DB110" s="521"/>
      <c r="DC110" s="521"/>
      <c r="DD110" s="521"/>
      <c r="DE110" s="522"/>
      <c r="DF110" s="522"/>
      <c r="DG110" s="522"/>
      <c r="DH110" s="522"/>
      <c r="DI110" s="522"/>
      <c r="DJ110" s="522"/>
      <c r="DK110" s="522"/>
      <c r="DL110" s="522"/>
      <c r="DM110" s="522"/>
      <c r="DN110" s="522"/>
      <c r="DO110" s="522"/>
      <c r="DP110" s="522"/>
      <c r="DQ110" s="522"/>
      <c r="DR110" s="522"/>
      <c r="DS110" s="522"/>
      <c r="DT110" s="522"/>
      <c r="DU110" s="522"/>
      <c r="DV110" s="522"/>
      <c r="DW110" s="522"/>
      <c r="DX110" s="522"/>
      <c r="DY110" s="522"/>
      <c r="DZ110" s="522"/>
      <c r="EA110" s="522"/>
      <c r="EB110" s="522"/>
      <c r="EC110" s="522"/>
      <c r="ED110" s="522"/>
      <c r="EE110" s="522"/>
    </row>
    <row r="111" spans="2:135" s="524" customFormat="1" ht="12.95" customHeight="1">
      <c r="B111" s="520"/>
      <c r="C111" s="521"/>
      <c r="D111" s="521"/>
      <c r="E111" s="521"/>
      <c r="F111" s="521"/>
      <c r="G111" s="521"/>
      <c r="H111" s="521"/>
      <c r="I111" s="521"/>
      <c r="J111" s="521"/>
      <c r="K111" s="521"/>
      <c r="L111" s="521"/>
      <c r="M111" s="521"/>
      <c r="N111" s="521"/>
      <c r="O111" s="521"/>
      <c r="P111" s="521"/>
      <c r="Q111" s="521"/>
      <c r="R111" s="521"/>
      <c r="S111" s="521"/>
      <c r="T111" s="521"/>
      <c r="U111" s="521"/>
      <c r="V111" s="521"/>
      <c r="W111" s="521"/>
      <c r="X111" s="521"/>
      <c r="Y111" s="521"/>
      <c r="Z111" s="521"/>
      <c r="AA111" s="521"/>
      <c r="AB111" s="521"/>
      <c r="AC111" s="521"/>
      <c r="AD111" s="521"/>
      <c r="AE111" s="522"/>
      <c r="AF111" s="522"/>
      <c r="AG111" s="522"/>
      <c r="AH111" s="522"/>
      <c r="AI111" s="522"/>
      <c r="AJ111" s="522"/>
      <c r="AK111" s="522"/>
      <c r="AL111" s="522"/>
      <c r="AM111" s="522"/>
      <c r="AN111" s="522"/>
      <c r="AO111" s="522"/>
      <c r="AP111" s="522"/>
      <c r="AQ111" s="522"/>
      <c r="AR111" s="522"/>
      <c r="AS111" s="522"/>
      <c r="AT111" s="522"/>
      <c r="AU111" s="522"/>
      <c r="AV111" s="522"/>
      <c r="AW111" s="522"/>
      <c r="AX111" s="522"/>
      <c r="AY111" s="522"/>
      <c r="AZ111" s="522"/>
      <c r="BA111" s="522"/>
      <c r="BB111" s="522"/>
      <c r="BC111" s="522"/>
      <c r="BD111" s="522"/>
      <c r="BE111" s="522"/>
      <c r="BG111" s="391"/>
      <c r="BI111" s="521"/>
      <c r="BJ111" s="521"/>
      <c r="BK111" s="521"/>
      <c r="BL111" s="521"/>
      <c r="BM111" s="521"/>
      <c r="BN111" s="521"/>
      <c r="BO111" s="521"/>
      <c r="BP111" s="521"/>
      <c r="BQ111" s="521"/>
      <c r="BR111" s="522"/>
      <c r="BS111" s="522"/>
      <c r="BT111" s="522"/>
      <c r="BU111" s="522"/>
      <c r="BV111" s="522"/>
      <c r="BW111" s="522"/>
      <c r="BX111" s="522"/>
      <c r="BY111" s="522"/>
      <c r="BZ111" s="522"/>
      <c r="CA111" s="522"/>
      <c r="CB111" s="522"/>
      <c r="CC111" s="522"/>
      <c r="CD111" s="522"/>
      <c r="CE111" s="522"/>
      <c r="CF111" s="522"/>
      <c r="CG111" s="522"/>
      <c r="CH111" s="522"/>
      <c r="CI111" s="522"/>
      <c r="CJ111" s="522"/>
      <c r="CK111" s="522"/>
      <c r="CL111" s="522"/>
      <c r="CM111" s="522"/>
      <c r="CN111" s="522"/>
      <c r="CO111" s="522"/>
      <c r="CP111" s="522"/>
      <c r="CQ111" s="522"/>
      <c r="CR111" s="522"/>
      <c r="CS111"/>
      <c r="CT111" s="1218"/>
      <c r="CU111"/>
      <c r="CV111" s="521"/>
      <c r="CW111" s="521"/>
      <c r="CX111" s="521"/>
      <c r="CY111" s="521"/>
      <c r="CZ111" s="521"/>
      <c r="DA111" s="521"/>
      <c r="DB111" s="521"/>
      <c r="DC111" s="521"/>
      <c r="DD111" s="521"/>
      <c r="DE111" s="522"/>
      <c r="DF111" s="522"/>
      <c r="DG111" s="522"/>
      <c r="DH111" s="522"/>
      <c r="DI111" s="522"/>
      <c r="DJ111" s="522"/>
      <c r="DK111" s="522"/>
      <c r="DL111" s="522"/>
      <c r="DM111" s="522"/>
      <c r="DN111" s="522"/>
      <c r="DO111" s="522"/>
      <c r="DP111" s="522"/>
      <c r="DQ111" s="522"/>
      <c r="DR111" s="522"/>
      <c r="DS111" s="522"/>
      <c r="DT111" s="522"/>
      <c r="DU111" s="522"/>
      <c r="DV111" s="522"/>
      <c r="DW111" s="522"/>
      <c r="DX111" s="522"/>
      <c r="DY111" s="522"/>
      <c r="DZ111" s="522"/>
      <c r="EA111" s="522"/>
      <c r="EB111" s="522"/>
      <c r="EC111" s="522"/>
      <c r="ED111" s="522"/>
      <c r="EE111" s="522"/>
    </row>
    <row r="112" spans="2:135" s="524" customFormat="1" ht="12.95" customHeight="1">
      <c r="B112" s="520"/>
      <c r="C112" s="521"/>
      <c r="D112" s="521"/>
      <c r="E112" s="521"/>
      <c r="F112" s="521"/>
      <c r="G112" s="521"/>
      <c r="H112" s="521"/>
      <c r="I112" s="521"/>
      <c r="J112" s="521"/>
      <c r="K112" s="521"/>
      <c r="L112" s="521"/>
      <c r="M112" s="521"/>
      <c r="N112" s="521"/>
      <c r="O112" s="521"/>
      <c r="P112" s="521"/>
      <c r="Q112" s="521"/>
      <c r="R112" s="521"/>
      <c r="S112" s="521"/>
      <c r="T112" s="521"/>
      <c r="U112" s="521"/>
      <c r="V112" s="521"/>
      <c r="W112" s="521"/>
      <c r="X112" s="521"/>
      <c r="Y112" s="521"/>
      <c r="Z112" s="521"/>
      <c r="AA112" s="521"/>
      <c r="AB112" s="521"/>
      <c r="AC112" s="521"/>
      <c r="AD112" s="521"/>
      <c r="AE112" s="522"/>
      <c r="AF112" s="522"/>
      <c r="AG112" s="522"/>
      <c r="AH112" s="522"/>
      <c r="AI112" s="522"/>
      <c r="AJ112" s="522"/>
      <c r="AK112" s="522"/>
      <c r="AL112" s="522"/>
      <c r="AM112" s="522"/>
      <c r="AN112" s="522"/>
      <c r="AO112" s="522"/>
      <c r="AP112" s="522"/>
      <c r="AQ112" s="522"/>
      <c r="AR112" s="522"/>
      <c r="AS112" s="522"/>
      <c r="AT112" s="522"/>
      <c r="AU112" s="522"/>
      <c r="AV112" s="522"/>
      <c r="AW112" s="522"/>
      <c r="AX112" s="522"/>
      <c r="AY112" s="522"/>
      <c r="AZ112" s="522"/>
      <c r="BA112" s="522"/>
      <c r="BB112" s="522"/>
      <c r="BC112" s="522"/>
      <c r="BD112" s="522"/>
      <c r="BE112" s="522"/>
      <c r="BG112" s="391"/>
      <c r="BI112" s="521"/>
      <c r="BJ112" s="521"/>
      <c r="BK112" s="521"/>
      <c r="BL112" s="521"/>
      <c r="BM112" s="521"/>
      <c r="BN112" s="521"/>
      <c r="BO112" s="521"/>
      <c r="BP112" s="521"/>
      <c r="BQ112" s="521"/>
      <c r="BR112" s="522"/>
      <c r="BS112" s="522"/>
      <c r="BT112" s="522"/>
      <c r="BU112" s="522"/>
      <c r="BV112" s="522"/>
      <c r="BW112" s="522"/>
      <c r="BX112" s="522"/>
      <c r="BY112" s="522"/>
      <c r="BZ112" s="522"/>
      <c r="CA112" s="522"/>
      <c r="CB112" s="522"/>
      <c r="CC112" s="522"/>
      <c r="CD112" s="522"/>
      <c r="CE112" s="522"/>
      <c r="CF112" s="522"/>
      <c r="CG112" s="522"/>
      <c r="CH112" s="522"/>
      <c r="CI112" s="522"/>
      <c r="CJ112" s="522"/>
      <c r="CK112" s="522"/>
      <c r="CL112" s="522"/>
      <c r="CM112" s="522"/>
      <c r="CN112" s="522"/>
      <c r="CO112" s="522"/>
      <c r="CP112" s="522"/>
      <c r="CQ112" s="522"/>
      <c r="CR112" s="522"/>
      <c r="CS112"/>
      <c r="CT112" s="1218"/>
      <c r="CU112"/>
      <c r="CV112" s="521"/>
      <c r="CW112" s="521"/>
      <c r="CX112" s="521"/>
      <c r="CY112" s="521"/>
      <c r="CZ112" s="521"/>
      <c r="DA112" s="521"/>
      <c r="DB112" s="521"/>
      <c r="DC112" s="521"/>
      <c r="DD112" s="521"/>
      <c r="DE112" s="522"/>
      <c r="DF112" s="522"/>
      <c r="DG112" s="522"/>
      <c r="DH112" s="522"/>
      <c r="DI112" s="522"/>
      <c r="DJ112" s="522"/>
      <c r="DK112" s="522"/>
      <c r="DL112" s="522"/>
      <c r="DM112" s="522"/>
      <c r="DN112" s="522"/>
      <c r="DO112" s="522"/>
      <c r="DP112" s="522"/>
      <c r="DQ112" s="522"/>
      <c r="DR112" s="522"/>
      <c r="DS112" s="522"/>
      <c r="DT112" s="522"/>
      <c r="DU112" s="522"/>
      <c r="DV112" s="522"/>
      <c r="DW112" s="522"/>
      <c r="DX112" s="522"/>
      <c r="DY112" s="522"/>
      <c r="DZ112" s="522"/>
      <c r="EA112" s="522"/>
      <c r="EB112" s="522"/>
      <c r="EC112" s="522"/>
      <c r="ED112" s="522"/>
      <c r="EE112" s="522"/>
    </row>
    <row r="113" spans="2:135" s="524" customFormat="1" ht="12.95" customHeight="1">
      <c r="B113" s="520"/>
      <c r="C113" s="521"/>
      <c r="D113" s="521"/>
      <c r="E113" s="521"/>
      <c r="F113" s="521"/>
      <c r="G113" s="521"/>
      <c r="H113" s="521"/>
      <c r="I113" s="521"/>
      <c r="J113" s="521"/>
      <c r="K113" s="521"/>
      <c r="L113" s="521"/>
      <c r="M113" s="521"/>
      <c r="N113" s="521"/>
      <c r="O113" s="521"/>
      <c r="P113" s="521"/>
      <c r="Q113" s="521"/>
      <c r="R113" s="521"/>
      <c r="S113" s="521"/>
      <c r="T113" s="521"/>
      <c r="U113" s="521"/>
      <c r="V113" s="521"/>
      <c r="W113" s="521"/>
      <c r="X113" s="521"/>
      <c r="Y113" s="521"/>
      <c r="Z113" s="521"/>
      <c r="AA113" s="521"/>
      <c r="AB113" s="521"/>
      <c r="AC113" s="521"/>
      <c r="AD113" s="521"/>
      <c r="AE113" s="522"/>
      <c r="AF113" s="522"/>
      <c r="AG113" s="522"/>
      <c r="AH113" s="522"/>
      <c r="AI113" s="522"/>
      <c r="AJ113" s="522"/>
      <c r="AK113" s="522"/>
      <c r="AL113" s="522"/>
      <c r="AM113" s="522"/>
      <c r="AN113" s="522"/>
      <c r="AO113" s="522"/>
      <c r="AP113" s="522"/>
      <c r="AQ113" s="522"/>
      <c r="AR113" s="522"/>
      <c r="AS113" s="522"/>
      <c r="AT113" s="522"/>
      <c r="AU113" s="522"/>
      <c r="AV113" s="522"/>
      <c r="AW113" s="522"/>
      <c r="AX113" s="522"/>
      <c r="AY113" s="522"/>
      <c r="AZ113" s="522"/>
      <c r="BA113" s="522"/>
      <c r="BB113" s="522"/>
      <c r="BC113" s="522"/>
      <c r="BD113" s="522"/>
      <c r="BE113" s="522"/>
      <c r="BG113" s="391"/>
      <c r="BI113" s="521"/>
      <c r="BJ113" s="521"/>
      <c r="BK113" s="521"/>
      <c r="BL113" s="521"/>
      <c r="BM113" s="521"/>
      <c r="BN113" s="521"/>
      <c r="BO113" s="521"/>
      <c r="BP113" s="521"/>
      <c r="BQ113" s="521"/>
      <c r="BR113" s="522"/>
      <c r="BS113" s="522"/>
      <c r="BT113" s="522"/>
      <c r="BU113" s="522"/>
      <c r="BV113" s="522"/>
      <c r="BW113" s="522"/>
      <c r="BX113" s="522"/>
      <c r="BY113" s="522"/>
      <c r="BZ113" s="522"/>
      <c r="CA113" s="522"/>
      <c r="CB113" s="522"/>
      <c r="CC113" s="522"/>
      <c r="CD113" s="522"/>
      <c r="CE113" s="522"/>
      <c r="CF113" s="522"/>
      <c r="CG113" s="522"/>
      <c r="CH113" s="522"/>
      <c r="CI113" s="522"/>
      <c r="CJ113" s="522"/>
      <c r="CK113" s="522"/>
      <c r="CL113" s="522"/>
      <c r="CM113" s="522"/>
      <c r="CN113" s="522"/>
      <c r="CO113" s="522"/>
      <c r="CP113" s="522"/>
      <c r="CQ113" s="522"/>
      <c r="CR113" s="522"/>
      <c r="CS113"/>
      <c r="CT113" s="1218"/>
      <c r="CU113"/>
      <c r="CV113" s="521"/>
      <c r="CW113" s="521"/>
      <c r="CX113" s="521"/>
      <c r="CY113" s="521"/>
      <c r="CZ113" s="521"/>
      <c r="DA113" s="521"/>
      <c r="DB113" s="521"/>
      <c r="DC113" s="521"/>
      <c r="DD113" s="521"/>
      <c r="DE113" s="522"/>
      <c r="DF113" s="522"/>
      <c r="DG113" s="522"/>
      <c r="DH113" s="522"/>
      <c r="DI113" s="522"/>
      <c r="DJ113" s="522"/>
      <c r="DK113" s="522"/>
      <c r="DL113" s="522"/>
      <c r="DM113" s="522"/>
      <c r="DN113" s="522"/>
      <c r="DO113" s="522"/>
      <c r="DP113" s="522"/>
      <c r="DQ113" s="522"/>
      <c r="DR113" s="522"/>
      <c r="DS113" s="522"/>
      <c r="DT113" s="522"/>
      <c r="DU113" s="522"/>
      <c r="DV113" s="522"/>
      <c r="DW113" s="522"/>
      <c r="DX113" s="522"/>
      <c r="DY113" s="522"/>
      <c r="DZ113" s="522"/>
      <c r="EA113" s="522"/>
      <c r="EB113" s="522"/>
      <c r="EC113" s="522"/>
      <c r="ED113" s="522"/>
      <c r="EE113" s="522"/>
    </row>
    <row r="114" spans="2:135" s="524" customFormat="1" ht="12.95" customHeight="1">
      <c r="B114" s="520"/>
      <c r="C114" s="521"/>
      <c r="D114" s="521"/>
      <c r="E114" s="521"/>
      <c r="F114" s="521"/>
      <c r="G114" s="521"/>
      <c r="H114" s="521"/>
      <c r="I114" s="521"/>
      <c r="J114" s="521"/>
      <c r="K114" s="521"/>
      <c r="L114" s="521"/>
      <c r="M114" s="521"/>
      <c r="N114" s="521"/>
      <c r="O114" s="521"/>
      <c r="P114" s="521"/>
      <c r="Q114" s="521"/>
      <c r="R114" s="521"/>
      <c r="S114" s="521"/>
      <c r="T114" s="521"/>
      <c r="U114" s="521"/>
      <c r="V114" s="521"/>
      <c r="W114" s="521"/>
      <c r="X114" s="521"/>
      <c r="Y114" s="521"/>
      <c r="Z114" s="521"/>
      <c r="AA114" s="521"/>
      <c r="AB114" s="521"/>
      <c r="AC114" s="521"/>
      <c r="AD114" s="521"/>
      <c r="AE114" s="522"/>
      <c r="AF114" s="522"/>
      <c r="AG114" s="522"/>
      <c r="AH114" s="522"/>
      <c r="AI114" s="522"/>
      <c r="AJ114" s="522"/>
      <c r="AK114" s="522"/>
      <c r="AL114" s="522"/>
      <c r="AM114" s="522"/>
      <c r="AN114" s="522"/>
      <c r="AO114" s="522"/>
      <c r="AP114" s="522"/>
      <c r="AQ114" s="522"/>
      <c r="AR114" s="522"/>
      <c r="AS114" s="522"/>
      <c r="AT114" s="522"/>
      <c r="AU114" s="522"/>
      <c r="AV114" s="522"/>
      <c r="AW114" s="522"/>
      <c r="AX114" s="522"/>
      <c r="AY114" s="522"/>
      <c r="AZ114" s="522"/>
      <c r="BA114" s="522"/>
      <c r="BB114" s="522"/>
      <c r="BC114" s="522"/>
      <c r="BD114" s="522"/>
      <c r="BE114" s="522"/>
      <c r="BG114" s="391"/>
      <c r="BI114" s="521"/>
      <c r="BJ114" s="521"/>
      <c r="BK114" s="521"/>
      <c r="BL114" s="521"/>
      <c r="BM114" s="521"/>
      <c r="BN114" s="521"/>
      <c r="BO114" s="521"/>
      <c r="BP114" s="521"/>
      <c r="BQ114" s="521"/>
      <c r="BR114" s="522"/>
      <c r="BS114" s="522"/>
      <c r="BT114" s="522"/>
      <c r="BU114" s="522"/>
      <c r="BV114" s="522"/>
      <c r="BW114" s="522"/>
      <c r="BX114" s="522"/>
      <c r="BY114" s="522"/>
      <c r="BZ114" s="522"/>
      <c r="CA114" s="522"/>
      <c r="CB114" s="522"/>
      <c r="CC114" s="522"/>
      <c r="CD114" s="522"/>
      <c r="CE114" s="522"/>
      <c r="CF114" s="522"/>
      <c r="CG114" s="522"/>
      <c r="CH114" s="522"/>
      <c r="CI114" s="522"/>
      <c r="CJ114" s="522"/>
      <c r="CK114" s="522"/>
      <c r="CL114" s="522"/>
      <c r="CM114" s="522"/>
      <c r="CN114" s="522"/>
      <c r="CO114" s="522"/>
      <c r="CP114" s="522"/>
      <c r="CQ114" s="522"/>
      <c r="CR114" s="522"/>
      <c r="CS114"/>
      <c r="CT114" s="1218"/>
      <c r="CU114"/>
      <c r="CV114" s="521"/>
      <c r="CW114" s="521"/>
      <c r="CX114" s="521"/>
      <c r="CY114" s="521"/>
      <c r="CZ114" s="521"/>
      <c r="DA114" s="521"/>
      <c r="DB114" s="521"/>
      <c r="DC114" s="521"/>
      <c r="DD114" s="521"/>
      <c r="DE114" s="522"/>
      <c r="DF114" s="522"/>
      <c r="DG114" s="522"/>
      <c r="DH114" s="522"/>
      <c r="DI114" s="522"/>
      <c r="DJ114" s="522"/>
      <c r="DK114" s="522"/>
      <c r="DL114" s="522"/>
      <c r="DM114" s="522"/>
      <c r="DN114" s="522"/>
      <c r="DO114" s="522"/>
      <c r="DP114" s="522"/>
      <c r="DQ114" s="522"/>
      <c r="DR114" s="522"/>
      <c r="DS114" s="522"/>
      <c r="DT114" s="522"/>
      <c r="DU114" s="522"/>
      <c r="DV114" s="522"/>
      <c r="DW114" s="522"/>
      <c r="DX114" s="522"/>
      <c r="DY114" s="522"/>
      <c r="DZ114" s="522"/>
      <c r="EA114" s="522"/>
      <c r="EB114" s="522"/>
      <c r="EC114" s="522"/>
      <c r="ED114" s="522"/>
      <c r="EE114" s="522"/>
    </row>
    <row r="115" spans="2:135" s="524" customFormat="1" ht="12.95" customHeight="1">
      <c r="B115" s="520"/>
      <c r="C115" s="521"/>
      <c r="D115" s="521"/>
      <c r="E115" s="521"/>
      <c r="F115" s="521"/>
      <c r="G115" s="521"/>
      <c r="H115" s="521"/>
      <c r="I115" s="521"/>
      <c r="J115" s="521"/>
      <c r="K115" s="521"/>
      <c r="L115" s="521"/>
      <c r="M115" s="521"/>
      <c r="N115" s="521"/>
      <c r="O115" s="521"/>
      <c r="P115" s="521"/>
      <c r="Q115" s="521"/>
      <c r="R115" s="521"/>
      <c r="S115" s="521"/>
      <c r="T115" s="521"/>
      <c r="U115" s="521"/>
      <c r="V115" s="521"/>
      <c r="W115" s="521"/>
      <c r="X115" s="521"/>
      <c r="Y115" s="521"/>
      <c r="Z115" s="521"/>
      <c r="AA115" s="521"/>
      <c r="AB115" s="521"/>
      <c r="AC115" s="521"/>
      <c r="AD115" s="521"/>
      <c r="AE115" s="522"/>
      <c r="AF115" s="522"/>
      <c r="AG115" s="522"/>
      <c r="AH115" s="522"/>
      <c r="AI115" s="522"/>
      <c r="AJ115" s="522"/>
      <c r="AK115" s="522"/>
      <c r="AL115" s="522"/>
      <c r="AM115" s="522"/>
      <c r="AN115" s="522"/>
      <c r="AO115" s="522"/>
      <c r="AP115" s="522"/>
      <c r="AQ115" s="522"/>
      <c r="AR115" s="522"/>
      <c r="AS115" s="522"/>
      <c r="AT115" s="522"/>
      <c r="AU115" s="522"/>
      <c r="AV115" s="522"/>
      <c r="AW115" s="522"/>
      <c r="AX115" s="522"/>
      <c r="AY115" s="522"/>
      <c r="AZ115" s="522"/>
      <c r="BA115" s="522"/>
      <c r="BB115" s="522"/>
      <c r="BC115" s="522"/>
      <c r="BD115" s="522"/>
      <c r="BE115" s="522"/>
      <c r="BG115" s="391"/>
      <c r="BI115" s="521"/>
      <c r="BJ115" s="521"/>
      <c r="BK115" s="521"/>
      <c r="BL115" s="521"/>
      <c r="BM115" s="521"/>
      <c r="BN115" s="521"/>
      <c r="BO115" s="521"/>
      <c r="BP115" s="521"/>
      <c r="BQ115" s="521"/>
      <c r="BR115" s="522"/>
      <c r="BS115" s="522"/>
      <c r="BT115" s="522"/>
      <c r="BU115" s="522"/>
      <c r="BV115" s="522"/>
      <c r="BW115" s="522"/>
      <c r="BX115" s="522"/>
      <c r="BY115" s="522"/>
      <c r="BZ115" s="522"/>
      <c r="CA115" s="522"/>
      <c r="CB115" s="522"/>
      <c r="CC115" s="522"/>
      <c r="CD115" s="522"/>
      <c r="CE115" s="522"/>
      <c r="CF115" s="522"/>
      <c r="CG115" s="522"/>
      <c r="CH115" s="522"/>
      <c r="CI115" s="522"/>
      <c r="CJ115" s="522"/>
      <c r="CK115" s="522"/>
      <c r="CL115" s="522"/>
      <c r="CM115" s="522"/>
      <c r="CN115" s="522"/>
      <c r="CO115" s="522"/>
      <c r="CP115" s="522"/>
      <c r="CQ115" s="522"/>
      <c r="CR115" s="522"/>
      <c r="CS115"/>
      <c r="CT115" s="1218"/>
      <c r="CU115"/>
      <c r="CV115" s="521"/>
      <c r="CW115" s="521"/>
      <c r="CX115" s="521"/>
      <c r="CY115" s="521"/>
      <c r="CZ115" s="521"/>
      <c r="DA115" s="521"/>
      <c r="DB115" s="521"/>
      <c r="DC115" s="521"/>
      <c r="DD115" s="521"/>
      <c r="DE115" s="522"/>
      <c r="DF115" s="522"/>
      <c r="DG115" s="522"/>
      <c r="DH115" s="522"/>
      <c r="DI115" s="522"/>
      <c r="DJ115" s="522"/>
      <c r="DK115" s="522"/>
      <c r="DL115" s="522"/>
      <c r="DM115" s="522"/>
      <c r="DN115" s="522"/>
      <c r="DO115" s="522"/>
      <c r="DP115" s="522"/>
      <c r="DQ115" s="522"/>
      <c r="DR115" s="522"/>
      <c r="DS115" s="522"/>
      <c r="DT115" s="522"/>
      <c r="DU115" s="522"/>
      <c r="DV115" s="522"/>
      <c r="DW115" s="522"/>
      <c r="DX115" s="522"/>
      <c r="DY115" s="522"/>
      <c r="DZ115" s="522"/>
      <c r="EA115" s="522"/>
      <c r="EB115" s="522"/>
      <c r="EC115" s="522"/>
      <c r="ED115" s="522"/>
      <c r="EE115" s="522"/>
    </row>
    <row r="116" spans="2:135" s="524" customFormat="1" ht="12.95" customHeight="1">
      <c r="B116" s="520"/>
      <c r="C116" s="521"/>
      <c r="D116" s="521"/>
      <c r="E116" s="521"/>
      <c r="F116" s="521"/>
      <c r="G116" s="521"/>
      <c r="H116" s="521"/>
      <c r="I116" s="521"/>
      <c r="J116" s="521"/>
      <c r="K116" s="521"/>
      <c r="L116" s="521"/>
      <c r="M116" s="521"/>
      <c r="N116" s="521"/>
      <c r="O116" s="521"/>
      <c r="P116" s="521"/>
      <c r="Q116" s="521"/>
      <c r="R116" s="521"/>
      <c r="S116" s="521"/>
      <c r="T116" s="521"/>
      <c r="U116" s="521"/>
      <c r="V116" s="521"/>
      <c r="W116" s="521"/>
      <c r="X116" s="521"/>
      <c r="Y116" s="521"/>
      <c r="Z116" s="521"/>
      <c r="AA116" s="521"/>
      <c r="AB116" s="521"/>
      <c r="AC116" s="521"/>
      <c r="AD116" s="521"/>
      <c r="AE116" s="522"/>
      <c r="AF116" s="522"/>
      <c r="AG116" s="522"/>
      <c r="AH116" s="522"/>
      <c r="AI116" s="522"/>
      <c r="AJ116" s="522"/>
      <c r="AK116" s="522"/>
      <c r="AL116" s="522"/>
      <c r="AM116" s="522"/>
      <c r="AN116" s="522"/>
      <c r="AO116" s="522"/>
      <c r="AP116" s="522"/>
      <c r="AQ116" s="522"/>
      <c r="AR116" s="522"/>
      <c r="AS116" s="522"/>
      <c r="AT116" s="522"/>
      <c r="AU116" s="522"/>
      <c r="AV116" s="522"/>
      <c r="AW116" s="522"/>
      <c r="AX116" s="522"/>
      <c r="AY116" s="522"/>
      <c r="AZ116" s="522"/>
      <c r="BA116" s="522"/>
      <c r="BB116" s="522"/>
      <c r="BC116" s="522"/>
      <c r="BD116" s="522"/>
      <c r="BE116" s="522"/>
      <c r="BG116" s="391"/>
      <c r="BI116" s="521"/>
      <c r="BJ116" s="521"/>
      <c r="BK116" s="521"/>
      <c r="BL116" s="521"/>
      <c r="BM116" s="521"/>
      <c r="BN116" s="521"/>
      <c r="BO116" s="521"/>
      <c r="BP116" s="521"/>
      <c r="BQ116" s="521"/>
      <c r="BR116" s="522"/>
      <c r="BS116" s="522"/>
      <c r="BT116" s="522"/>
      <c r="BU116" s="522"/>
      <c r="BV116" s="522"/>
      <c r="BW116" s="522"/>
      <c r="BX116" s="522"/>
      <c r="BY116" s="522"/>
      <c r="BZ116" s="522"/>
      <c r="CA116" s="522"/>
      <c r="CB116" s="522"/>
      <c r="CC116" s="522"/>
      <c r="CD116" s="522"/>
      <c r="CE116" s="522"/>
      <c r="CF116" s="522"/>
      <c r="CG116" s="522"/>
      <c r="CH116" s="522"/>
      <c r="CI116" s="522"/>
      <c r="CJ116" s="522"/>
      <c r="CK116" s="522"/>
      <c r="CL116" s="522"/>
      <c r="CM116" s="522"/>
      <c r="CN116" s="522"/>
      <c r="CO116" s="522"/>
      <c r="CP116" s="522"/>
      <c r="CQ116" s="522"/>
      <c r="CR116" s="522"/>
      <c r="CS116"/>
      <c r="CT116" s="1218"/>
      <c r="CU116"/>
      <c r="CV116" s="521"/>
      <c r="CW116" s="521"/>
      <c r="CX116" s="521"/>
      <c r="CY116" s="521"/>
      <c r="CZ116" s="521"/>
      <c r="DA116" s="521"/>
      <c r="DB116" s="521"/>
      <c r="DC116" s="521"/>
      <c r="DD116" s="521"/>
      <c r="DE116" s="522"/>
      <c r="DF116" s="522"/>
      <c r="DG116" s="522"/>
      <c r="DH116" s="522"/>
      <c r="DI116" s="522"/>
      <c r="DJ116" s="522"/>
      <c r="DK116" s="522"/>
      <c r="DL116" s="522"/>
      <c r="DM116" s="522"/>
      <c r="DN116" s="522"/>
      <c r="DO116" s="522"/>
      <c r="DP116" s="522"/>
      <c r="DQ116" s="522"/>
      <c r="DR116" s="522"/>
      <c r="DS116" s="522"/>
      <c r="DT116" s="522"/>
      <c r="DU116" s="522"/>
      <c r="DV116" s="522"/>
      <c r="DW116" s="522"/>
      <c r="DX116" s="522"/>
      <c r="DY116" s="522"/>
      <c r="DZ116" s="522"/>
      <c r="EA116" s="522"/>
      <c r="EB116" s="522"/>
      <c r="EC116" s="522"/>
      <c r="ED116" s="522"/>
      <c r="EE116" s="522"/>
    </row>
    <row r="117" spans="2:135" s="524" customFormat="1" ht="12.95" customHeight="1">
      <c r="B117" s="520"/>
      <c r="C117" s="521"/>
      <c r="D117" s="521"/>
      <c r="E117" s="521"/>
      <c r="F117" s="521"/>
      <c r="G117" s="521"/>
      <c r="H117" s="521"/>
      <c r="I117" s="521"/>
      <c r="J117" s="521"/>
      <c r="K117" s="521"/>
      <c r="L117" s="521"/>
      <c r="M117" s="521"/>
      <c r="N117" s="521"/>
      <c r="O117" s="521"/>
      <c r="P117" s="521"/>
      <c r="Q117" s="521"/>
      <c r="R117" s="521"/>
      <c r="S117" s="521"/>
      <c r="T117" s="521"/>
      <c r="U117" s="521"/>
      <c r="V117" s="521"/>
      <c r="W117" s="521"/>
      <c r="X117" s="521"/>
      <c r="Y117" s="521"/>
      <c r="Z117" s="521"/>
      <c r="AA117" s="521"/>
      <c r="AB117" s="521"/>
      <c r="AC117" s="521"/>
      <c r="AD117" s="521"/>
      <c r="AE117" s="522"/>
      <c r="AF117" s="522"/>
      <c r="AG117" s="522"/>
      <c r="AH117" s="522"/>
      <c r="AI117" s="522"/>
      <c r="AJ117" s="522"/>
      <c r="AK117" s="522"/>
      <c r="AL117" s="522"/>
      <c r="AM117" s="522"/>
      <c r="AN117" s="522"/>
      <c r="AO117" s="522"/>
      <c r="AP117" s="522"/>
      <c r="AQ117" s="522"/>
      <c r="AR117" s="522"/>
      <c r="AS117" s="522"/>
      <c r="AT117" s="522"/>
      <c r="AU117" s="522"/>
      <c r="AV117" s="522"/>
      <c r="AW117" s="522"/>
      <c r="AX117" s="522"/>
      <c r="AY117" s="522"/>
      <c r="AZ117" s="522"/>
      <c r="BA117" s="522"/>
      <c r="BB117" s="522"/>
      <c r="BC117" s="522"/>
      <c r="BD117" s="522"/>
      <c r="BE117" s="522"/>
      <c r="BG117" s="391"/>
      <c r="BI117" s="521"/>
      <c r="BJ117" s="521"/>
      <c r="BK117" s="521"/>
      <c r="BL117" s="521"/>
      <c r="BM117" s="521"/>
      <c r="BN117" s="521"/>
      <c r="BO117" s="521"/>
      <c r="BP117" s="521"/>
      <c r="BQ117" s="521"/>
      <c r="BR117" s="522"/>
      <c r="BS117" s="522"/>
      <c r="BT117" s="522"/>
      <c r="BU117" s="522"/>
      <c r="BV117" s="522"/>
      <c r="BW117" s="522"/>
      <c r="BX117" s="522"/>
      <c r="BY117" s="522"/>
      <c r="BZ117" s="522"/>
      <c r="CA117" s="522"/>
      <c r="CB117" s="522"/>
      <c r="CC117" s="522"/>
      <c r="CD117" s="522"/>
      <c r="CE117" s="522"/>
      <c r="CF117" s="522"/>
      <c r="CG117" s="522"/>
      <c r="CH117" s="522"/>
      <c r="CI117" s="522"/>
      <c r="CJ117" s="522"/>
      <c r="CK117" s="522"/>
      <c r="CL117" s="522"/>
      <c r="CM117" s="522"/>
      <c r="CN117" s="522"/>
      <c r="CO117" s="522"/>
      <c r="CP117" s="522"/>
      <c r="CQ117" s="522"/>
      <c r="CR117" s="522"/>
      <c r="CS117"/>
      <c r="CT117" s="1218"/>
      <c r="CU117"/>
      <c r="CV117" s="521"/>
      <c r="CW117" s="521"/>
      <c r="CX117" s="521"/>
      <c r="CY117" s="521"/>
      <c r="CZ117" s="521"/>
      <c r="DA117" s="521"/>
      <c r="DB117" s="521"/>
      <c r="DC117" s="521"/>
      <c r="DD117" s="521"/>
      <c r="DE117" s="522"/>
      <c r="DF117" s="522"/>
      <c r="DG117" s="522"/>
      <c r="DH117" s="522"/>
      <c r="DI117" s="522"/>
      <c r="DJ117" s="522"/>
      <c r="DK117" s="522"/>
      <c r="DL117" s="522"/>
      <c r="DM117" s="522"/>
      <c r="DN117" s="522"/>
      <c r="DO117" s="522"/>
      <c r="DP117" s="522"/>
      <c r="DQ117" s="522"/>
      <c r="DR117" s="522"/>
      <c r="DS117" s="522"/>
      <c r="DT117" s="522"/>
      <c r="DU117" s="522"/>
      <c r="DV117" s="522"/>
      <c r="DW117" s="522"/>
      <c r="DX117" s="522"/>
      <c r="DY117" s="522"/>
      <c r="DZ117" s="522"/>
      <c r="EA117" s="522"/>
      <c r="EB117" s="522"/>
      <c r="EC117" s="522"/>
      <c r="ED117" s="522"/>
      <c r="EE117" s="522"/>
    </row>
    <row r="118" spans="2:135" s="524" customFormat="1" ht="12.95" customHeight="1">
      <c r="B118" s="520"/>
      <c r="C118" s="521"/>
      <c r="D118" s="521"/>
      <c r="E118" s="521"/>
      <c r="F118" s="521"/>
      <c r="G118" s="521"/>
      <c r="H118" s="521"/>
      <c r="I118" s="521"/>
      <c r="J118" s="521"/>
      <c r="K118" s="521"/>
      <c r="L118" s="521"/>
      <c r="M118" s="521"/>
      <c r="N118" s="521"/>
      <c r="O118" s="521"/>
      <c r="P118" s="521"/>
      <c r="Q118" s="521"/>
      <c r="R118" s="521"/>
      <c r="S118" s="521"/>
      <c r="T118" s="521"/>
      <c r="U118" s="521"/>
      <c r="V118" s="521"/>
      <c r="W118" s="521"/>
      <c r="X118" s="521"/>
      <c r="Y118" s="521"/>
      <c r="Z118" s="521"/>
      <c r="AA118" s="521"/>
      <c r="AB118" s="521"/>
      <c r="AC118" s="521"/>
      <c r="AD118" s="521"/>
      <c r="AE118" s="522"/>
      <c r="AF118" s="522"/>
      <c r="AG118" s="522"/>
      <c r="AH118" s="522"/>
      <c r="AI118" s="522"/>
      <c r="AJ118" s="522"/>
      <c r="AK118" s="522"/>
      <c r="AL118" s="522"/>
      <c r="AM118" s="522"/>
      <c r="AN118" s="522"/>
      <c r="AO118" s="522"/>
      <c r="AP118" s="522"/>
      <c r="AQ118" s="522"/>
      <c r="AR118" s="522"/>
      <c r="AS118" s="522"/>
      <c r="AT118" s="522"/>
      <c r="AU118" s="522"/>
      <c r="AV118" s="522"/>
      <c r="AW118" s="522"/>
      <c r="AX118" s="522"/>
      <c r="AY118" s="522"/>
      <c r="AZ118" s="522"/>
      <c r="BA118" s="522"/>
      <c r="BB118" s="522"/>
      <c r="BC118" s="522"/>
      <c r="BD118" s="522"/>
      <c r="BE118" s="522"/>
      <c r="BG118" s="391"/>
      <c r="BI118" s="521"/>
      <c r="BJ118" s="521"/>
      <c r="BK118" s="521"/>
      <c r="BL118" s="521"/>
      <c r="BM118" s="521"/>
      <c r="BN118" s="521"/>
      <c r="BO118" s="521"/>
      <c r="BP118" s="521"/>
      <c r="BQ118" s="521"/>
      <c r="BR118" s="522"/>
      <c r="BS118" s="522"/>
      <c r="BT118" s="522"/>
      <c r="BU118" s="522"/>
      <c r="BV118" s="522"/>
      <c r="BW118" s="522"/>
      <c r="BX118" s="522"/>
      <c r="BY118" s="522"/>
      <c r="BZ118" s="522"/>
      <c r="CA118" s="522"/>
      <c r="CB118" s="522"/>
      <c r="CC118" s="522"/>
      <c r="CD118" s="522"/>
      <c r="CE118" s="522"/>
      <c r="CF118" s="522"/>
      <c r="CG118" s="522"/>
      <c r="CH118" s="522"/>
      <c r="CI118" s="522"/>
      <c r="CJ118" s="522"/>
      <c r="CK118" s="522"/>
      <c r="CL118" s="522"/>
      <c r="CM118" s="522"/>
      <c r="CN118" s="522"/>
      <c r="CO118" s="522"/>
      <c r="CP118" s="522"/>
      <c r="CQ118" s="522"/>
      <c r="CR118" s="522"/>
      <c r="CS118"/>
      <c r="CT118" s="1218"/>
      <c r="CU118"/>
      <c r="CV118" s="521"/>
      <c r="CW118" s="521"/>
      <c r="CX118" s="521"/>
      <c r="CY118" s="521"/>
      <c r="CZ118" s="521"/>
      <c r="DA118" s="521"/>
      <c r="DB118" s="521"/>
      <c r="DC118" s="521"/>
      <c r="DD118" s="521"/>
      <c r="DE118" s="522"/>
      <c r="DF118" s="522"/>
      <c r="DG118" s="522"/>
      <c r="DH118" s="522"/>
      <c r="DI118" s="522"/>
      <c r="DJ118" s="522"/>
      <c r="DK118" s="522"/>
      <c r="DL118" s="522"/>
      <c r="DM118" s="522"/>
      <c r="DN118" s="522"/>
      <c r="DO118" s="522"/>
      <c r="DP118" s="522"/>
      <c r="DQ118" s="522"/>
      <c r="DR118" s="522"/>
      <c r="DS118" s="522"/>
      <c r="DT118" s="522"/>
      <c r="DU118" s="522"/>
      <c r="DV118" s="522"/>
      <c r="DW118" s="522"/>
      <c r="DX118" s="522"/>
      <c r="DY118" s="522"/>
      <c r="DZ118" s="522"/>
      <c r="EA118" s="522"/>
      <c r="EB118" s="522"/>
      <c r="EC118" s="522"/>
      <c r="ED118" s="522"/>
      <c r="EE118" s="522"/>
    </row>
    <row r="119" spans="2:135" s="524" customFormat="1" ht="12.95" customHeight="1">
      <c r="B119" s="520"/>
      <c r="C119" s="521"/>
      <c r="D119" s="521"/>
      <c r="E119" s="521"/>
      <c r="F119" s="521"/>
      <c r="G119" s="521"/>
      <c r="H119" s="521"/>
      <c r="I119" s="521"/>
      <c r="J119" s="521"/>
      <c r="K119" s="521"/>
      <c r="L119" s="521"/>
      <c r="M119" s="521"/>
      <c r="N119" s="521"/>
      <c r="O119" s="521"/>
      <c r="P119" s="521"/>
      <c r="Q119" s="521"/>
      <c r="R119" s="521"/>
      <c r="S119" s="521"/>
      <c r="T119" s="521"/>
      <c r="U119" s="521"/>
      <c r="V119" s="521"/>
      <c r="W119" s="521"/>
      <c r="X119" s="521"/>
      <c r="Y119" s="521"/>
      <c r="Z119" s="521"/>
      <c r="AA119" s="521"/>
      <c r="AB119" s="521"/>
      <c r="AC119" s="521"/>
      <c r="AD119" s="521"/>
      <c r="AE119" s="522"/>
      <c r="AF119" s="522"/>
      <c r="AG119" s="522"/>
      <c r="AH119" s="522"/>
      <c r="AI119" s="522"/>
      <c r="AJ119" s="522"/>
      <c r="AK119" s="522"/>
      <c r="AL119" s="522"/>
      <c r="AM119" s="522"/>
      <c r="AN119" s="522"/>
      <c r="AO119" s="522"/>
      <c r="AP119" s="522"/>
      <c r="AQ119" s="522"/>
      <c r="AR119" s="522"/>
      <c r="AS119" s="522"/>
      <c r="AT119" s="522"/>
      <c r="AU119" s="522"/>
      <c r="AV119" s="522"/>
      <c r="AW119" s="522"/>
      <c r="AX119" s="522"/>
      <c r="AY119" s="522"/>
      <c r="AZ119" s="522"/>
      <c r="BA119" s="522"/>
      <c r="BB119" s="522"/>
      <c r="BC119" s="522"/>
      <c r="BD119" s="522"/>
      <c r="BE119" s="522"/>
      <c r="BG119" s="391"/>
      <c r="BI119" s="521"/>
      <c r="BJ119" s="521"/>
      <c r="BK119" s="521"/>
      <c r="BL119" s="521"/>
      <c r="BM119" s="521"/>
      <c r="BN119" s="521"/>
      <c r="BO119" s="521"/>
      <c r="BP119" s="521"/>
      <c r="BQ119" s="521"/>
      <c r="BR119" s="522"/>
      <c r="BS119" s="522"/>
      <c r="BT119" s="522"/>
      <c r="BU119" s="522"/>
      <c r="BV119" s="522"/>
      <c r="BW119" s="522"/>
      <c r="BX119" s="522"/>
      <c r="BY119" s="522"/>
      <c r="BZ119" s="522"/>
      <c r="CA119" s="522"/>
      <c r="CB119" s="522"/>
      <c r="CC119" s="522"/>
      <c r="CD119" s="522"/>
      <c r="CE119" s="522"/>
      <c r="CF119" s="522"/>
      <c r="CG119" s="522"/>
      <c r="CH119" s="522"/>
      <c r="CI119" s="522"/>
      <c r="CJ119" s="522"/>
      <c r="CK119" s="522"/>
      <c r="CL119" s="522"/>
      <c r="CM119" s="522"/>
      <c r="CN119" s="522"/>
      <c r="CO119" s="522"/>
      <c r="CP119" s="522"/>
      <c r="CQ119" s="522"/>
      <c r="CR119" s="522"/>
      <c r="CS119"/>
      <c r="CT119" s="1218"/>
      <c r="CU119"/>
      <c r="CV119" s="521"/>
      <c r="CW119" s="521"/>
      <c r="CX119" s="521"/>
      <c r="CY119" s="521"/>
      <c r="CZ119" s="521"/>
      <c r="DA119" s="521"/>
      <c r="DB119" s="521"/>
      <c r="DC119" s="521"/>
      <c r="DD119" s="521"/>
      <c r="DE119" s="522"/>
      <c r="DF119" s="522"/>
      <c r="DG119" s="522"/>
      <c r="DH119" s="522"/>
      <c r="DI119" s="522"/>
      <c r="DJ119" s="522"/>
      <c r="DK119" s="522"/>
      <c r="DL119" s="522"/>
      <c r="DM119" s="522"/>
      <c r="DN119" s="522"/>
      <c r="DO119" s="522"/>
      <c r="DP119" s="522"/>
      <c r="DQ119" s="522"/>
      <c r="DR119" s="522"/>
      <c r="DS119" s="522"/>
      <c r="DT119" s="522"/>
      <c r="DU119" s="522"/>
      <c r="DV119" s="522"/>
      <c r="DW119" s="522"/>
      <c r="DX119" s="522"/>
      <c r="DY119" s="522"/>
      <c r="DZ119" s="522"/>
      <c r="EA119" s="522"/>
      <c r="EB119" s="522"/>
      <c r="EC119" s="522"/>
      <c r="ED119" s="522"/>
      <c r="EE119" s="522"/>
    </row>
    <row r="120" spans="2:135" s="524" customFormat="1" ht="12.95" customHeight="1">
      <c r="B120" s="520"/>
      <c r="C120" s="521"/>
      <c r="D120" s="521"/>
      <c r="E120" s="521"/>
      <c r="F120" s="521"/>
      <c r="G120" s="521"/>
      <c r="H120" s="521"/>
      <c r="I120" s="521"/>
      <c r="J120" s="521"/>
      <c r="K120" s="521"/>
      <c r="L120" s="521"/>
      <c r="M120" s="521"/>
      <c r="N120" s="521"/>
      <c r="O120" s="521"/>
      <c r="P120" s="521"/>
      <c r="Q120" s="521"/>
      <c r="R120" s="521"/>
      <c r="S120" s="521"/>
      <c r="T120" s="521"/>
      <c r="U120" s="521"/>
      <c r="V120" s="521"/>
      <c r="W120" s="521"/>
      <c r="X120" s="521"/>
      <c r="Y120" s="521"/>
      <c r="Z120" s="521"/>
      <c r="AA120" s="521"/>
      <c r="AB120" s="521"/>
      <c r="AC120" s="521"/>
      <c r="AD120" s="521"/>
      <c r="AE120" s="522"/>
      <c r="AF120" s="522"/>
      <c r="AG120" s="522"/>
      <c r="AH120" s="522"/>
      <c r="AI120" s="522"/>
      <c r="AJ120" s="522"/>
      <c r="AK120" s="522"/>
      <c r="AL120" s="522"/>
      <c r="AM120" s="522"/>
      <c r="AN120" s="522"/>
      <c r="AO120" s="522"/>
      <c r="AP120" s="522"/>
      <c r="AQ120" s="522"/>
      <c r="AR120" s="522"/>
      <c r="AS120" s="522"/>
      <c r="AT120" s="522"/>
      <c r="AU120" s="522"/>
      <c r="AV120" s="522"/>
      <c r="AW120" s="522"/>
      <c r="AX120" s="522"/>
      <c r="AY120" s="522"/>
      <c r="AZ120" s="522"/>
      <c r="BA120" s="522"/>
      <c r="BB120" s="522"/>
      <c r="BC120" s="522"/>
      <c r="BD120" s="522"/>
      <c r="BE120" s="522"/>
      <c r="BG120" s="391"/>
      <c r="BI120" s="521"/>
      <c r="BJ120" s="521"/>
      <c r="BK120" s="521"/>
      <c r="BL120" s="521"/>
      <c r="BM120" s="521"/>
      <c r="BN120" s="521"/>
      <c r="BO120" s="521"/>
      <c r="BP120" s="521"/>
      <c r="BQ120" s="521"/>
      <c r="BR120" s="522"/>
      <c r="BS120" s="522"/>
      <c r="BT120" s="522"/>
      <c r="BU120" s="522"/>
      <c r="BV120" s="522"/>
      <c r="BW120" s="522"/>
      <c r="BX120" s="522"/>
      <c r="BY120" s="522"/>
      <c r="BZ120" s="522"/>
      <c r="CA120" s="522"/>
      <c r="CB120" s="522"/>
      <c r="CC120" s="522"/>
      <c r="CD120" s="522"/>
      <c r="CE120" s="522"/>
      <c r="CF120" s="522"/>
      <c r="CG120" s="522"/>
      <c r="CH120" s="522"/>
      <c r="CI120" s="522"/>
      <c r="CJ120" s="522"/>
      <c r="CK120" s="522"/>
      <c r="CL120" s="522"/>
      <c r="CM120" s="522"/>
      <c r="CN120" s="522"/>
      <c r="CO120" s="522"/>
      <c r="CP120" s="522"/>
      <c r="CQ120" s="522"/>
      <c r="CR120" s="522"/>
      <c r="CS120"/>
      <c r="CT120" s="1218"/>
      <c r="CU120"/>
      <c r="CV120" s="521"/>
      <c r="CW120" s="521"/>
      <c r="CX120" s="521"/>
      <c r="CY120" s="521"/>
      <c r="CZ120" s="521"/>
      <c r="DA120" s="521"/>
      <c r="DB120" s="521"/>
      <c r="DC120" s="521"/>
      <c r="DD120" s="521"/>
      <c r="DE120" s="522"/>
      <c r="DF120" s="522"/>
      <c r="DG120" s="522"/>
      <c r="DH120" s="522"/>
      <c r="DI120" s="522"/>
      <c r="DJ120" s="522"/>
      <c r="DK120" s="522"/>
      <c r="DL120" s="522"/>
      <c r="DM120" s="522"/>
      <c r="DN120" s="522"/>
      <c r="DO120" s="522"/>
      <c r="DP120" s="522"/>
      <c r="DQ120" s="522"/>
      <c r="DR120" s="522"/>
      <c r="DS120" s="522"/>
      <c r="DT120" s="522"/>
      <c r="DU120" s="522"/>
      <c r="DV120" s="522"/>
      <c r="DW120" s="522"/>
      <c r="DX120" s="522"/>
      <c r="DY120" s="522"/>
      <c r="DZ120" s="522"/>
      <c r="EA120" s="522"/>
      <c r="EB120" s="522"/>
      <c r="EC120" s="522"/>
      <c r="ED120" s="522"/>
      <c r="EE120" s="522"/>
    </row>
    <row r="121" spans="2:135" s="524" customFormat="1" ht="12.95" customHeight="1">
      <c r="B121" s="520"/>
      <c r="C121" s="521"/>
      <c r="D121" s="521"/>
      <c r="E121" s="521"/>
      <c r="F121" s="521"/>
      <c r="G121" s="521"/>
      <c r="H121" s="521"/>
      <c r="I121" s="521"/>
      <c r="J121" s="521"/>
      <c r="K121" s="521"/>
      <c r="L121" s="521"/>
      <c r="M121" s="521"/>
      <c r="N121" s="521"/>
      <c r="O121" s="521"/>
      <c r="P121" s="521"/>
      <c r="Q121" s="521"/>
      <c r="R121" s="521"/>
      <c r="S121" s="521"/>
      <c r="T121" s="521"/>
      <c r="U121" s="521"/>
      <c r="V121" s="521"/>
      <c r="W121" s="521"/>
      <c r="X121" s="521"/>
      <c r="Y121" s="521"/>
      <c r="Z121" s="521"/>
      <c r="AA121" s="521"/>
      <c r="AB121" s="521"/>
      <c r="AC121" s="521"/>
      <c r="AD121" s="521"/>
      <c r="AE121" s="522"/>
      <c r="AF121" s="522"/>
      <c r="AG121" s="522"/>
      <c r="AH121" s="522"/>
      <c r="AI121" s="522"/>
      <c r="AJ121" s="522"/>
      <c r="AK121" s="522"/>
      <c r="AL121" s="522"/>
      <c r="AM121" s="522"/>
      <c r="AN121" s="522"/>
      <c r="AO121" s="522"/>
      <c r="AP121" s="522"/>
      <c r="AQ121" s="522"/>
      <c r="AR121" s="522"/>
      <c r="AS121" s="522"/>
      <c r="AT121" s="522"/>
      <c r="AU121" s="522"/>
      <c r="AV121" s="522"/>
      <c r="AW121" s="522"/>
      <c r="AX121" s="522"/>
      <c r="AY121" s="522"/>
      <c r="AZ121" s="522"/>
      <c r="BA121" s="522"/>
      <c r="BB121" s="522"/>
      <c r="BC121" s="522"/>
      <c r="BD121" s="522"/>
      <c r="BE121" s="522"/>
      <c r="BG121" s="391"/>
      <c r="BI121" s="521"/>
      <c r="BJ121" s="521"/>
      <c r="BK121" s="521"/>
      <c r="BL121" s="521"/>
      <c r="BM121" s="521"/>
      <c r="BN121" s="521"/>
      <c r="BO121" s="521"/>
      <c r="BP121" s="521"/>
      <c r="BQ121" s="521"/>
      <c r="BR121" s="522"/>
      <c r="BS121" s="522"/>
      <c r="BT121" s="522"/>
      <c r="BU121" s="522"/>
      <c r="BV121" s="522"/>
      <c r="BW121" s="522"/>
      <c r="BX121" s="522"/>
      <c r="BY121" s="522"/>
      <c r="BZ121" s="522"/>
      <c r="CA121" s="522"/>
      <c r="CB121" s="522"/>
      <c r="CC121" s="522"/>
      <c r="CD121" s="522"/>
      <c r="CE121" s="522"/>
      <c r="CF121" s="522"/>
      <c r="CG121" s="522"/>
      <c r="CH121" s="522"/>
      <c r="CI121" s="522"/>
      <c r="CJ121" s="522"/>
      <c r="CK121" s="522"/>
      <c r="CL121" s="522"/>
      <c r="CM121" s="522"/>
      <c r="CN121" s="522"/>
      <c r="CO121" s="522"/>
      <c r="CP121" s="522"/>
      <c r="CQ121" s="522"/>
      <c r="CR121" s="522"/>
      <c r="CS121"/>
      <c r="CT121" s="1218"/>
      <c r="CU121"/>
      <c r="CV121" s="521"/>
      <c r="CW121" s="521"/>
      <c r="CX121" s="521"/>
      <c r="CY121" s="521"/>
      <c r="CZ121" s="521"/>
      <c r="DA121" s="521"/>
      <c r="DB121" s="521"/>
      <c r="DC121" s="521"/>
      <c r="DD121" s="521"/>
      <c r="DE121" s="522"/>
      <c r="DF121" s="522"/>
      <c r="DG121" s="522"/>
      <c r="DH121" s="522"/>
      <c r="DI121" s="522"/>
      <c r="DJ121" s="522"/>
      <c r="DK121" s="522"/>
      <c r="DL121" s="522"/>
      <c r="DM121" s="522"/>
      <c r="DN121" s="522"/>
      <c r="DO121" s="522"/>
      <c r="DP121" s="522"/>
      <c r="DQ121" s="522"/>
      <c r="DR121" s="522"/>
      <c r="DS121" s="522"/>
      <c r="DT121" s="522"/>
      <c r="DU121" s="522"/>
      <c r="DV121" s="522"/>
      <c r="DW121" s="522"/>
      <c r="DX121" s="522"/>
      <c r="DY121" s="522"/>
      <c r="DZ121" s="522"/>
      <c r="EA121" s="522"/>
      <c r="EB121" s="522"/>
      <c r="EC121" s="522"/>
      <c r="ED121" s="522"/>
      <c r="EE121" s="522"/>
    </row>
    <row r="122" spans="2:135" s="524" customFormat="1" ht="12.95" customHeight="1">
      <c r="B122" s="520"/>
      <c r="C122" s="521"/>
      <c r="D122" s="521"/>
      <c r="E122" s="521"/>
      <c r="F122" s="521"/>
      <c r="G122" s="521"/>
      <c r="H122" s="521"/>
      <c r="I122" s="521"/>
      <c r="J122" s="521"/>
      <c r="K122" s="521"/>
      <c r="L122" s="521"/>
      <c r="M122" s="521"/>
      <c r="N122" s="521"/>
      <c r="O122" s="521"/>
      <c r="P122" s="521"/>
      <c r="Q122" s="521"/>
      <c r="R122" s="521"/>
      <c r="S122" s="521"/>
      <c r="T122" s="521"/>
      <c r="U122" s="521"/>
      <c r="V122" s="521"/>
      <c r="W122" s="521"/>
      <c r="X122" s="521"/>
      <c r="Y122" s="521"/>
      <c r="Z122" s="521"/>
      <c r="AA122" s="521"/>
      <c r="AB122" s="521"/>
      <c r="AC122" s="521"/>
      <c r="AD122" s="521"/>
      <c r="AE122" s="522"/>
      <c r="AF122" s="522"/>
      <c r="AG122" s="522"/>
      <c r="AH122" s="522"/>
      <c r="AI122" s="522"/>
      <c r="AJ122" s="522"/>
      <c r="AK122" s="522"/>
      <c r="AL122" s="522"/>
      <c r="AM122" s="522"/>
      <c r="AN122" s="522"/>
      <c r="AO122" s="522"/>
      <c r="AP122" s="522"/>
      <c r="AQ122" s="522"/>
      <c r="AR122" s="522"/>
      <c r="AS122" s="522"/>
      <c r="AT122" s="522"/>
      <c r="AU122" s="522"/>
      <c r="AV122" s="522"/>
      <c r="AW122" s="522"/>
      <c r="AX122" s="522"/>
      <c r="AY122" s="522"/>
      <c r="AZ122" s="522"/>
      <c r="BA122" s="522"/>
      <c r="BB122" s="522"/>
      <c r="BC122" s="522"/>
      <c r="BD122" s="522"/>
      <c r="BE122" s="522"/>
      <c r="BG122" s="391"/>
      <c r="BI122" s="521"/>
      <c r="BJ122" s="521"/>
      <c r="BK122" s="521"/>
      <c r="BL122" s="521"/>
      <c r="BM122" s="521"/>
      <c r="BN122" s="521"/>
      <c r="BO122" s="521"/>
      <c r="BP122" s="521"/>
      <c r="BQ122" s="521"/>
      <c r="BR122" s="522"/>
      <c r="BS122" s="522"/>
      <c r="BT122" s="522"/>
      <c r="BU122" s="522"/>
      <c r="BV122" s="522"/>
      <c r="BW122" s="522"/>
      <c r="BX122" s="522"/>
      <c r="BY122" s="522"/>
      <c r="BZ122" s="522"/>
      <c r="CA122" s="522"/>
      <c r="CB122" s="522"/>
      <c r="CC122" s="522"/>
      <c r="CD122" s="522"/>
      <c r="CE122" s="522"/>
      <c r="CF122" s="522"/>
      <c r="CG122" s="522"/>
      <c r="CH122" s="522"/>
      <c r="CI122" s="522"/>
      <c r="CJ122" s="522"/>
      <c r="CK122" s="522"/>
      <c r="CL122" s="522"/>
      <c r="CM122" s="522"/>
      <c r="CN122" s="522"/>
      <c r="CO122" s="522"/>
      <c r="CP122" s="522"/>
      <c r="CQ122" s="522"/>
      <c r="CR122" s="522"/>
      <c r="CS122"/>
      <c r="CT122" s="1218"/>
      <c r="CU122"/>
      <c r="CV122" s="521"/>
      <c r="CW122" s="521"/>
      <c r="CX122" s="521"/>
      <c r="CY122" s="521"/>
      <c r="CZ122" s="521"/>
      <c r="DA122" s="521"/>
      <c r="DB122" s="521"/>
      <c r="DC122" s="521"/>
      <c r="DD122" s="521"/>
      <c r="DE122" s="522"/>
      <c r="DF122" s="522"/>
      <c r="DG122" s="522"/>
      <c r="DH122" s="522"/>
      <c r="DI122" s="522"/>
      <c r="DJ122" s="522"/>
      <c r="DK122" s="522"/>
      <c r="DL122" s="522"/>
      <c r="DM122" s="522"/>
      <c r="DN122" s="522"/>
      <c r="DO122" s="522"/>
      <c r="DP122" s="522"/>
      <c r="DQ122" s="522"/>
      <c r="DR122" s="522"/>
      <c r="DS122" s="522"/>
      <c r="DT122" s="522"/>
      <c r="DU122" s="522"/>
      <c r="DV122" s="522"/>
      <c r="DW122" s="522"/>
      <c r="DX122" s="522"/>
      <c r="DY122" s="522"/>
      <c r="DZ122" s="522"/>
      <c r="EA122" s="522"/>
      <c r="EB122" s="522"/>
      <c r="EC122" s="522"/>
      <c r="ED122" s="522"/>
      <c r="EE122" s="522"/>
    </row>
    <row r="123" spans="2:135" s="524" customFormat="1" ht="12.95" customHeight="1">
      <c r="B123" s="520"/>
      <c r="C123" s="521"/>
      <c r="D123" s="521"/>
      <c r="E123" s="521"/>
      <c r="F123" s="521"/>
      <c r="G123" s="521"/>
      <c r="H123" s="521"/>
      <c r="I123" s="521"/>
      <c r="J123" s="521"/>
      <c r="K123" s="521"/>
      <c r="L123" s="521"/>
      <c r="M123" s="521"/>
      <c r="N123" s="521"/>
      <c r="O123" s="521"/>
      <c r="P123" s="521"/>
      <c r="Q123" s="521"/>
      <c r="R123" s="521"/>
      <c r="S123" s="521"/>
      <c r="T123" s="521"/>
      <c r="U123" s="521"/>
      <c r="V123" s="521"/>
      <c r="W123" s="521"/>
      <c r="X123" s="521"/>
      <c r="Y123" s="521"/>
      <c r="Z123" s="521"/>
      <c r="AA123" s="521"/>
      <c r="AB123" s="521"/>
      <c r="AC123" s="521"/>
      <c r="AD123" s="521"/>
      <c r="AE123" s="522"/>
      <c r="AF123" s="522"/>
      <c r="AG123" s="522"/>
      <c r="AH123" s="522"/>
      <c r="AI123" s="522"/>
      <c r="AJ123" s="522"/>
      <c r="AK123" s="522"/>
      <c r="AL123" s="522"/>
      <c r="AM123" s="522"/>
      <c r="AN123" s="522"/>
      <c r="AO123" s="522"/>
      <c r="AP123" s="522"/>
      <c r="AQ123" s="522"/>
      <c r="AR123" s="522"/>
      <c r="AS123" s="522"/>
      <c r="AT123" s="522"/>
      <c r="AU123" s="522"/>
      <c r="AV123" s="522"/>
      <c r="AW123" s="522"/>
      <c r="AX123" s="522"/>
      <c r="AY123" s="522"/>
      <c r="AZ123" s="522"/>
      <c r="BA123" s="522"/>
      <c r="BB123" s="522"/>
      <c r="BC123" s="522"/>
      <c r="BD123" s="522"/>
      <c r="BE123" s="522"/>
      <c r="BG123" s="391"/>
      <c r="BI123" s="521"/>
      <c r="BJ123" s="521"/>
      <c r="BK123" s="521"/>
      <c r="BL123" s="521"/>
      <c r="BM123" s="521"/>
      <c r="BN123" s="521"/>
      <c r="BO123" s="521"/>
      <c r="BP123" s="521"/>
      <c r="BQ123" s="521"/>
      <c r="BR123" s="522"/>
      <c r="BS123" s="522"/>
      <c r="BT123" s="522"/>
      <c r="BU123" s="522"/>
      <c r="BV123" s="522"/>
      <c r="BW123" s="522"/>
      <c r="BX123" s="522"/>
      <c r="BY123" s="522"/>
      <c r="BZ123" s="522"/>
      <c r="CA123" s="522"/>
      <c r="CB123" s="522"/>
      <c r="CC123" s="522"/>
      <c r="CD123" s="522"/>
      <c r="CE123" s="522"/>
      <c r="CF123" s="522"/>
      <c r="CG123" s="522"/>
      <c r="CH123" s="522"/>
      <c r="CI123" s="522"/>
      <c r="CJ123" s="522"/>
      <c r="CK123" s="522"/>
      <c r="CL123" s="522"/>
      <c r="CM123" s="522"/>
      <c r="CN123" s="522"/>
      <c r="CO123" s="522"/>
      <c r="CP123" s="522"/>
      <c r="CQ123" s="522"/>
      <c r="CR123" s="522"/>
      <c r="CS123"/>
      <c r="CT123" s="1218"/>
      <c r="CU123"/>
      <c r="CV123" s="521"/>
      <c r="CW123" s="521"/>
      <c r="CX123" s="521"/>
      <c r="CY123" s="521"/>
      <c r="CZ123" s="521"/>
      <c r="DA123" s="521"/>
      <c r="DB123" s="521"/>
      <c r="DC123" s="521"/>
      <c r="DD123" s="521"/>
      <c r="DE123" s="522"/>
      <c r="DF123" s="522"/>
      <c r="DG123" s="522"/>
      <c r="DH123" s="522"/>
      <c r="DI123" s="522"/>
      <c r="DJ123" s="522"/>
      <c r="DK123" s="522"/>
      <c r="DL123" s="522"/>
      <c r="DM123" s="522"/>
      <c r="DN123" s="522"/>
      <c r="DO123" s="522"/>
      <c r="DP123" s="522"/>
      <c r="DQ123" s="522"/>
      <c r="DR123" s="522"/>
      <c r="DS123" s="522"/>
      <c r="DT123" s="522"/>
      <c r="DU123" s="522"/>
      <c r="DV123" s="522"/>
      <c r="DW123" s="522"/>
      <c r="DX123" s="522"/>
      <c r="DY123" s="522"/>
      <c r="DZ123" s="522"/>
      <c r="EA123" s="522"/>
      <c r="EB123" s="522"/>
      <c r="EC123" s="522"/>
      <c r="ED123" s="522"/>
      <c r="EE123" s="522"/>
    </row>
    <row r="124" spans="2:135" s="524" customFormat="1" ht="12.95" customHeight="1">
      <c r="B124" s="520"/>
      <c r="C124" s="521"/>
      <c r="D124" s="521"/>
      <c r="E124" s="521"/>
      <c r="F124" s="521"/>
      <c r="G124" s="521"/>
      <c r="H124" s="521"/>
      <c r="I124" s="521"/>
      <c r="J124" s="521"/>
      <c r="K124" s="521"/>
      <c r="L124" s="521"/>
      <c r="M124" s="521"/>
      <c r="N124" s="521"/>
      <c r="O124" s="521"/>
      <c r="P124" s="521"/>
      <c r="Q124" s="521"/>
      <c r="R124" s="521"/>
      <c r="S124" s="521"/>
      <c r="T124" s="521"/>
      <c r="U124" s="521"/>
      <c r="V124" s="521"/>
      <c r="W124" s="521"/>
      <c r="X124" s="521"/>
      <c r="Y124" s="521"/>
      <c r="Z124" s="521"/>
      <c r="AA124" s="521"/>
      <c r="AB124" s="521"/>
      <c r="AC124" s="521"/>
      <c r="AD124" s="521"/>
      <c r="AE124" s="522"/>
      <c r="AF124" s="522"/>
      <c r="AG124" s="522"/>
      <c r="AH124" s="522"/>
      <c r="AI124" s="522"/>
      <c r="AJ124" s="522"/>
      <c r="AK124" s="522"/>
      <c r="AL124" s="522"/>
      <c r="AM124" s="522"/>
      <c r="AN124" s="522"/>
      <c r="AO124" s="522"/>
      <c r="AP124" s="522"/>
      <c r="AQ124" s="522"/>
      <c r="AR124" s="522"/>
      <c r="AS124" s="522"/>
      <c r="AT124" s="522"/>
      <c r="AU124" s="522"/>
      <c r="AV124" s="522"/>
      <c r="AW124" s="522"/>
      <c r="AX124" s="522"/>
      <c r="AY124" s="522"/>
      <c r="AZ124" s="522"/>
      <c r="BA124" s="522"/>
      <c r="BB124" s="522"/>
      <c r="BC124" s="522"/>
      <c r="BD124" s="522"/>
      <c r="BE124" s="522"/>
      <c r="BG124" s="391"/>
      <c r="BI124" s="521"/>
      <c r="BJ124" s="521"/>
      <c r="BK124" s="521"/>
      <c r="BL124" s="521"/>
      <c r="BM124" s="521"/>
      <c r="BN124" s="521"/>
      <c r="BO124" s="521"/>
      <c r="BP124" s="521"/>
      <c r="BQ124" s="521"/>
      <c r="BR124" s="522"/>
      <c r="BS124" s="522"/>
      <c r="BT124" s="522"/>
      <c r="BU124" s="522"/>
      <c r="BV124" s="522"/>
      <c r="BW124" s="522"/>
      <c r="BX124" s="522"/>
      <c r="BY124" s="522"/>
      <c r="BZ124" s="522"/>
      <c r="CA124" s="522"/>
      <c r="CB124" s="522"/>
      <c r="CC124" s="522"/>
      <c r="CD124" s="522"/>
      <c r="CE124" s="522"/>
      <c r="CF124" s="522"/>
      <c r="CG124" s="522"/>
      <c r="CH124" s="522"/>
      <c r="CI124" s="522"/>
      <c r="CJ124" s="522"/>
      <c r="CK124" s="522"/>
      <c r="CL124" s="522"/>
      <c r="CM124" s="522"/>
      <c r="CN124" s="522"/>
      <c r="CO124" s="522"/>
      <c r="CP124" s="522"/>
      <c r="CQ124" s="522"/>
      <c r="CR124" s="522"/>
      <c r="CS124"/>
      <c r="CT124" s="1218"/>
      <c r="CU124"/>
      <c r="CV124" s="521"/>
      <c r="CW124" s="521"/>
      <c r="CX124" s="521"/>
      <c r="CY124" s="521"/>
      <c r="CZ124" s="521"/>
      <c r="DA124" s="521"/>
      <c r="DB124" s="521"/>
      <c r="DC124" s="521"/>
      <c r="DD124" s="521"/>
      <c r="DE124" s="522"/>
      <c r="DF124" s="522"/>
      <c r="DG124" s="522"/>
      <c r="DH124" s="522"/>
      <c r="DI124" s="522"/>
      <c r="DJ124" s="522"/>
      <c r="DK124" s="522"/>
      <c r="DL124" s="522"/>
      <c r="DM124" s="522"/>
      <c r="DN124" s="522"/>
      <c r="DO124" s="522"/>
      <c r="DP124" s="522"/>
      <c r="DQ124" s="522"/>
      <c r="DR124" s="522"/>
      <c r="DS124" s="522"/>
      <c r="DT124" s="522"/>
      <c r="DU124" s="522"/>
      <c r="DV124" s="522"/>
      <c r="DW124" s="522"/>
      <c r="DX124" s="522"/>
      <c r="DY124" s="522"/>
      <c r="DZ124" s="522"/>
      <c r="EA124" s="522"/>
      <c r="EB124" s="522"/>
      <c r="EC124" s="522"/>
      <c r="ED124" s="522"/>
      <c r="EE124" s="522"/>
    </row>
    <row r="125" spans="2:135" s="524" customFormat="1" ht="12.95" customHeight="1">
      <c r="B125" s="520"/>
      <c r="C125" s="521"/>
      <c r="D125" s="521"/>
      <c r="E125" s="521"/>
      <c r="F125" s="521"/>
      <c r="G125" s="521"/>
      <c r="H125" s="521"/>
      <c r="I125" s="521"/>
      <c r="J125" s="521"/>
      <c r="K125" s="521"/>
      <c r="L125" s="521"/>
      <c r="M125" s="521"/>
      <c r="N125" s="521"/>
      <c r="O125" s="521"/>
      <c r="P125" s="521"/>
      <c r="Q125" s="521"/>
      <c r="R125" s="521"/>
      <c r="S125" s="521"/>
      <c r="T125" s="521"/>
      <c r="U125" s="521"/>
      <c r="V125" s="521"/>
      <c r="W125" s="521"/>
      <c r="X125" s="521"/>
      <c r="Y125" s="521"/>
      <c r="Z125" s="521"/>
      <c r="AA125" s="521"/>
      <c r="AB125" s="521"/>
      <c r="AC125" s="521"/>
      <c r="AD125" s="521"/>
      <c r="AE125" s="522"/>
      <c r="AF125" s="522"/>
      <c r="AG125" s="522"/>
      <c r="AH125" s="522"/>
      <c r="AI125" s="522"/>
      <c r="AJ125" s="522"/>
      <c r="AK125" s="522"/>
      <c r="AL125" s="522"/>
      <c r="AM125" s="522"/>
      <c r="AN125" s="522"/>
      <c r="AO125" s="522"/>
      <c r="AP125" s="522"/>
      <c r="AQ125" s="522"/>
      <c r="AR125" s="522"/>
      <c r="AS125" s="522"/>
      <c r="AT125" s="522"/>
      <c r="AU125" s="522"/>
      <c r="AV125" s="522"/>
      <c r="AW125" s="522"/>
      <c r="AX125" s="522"/>
      <c r="AY125" s="522"/>
      <c r="AZ125" s="522"/>
      <c r="BA125" s="522"/>
      <c r="BB125" s="522"/>
      <c r="BC125" s="522"/>
      <c r="BD125" s="522"/>
      <c r="BE125" s="522"/>
      <c r="BG125" s="391"/>
      <c r="BI125" s="521"/>
      <c r="BJ125" s="521"/>
      <c r="BK125" s="521"/>
      <c r="BL125" s="521"/>
      <c r="BM125" s="521"/>
      <c r="BN125" s="521"/>
      <c r="BO125" s="521"/>
      <c r="BP125" s="521"/>
      <c r="BQ125" s="521"/>
      <c r="BR125" s="522"/>
      <c r="BS125" s="522"/>
      <c r="BT125" s="522"/>
      <c r="BU125" s="522"/>
      <c r="BV125" s="522"/>
      <c r="BW125" s="522"/>
      <c r="BX125" s="522"/>
      <c r="BY125" s="522"/>
      <c r="BZ125" s="522"/>
      <c r="CA125" s="522"/>
      <c r="CB125" s="522"/>
      <c r="CC125" s="522"/>
      <c r="CD125" s="522"/>
      <c r="CE125" s="522"/>
      <c r="CF125" s="522"/>
      <c r="CG125" s="522"/>
      <c r="CH125" s="522"/>
      <c r="CI125" s="522"/>
      <c r="CJ125" s="522"/>
      <c r="CK125" s="522"/>
      <c r="CL125" s="522"/>
      <c r="CM125" s="522"/>
      <c r="CN125" s="522"/>
      <c r="CO125" s="522"/>
      <c r="CP125" s="522"/>
      <c r="CQ125" s="522"/>
      <c r="CR125" s="522"/>
      <c r="CS125"/>
      <c r="CT125" s="1218"/>
      <c r="CU125"/>
      <c r="CV125" s="521"/>
      <c r="CW125" s="521"/>
      <c r="CX125" s="521"/>
      <c r="CY125" s="521"/>
      <c r="CZ125" s="521"/>
      <c r="DA125" s="521"/>
      <c r="DB125" s="521"/>
      <c r="DC125" s="521"/>
      <c r="DD125" s="521"/>
      <c r="DE125" s="522"/>
      <c r="DF125" s="522"/>
      <c r="DG125" s="522"/>
      <c r="DH125" s="522"/>
      <c r="DI125" s="522"/>
      <c r="DJ125" s="522"/>
      <c r="DK125" s="522"/>
      <c r="DL125" s="522"/>
      <c r="DM125" s="522"/>
      <c r="DN125" s="522"/>
      <c r="DO125" s="522"/>
      <c r="DP125" s="522"/>
      <c r="DQ125" s="522"/>
      <c r="DR125" s="522"/>
      <c r="DS125" s="522"/>
      <c r="DT125" s="522"/>
      <c r="DU125" s="522"/>
      <c r="DV125" s="522"/>
      <c r="DW125" s="522"/>
      <c r="DX125" s="522"/>
      <c r="DY125" s="522"/>
      <c r="DZ125" s="522"/>
      <c r="EA125" s="522"/>
      <c r="EB125" s="522"/>
      <c r="EC125" s="522"/>
      <c r="ED125" s="522"/>
      <c r="EE125" s="522"/>
    </row>
    <row r="126" spans="2:135" s="524" customFormat="1" ht="12.95" customHeight="1">
      <c r="B126" s="520"/>
      <c r="C126" s="521"/>
      <c r="D126" s="521"/>
      <c r="E126" s="521"/>
      <c r="F126" s="521"/>
      <c r="G126" s="521"/>
      <c r="H126" s="521"/>
      <c r="I126" s="521"/>
      <c r="J126" s="521"/>
      <c r="K126" s="521"/>
      <c r="L126" s="521"/>
      <c r="M126" s="521"/>
      <c r="N126" s="521"/>
      <c r="O126" s="521"/>
      <c r="P126" s="521"/>
      <c r="Q126" s="521"/>
      <c r="R126" s="521"/>
      <c r="S126" s="521"/>
      <c r="T126" s="521"/>
      <c r="U126" s="521"/>
      <c r="V126" s="521"/>
      <c r="W126" s="521"/>
      <c r="X126" s="521"/>
      <c r="Y126" s="521"/>
      <c r="Z126" s="521"/>
      <c r="AA126" s="521"/>
      <c r="AB126" s="521"/>
      <c r="AC126" s="521"/>
      <c r="AD126" s="521"/>
      <c r="AE126" s="522"/>
      <c r="AF126" s="522"/>
      <c r="AG126" s="522"/>
      <c r="AH126" s="522"/>
      <c r="AI126" s="522"/>
      <c r="AJ126" s="522"/>
      <c r="AK126" s="522"/>
      <c r="AL126" s="522"/>
      <c r="AM126" s="522"/>
      <c r="AN126" s="522"/>
      <c r="AO126" s="522"/>
      <c r="AP126" s="522"/>
      <c r="AQ126" s="522"/>
      <c r="AR126" s="522"/>
      <c r="AS126" s="522"/>
      <c r="AT126" s="522"/>
      <c r="AU126" s="522"/>
      <c r="AV126" s="522"/>
      <c r="AW126" s="522"/>
      <c r="AX126" s="522"/>
      <c r="AY126" s="522"/>
      <c r="AZ126" s="522"/>
      <c r="BA126" s="522"/>
      <c r="BB126" s="522"/>
      <c r="BC126" s="522"/>
      <c r="BD126" s="522"/>
      <c r="BE126" s="522"/>
      <c r="BG126" s="391"/>
      <c r="BI126" s="521"/>
      <c r="BJ126" s="521"/>
      <c r="BK126" s="521"/>
      <c r="BL126" s="521"/>
      <c r="BM126" s="521"/>
      <c r="BN126" s="521"/>
      <c r="BO126" s="521"/>
      <c r="BP126" s="521"/>
      <c r="BQ126" s="521"/>
      <c r="BR126" s="522"/>
      <c r="BS126" s="522"/>
      <c r="BT126" s="522"/>
      <c r="BU126" s="522"/>
      <c r="BV126" s="522"/>
      <c r="BW126" s="522"/>
      <c r="BX126" s="522"/>
      <c r="BY126" s="522"/>
      <c r="BZ126" s="522"/>
      <c r="CA126" s="522"/>
      <c r="CB126" s="522"/>
      <c r="CC126" s="522"/>
      <c r="CD126" s="522"/>
      <c r="CE126" s="522"/>
      <c r="CF126" s="522"/>
      <c r="CG126" s="522"/>
      <c r="CH126" s="522"/>
      <c r="CI126" s="522"/>
      <c r="CJ126" s="522"/>
      <c r="CK126" s="522"/>
      <c r="CL126" s="522"/>
      <c r="CM126" s="522"/>
      <c r="CN126" s="522"/>
      <c r="CO126" s="522"/>
      <c r="CP126" s="522"/>
      <c r="CQ126" s="522"/>
      <c r="CR126" s="522"/>
      <c r="CS126"/>
      <c r="CT126" s="1218"/>
      <c r="CU126"/>
      <c r="CV126" s="521"/>
      <c r="CW126" s="521"/>
      <c r="CX126" s="521"/>
      <c r="CY126" s="521"/>
      <c r="CZ126" s="521"/>
      <c r="DA126" s="521"/>
      <c r="DB126" s="521"/>
      <c r="DC126" s="521"/>
      <c r="DD126" s="521"/>
      <c r="DE126" s="522"/>
      <c r="DF126" s="522"/>
      <c r="DG126" s="522"/>
      <c r="DH126" s="522"/>
      <c r="DI126" s="522"/>
      <c r="DJ126" s="522"/>
      <c r="DK126" s="522"/>
      <c r="DL126" s="522"/>
      <c r="DM126" s="522"/>
      <c r="DN126" s="522"/>
      <c r="DO126" s="522"/>
      <c r="DP126" s="522"/>
      <c r="DQ126" s="522"/>
      <c r="DR126" s="522"/>
      <c r="DS126" s="522"/>
      <c r="DT126" s="522"/>
      <c r="DU126" s="522"/>
      <c r="DV126" s="522"/>
      <c r="DW126" s="522"/>
      <c r="DX126" s="522"/>
      <c r="DY126" s="522"/>
      <c r="DZ126" s="522"/>
      <c r="EA126" s="522"/>
      <c r="EB126" s="522"/>
      <c r="EC126" s="522"/>
      <c r="ED126" s="522"/>
      <c r="EE126" s="522"/>
    </row>
    <row r="127" spans="2:135" s="524" customFormat="1" ht="12.95" customHeight="1">
      <c r="B127" s="520"/>
      <c r="C127" s="521"/>
      <c r="D127" s="521"/>
      <c r="E127" s="521"/>
      <c r="F127" s="521"/>
      <c r="G127" s="521"/>
      <c r="H127" s="521"/>
      <c r="I127" s="521"/>
      <c r="J127" s="521"/>
      <c r="K127" s="521"/>
      <c r="L127" s="521"/>
      <c r="M127" s="521"/>
      <c r="N127" s="521"/>
      <c r="O127" s="521"/>
      <c r="P127" s="521"/>
      <c r="Q127" s="521"/>
      <c r="R127" s="521"/>
      <c r="S127" s="521"/>
      <c r="T127" s="521"/>
      <c r="U127" s="521"/>
      <c r="V127" s="521"/>
      <c r="W127" s="521"/>
      <c r="X127" s="521"/>
      <c r="Y127" s="521"/>
      <c r="Z127" s="521"/>
      <c r="AA127" s="521"/>
      <c r="AB127" s="521"/>
      <c r="AC127" s="521"/>
      <c r="AD127" s="521"/>
      <c r="AE127" s="522"/>
      <c r="AF127" s="522"/>
      <c r="AG127" s="522"/>
      <c r="AH127" s="522"/>
      <c r="AI127" s="522"/>
      <c r="AJ127" s="522"/>
      <c r="AK127" s="522"/>
      <c r="AL127" s="522"/>
      <c r="AM127" s="522"/>
      <c r="AN127" s="522"/>
      <c r="AO127" s="522"/>
      <c r="AP127" s="522"/>
      <c r="AQ127" s="522"/>
      <c r="AR127" s="522"/>
      <c r="AS127" s="522"/>
      <c r="AT127" s="522"/>
      <c r="AU127" s="522"/>
      <c r="AV127" s="522"/>
      <c r="AW127" s="522"/>
      <c r="AX127" s="522"/>
      <c r="AY127" s="522"/>
      <c r="AZ127" s="522"/>
      <c r="BA127" s="522"/>
      <c r="BB127" s="522"/>
      <c r="BC127" s="522"/>
      <c r="BD127" s="522"/>
      <c r="BE127" s="522"/>
      <c r="BG127" s="391"/>
      <c r="BI127" s="521"/>
      <c r="BJ127" s="521"/>
      <c r="BK127" s="521"/>
      <c r="BL127" s="521"/>
      <c r="BM127" s="521"/>
      <c r="BN127" s="521"/>
      <c r="BO127" s="521"/>
      <c r="BP127" s="521"/>
      <c r="BQ127" s="521"/>
      <c r="BR127" s="522"/>
      <c r="BS127" s="522"/>
      <c r="BT127" s="522"/>
      <c r="BU127" s="522"/>
      <c r="BV127" s="522"/>
      <c r="BW127" s="522"/>
      <c r="BX127" s="522"/>
      <c r="BY127" s="522"/>
      <c r="BZ127" s="522"/>
      <c r="CA127" s="522"/>
      <c r="CB127" s="522"/>
      <c r="CC127" s="522"/>
      <c r="CD127" s="522"/>
      <c r="CE127" s="522"/>
      <c r="CF127" s="522"/>
      <c r="CG127" s="522"/>
      <c r="CH127" s="522"/>
      <c r="CI127" s="522"/>
      <c r="CJ127" s="522"/>
      <c r="CK127" s="522"/>
      <c r="CL127" s="522"/>
      <c r="CM127" s="522"/>
      <c r="CN127" s="522"/>
      <c r="CO127" s="522"/>
      <c r="CP127" s="522"/>
      <c r="CQ127" s="522"/>
      <c r="CR127" s="522"/>
      <c r="CS127"/>
      <c r="CT127" s="1218"/>
      <c r="CU127"/>
      <c r="CV127" s="521"/>
      <c r="CW127" s="521"/>
      <c r="CX127" s="521"/>
      <c r="CY127" s="521"/>
      <c r="CZ127" s="521"/>
      <c r="DA127" s="521"/>
      <c r="DB127" s="521"/>
      <c r="DC127" s="521"/>
      <c r="DD127" s="521"/>
      <c r="DE127" s="522"/>
      <c r="DF127" s="522"/>
      <c r="DG127" s="522"/>
      <c r="DH127" s="522"/>
      <c r="DI127" s="522"/>
      <c r="DJ127" s="522"/>
      <c r="DK127" s="522"/>
      <c r="DL127" s="522"/>
      <c r="DM127" s="522"/>
      <c r="DN127" s="522"/>
      <c r="DO127" s="522"/>
      <c r="DP127" s="522"/>
      <c r="DQ127" s="522"/>
      <c r="DR127" s="522"/>
      <c r="DS127" s="522"/>
      <c r="DT127" s="522"/>
      <c r="DU127" s="522"/>
      <c r="DV127" s="522"/>
      <c r="DW127" s="522"/>
      <c r="DX127" s="522"/>
      <c r="DY127" s="522"/>
      <c r="DZ127" s="522"/>
      <c r="EA127" s="522"/>
      <c r="EB127" s="522"/>
      <c r="EC127" s="522"/>
      <c r="ED127" s="522"/>
      <c r="EE127" s="522"/>
    </row>
    <row r="128" spans="2:135" s="524" customFormat="1" ht="12.95" customHeight="1">
      <c r="B128" s="520"/>
      <c r="C128" s="521"/>
      <c r="D128" s="521"/>
      <c r="E128" s="521"/>
      <c r="F128" s="521"/>
      <c r="G128" s="521"/>
      <c r="H128" s="521"/>
      <c r="I128" s="521"/>
      <c r="J128" s="521"/>
      <c r="K128" s="521"/>
      <c r="L128" s="521"/>
      <c r="M128" s="521"/>
      <c r="N128" s="521"/>
      <c r="O128" s="521"/>
      <c r="P128" s="521"/>
      <c r="Q128" s="521"/>
      <c r="R128" s="521"/>
      <c r="S128" s="521"/>
      <c r="T128" s="521"/>
      <c r="U128" s="521"/>
      <c r="V128" s="521"/>
      <c r="W128" s="521"/>
      <c r="X128" s="521"/>
      <c r="Y128" s="521"/>
      <c r="Z128" s="521"/>
      <c r="AA128" s="521"/>
      <c r="AB128" s="521"/>
      <c r="AC128" s="521"/>
      <c r="AD128" s="521"/>
      <c r="AE128" s="522"/>
      <c r="AF128" s="522"/>
      <c r="AG128" s="522"/>
      <c r="AH128" s="522"/>
      <c r="AI128" s="522"/>
      <c r="AJ128" s="522"/>
      <c r="AK128" s="522"/>
      <c r="AL128" s="522"/>
      <c r="AM128" s="522"/>
      <c r="AN128" s="522"/>
      <c r="AO128" s="522"/>
      <c r="AP128" s="522"/>
      <c r="AQ128" s="522"/>
      <c r="AR128" s="522"/>
      <c r="AS128" s="522"/>
      <c r="AT128" s="522"/>
      <c r="AU128" s="522"/>
      <c r="AV128" s="522"/>
      <c r="AW128" s="522"/>
      <c r="AX128" s="522"/>
      <c r="AY128" s="522"/>
      <c r="AZ128" s="522"/>
      <c r="BA128" s="522"/>
      <c r="BB128" s="522"/>
      <c r="BC128" s="522"/>
      <c r="BD128" s="522"/>
      <c r="BE128" s="522"/>
      <c r="BG128" s="391"/>
      <c r="BI128" s="521"/>
      <c r="BJ128" s="521"/>
      <c r="BK128" s="521"/>
      <c r="BL128" s="521"/>
      <c r="BM128" s="521"/>
      <c r="BN128" s="521"/>
      <c r="BO128" s="521"/>
      <c r="BP128" s="521"/>
      <c r="BQ128" s="521"/>
      <c r="BR128" s="522"/>
      <c r="BS128" s="522"/>
      <c r="BT128" s="522"/>
      <c r="BU128" s="522"/>
      <c r="BV128" s="522"/>
      <c r="BW128" s="522"/>
      <c r="BX128" s="522"/>
      <c r="BY128" s="522"/>
      <c r="BZ128" s="522"/>
      <c r="CA128" s="522"/>
      <c r="CB128" s="522"/>
      <c r="CC128" s="522"/>
      <c r="CD128" s="522"/>
      <c r="CE128" s="522"/>
      <c r="CF128" s="522"/>
      <c r="CG128" s="522"/>
      <c r="CH128" s="522"/>
      <c r="CI128" s="522"/>
      <c r="CJ128" s="522"/>
      <c r="CK128" s="522"/>
      <c r="CL128" s="522"/>
      <c r="CM128" s="522"/>
      <c r="CN128" s="522"/>
      <c r="CO128" s="522"/>
      <c r="CP128" s="522"/>
      <c r="CQ128" s="522"/>
      <c r="CR128" s="522"/>
      <c r="CS128"/>
      <c r="CT128" s="1218"/>
      <c r="CU128"/>
      <c r="CV128" s="521"/>
      <c r="CW128" s="521"/>
      <c r="CX128" s="521"/>
      <c r="CY128" s="521"/>
      <c r="CZ128" s="521"/>
      <c r="DA128" s="521"/>
      <c r="DB128" s="521"/>
      <c r="DC128" s="521"/>
      <c r="DD128" s="521"/>
      <c r="DE128" s="522"/>
      <c r="DF128" s="522"/>
      <c r="DG128" s="522"/>
      <c r="DH128" s="522"/>
      <c r="DI128" s="522"/>
      <c r="DJ128" s="522"/>
      <c r="DK128" s="522"/>
      <c r="DL128" s="522"/>
      <c r="DM128" s="522"/>
      <c r="DN128" s="522"/>
      <c r="DO128" s="522"/>
      <c r="DP128" s="522"/>
      <c r="DQ128" s="522"/>
      <c r="DR128" s="522"/>
      <c r="DS128" s="522"/>
      <c r="DT128" s="522"/>
      <c r="DU128" s="522"/>
      <c r="DV128" s="522"/>
      <c r="DW128" s="522"/>
      <c r="DX128" s="522"/>
      <c r="DY128" s="522"/>
      <c r="DZ128" s="522"/>
      <c r="EA128" s="522"/>
      <c r="EB128" s="522"/>
      <c r="EC128" s="522"/>
      <c r="ED128" s="522"/>
      <c r="EE128" s="522"/>
    </row>
    <row r="129" spans="2:135" s="524" customFormat="1" ht="12.95" customHeight="1">
      <c r="B129" s="520"/>
      <c r="C129" s="521"/>
      <c r="D129" s="521"/>
      <c r="E129" s="521"/>
      <c r="F129" s="521"/>
      <c r="G129" s="521"/>
      <c r="H129" s="521"/>
      <c r="I129" s="521"/>
      <c r="J129" s="521"/>
      <c r="K129" s="521"/>
      <c r="L129" s="521"/>
      <c r="M129" s="521"/>
      <c r="N129" s="521"/>
      <c r="O129" s="521"/>
      <c r="P129" s="521"/>
      <c r="Q129" s="521"/>
      <c r="R129" s="521"/>
      <c r="S129" s="521"/>
      <c r="T129" s="521"/>
      <c r="U129" s="521"/>
      <c r="V129" s="521"/>
      <c r="W129" s="521"/>
      <c r="X129" s="521"/>
      <c r="Y129" s="521"/>
      <c r="Z129" s="521"/>
      <c r="AA129" s="521"/>
      <c r="AB129" s="521"/>
      <c r="AC129" s="521"/>
      <c r="AD129" s="521"/>
      <c r="AE129" s="522"/>
      <c r="AF129" s="522"/>
      <c r="AG129" s="522"/>
      <c r="AH129" s="522"/>
      <c r="AI129" s="522"/>
      <c r="AJ129" s="522"/>
      <c r="AK129" s="522"/>
      <c r="AL129" s="522"/>
      <c r="AM129" s="522"/>
      <c r="AN129" s="522"/>
      <c r="AO129" s="522"/>
      <c r="AP129" s="522"/>
      <c r="AQ129" s="522"/>
      <c r="AR129" s="522"/>
      <c r="AS129" s="522"/>
      <c r="AT129" s="522"/>
      <c r="AU129" s="522"/>
      <c r="AV129" s="522"/>
      <c r="AW129" s="522"/>
      <c r="AX129" s="522"/>
      <c r="AY129" s="522"/>
      <c r="AZ129" s="522"/>
      <c r="BA129" s="522"/>
      <c r="BB129" s="522"/>
      <c r="BC129" s="522"/>
      <c r="BD129" s="522"/>
      <c r="BE129" s="522"/>
      <c r="BG129" s="391"/>
      <c r="BI129" s="521"/>
      <c r="BJ129" s="521"/>
      <c r="BK129" s="521"/>
      <c r="BL129" s="521"/>
      <c r="BM129" s="521"/>
      <c r="BN129" s="521"/>
      <c r="BO129" s="521"/>
      <c r="BP129" s="521"/>
      <c r="BQ129" s="521"/>
      <c r="BR129" s="522"/>
      <c r="BS129" s="522"/>
      <c r="BT129" s="522"/>
      <c r="BU129" s="522"/>
      <c r="BV129" s="522"/>
      <c r="BW129" s="522"/>
      <c r="BX129" s="522"/>
      <c r="BY129" s="522"/>
      <c r="BZ129" s="522"/>
      <c r="CA129" s="522"/>
      <c r="CB129" s="522"/>
      <c r="CC129" s="522"/>
      <c r="CD129" s="522"/>
      <c r="CE129" s="522"/>
      <c r="CF129" s="522"/>
      <c r="CG129" s="522"/>
      <c r="CH129" s="522"/>
      <c r="CI129" s="522"/>
      <c r="CJ129" s="522"/>
      <c r="CK129" s="522"/>
      <c r="CL129" s="522"/>
      <c r="CM129" s="522"/>
      <c r="CN129" s="522"/>
      <c r="CO129" s="522"/>
      <c r="CP129" s="522"/>
      <c r="CQ129" s="522"/>
      <c r="CR129" s="522"/>
      <c r="CS129"/>
      <c r="CT129" s="1218"/>
      <c r="CU129"/>
      <c r="CV129" s="521"/>
      <c r="CW129" s="521"/>
      <c r="CX129" s="521"/>
      <c r="CY129" s="521"/>
      <c r="CZ129" s="521"/>
      <c r="DA129" s="521"/>
      <c r="DB129" s="521"/>
      <c r="DC129" s="521"/>
      <c r="DD129" s="521"/>
      <c r="DE129" s="522"/>
      <c r="DF129" s="522"/>
      <c r="DG129" s="522"/>
      <c r="DH129" s="522"/>
      <c r="DI129" s="522"/>
      <c r="DJ129" s="522"/>
      <c r="DK129" s="522"/>
      <c r="DL129" s="522"/>
      <c r="DM129" s="522"/>
      <c r="DN129" s="522"/>
      <c r="DO129" s="522"/>
      <c r="DP129" s="522"/>
      <c r="DQ129" s="522"/>
      <c r="DR129" s="522"/>
      <c r="DS129" s="522"/>
      <c r="DT129" s="522"/>
      <c r="DU129" s="522"/>
      <c r="DV129" s="522"/>
      <c r="DW129" s="522"/>
      <c r="DX129" s="522"/>
      <c r="DY129" s="522"/>
      <c r="DZ129" s="522"/>
      <c r="EA129" s="522"/>
      <c r="EB129" s="522"/>
      <c r="EC129" s="522"/>
      <c r="ED129" s="522"/>
      <c r="EE129" s="522"/>
    </row>
    <row r="130" spans="2:135" s="524" customFormat="1" ht="12.95" customHeight="1">
      <c r="B130" s="520"/>
      <c r="C130" s="521"/>
      <c r="D130" s="521"/>
      <c r="E130" s="521"/>
      <c r="F130" s="521"/>
      <c r="G130" s="521"/>
      <c r="H130" s="521"/>
      <c r="I130" s="521"/>
      <c r="J130" s="521"/>
      <c r="K130" s="521"/>
      <c r="L130" s="521"/>
      <c r="M130" s="521"/>
      <c r="N130" s="521"/>
      <c r="O130" s="521"/>
      <c r="P130" s="521"/>
      <c r="Q130" s="521"/>
      <c r="R130" s="521"/>
      <c r="S130" s="521"/>
      <c r="T130" s="521"/>
      <c r="U130" s="521"/>
      <c r="V130" s="521"/>
      <c r="W130" s="521"/>
      <c r="X130" s="521"/>
      <c r="Y130" s="521"/>
      <c r="Z130" s="521"/>
      <c r="AA130" s="521"/>
      <c r="AB130" s="521"/>
      <c r="AC130" s="521"/>
      <c r="AD130" s="521"/>
      <c r="AE130" s="522"/>
      <c r="AF130" s="522"/>
      <c r="AG130" s="522"/>
      <c r="AH130" s="522"/>
      <c r="AI130" s="522"/>
      <c r="AJ130" s="522"/>
      <c r="AK130" s="522"/>
      <c r="AL130" s="522"/>
      <c r="AM130" s="522"/>
      <c r="AN130" s="522"/>
      <c r="AO130" s="522"/>
      <c r="AP130" s="522"/>
      <c r="AQ130" s="522"/>
      <c r="AR130" s="522"/>
      <c r="AS130" s="522"/>
      <c r="AT130" s="522"/>
      <c r="AU130" s="522"/>
      <c r="AV130" s="522"/>
      <c r="AW130" s="522"/>
      <c r="AX130" s="522"/>
      <c r="AY130" s="522"/>
      <c r="AZ130" s="522"/>
      <c r="BA130" s="522"/>
      <c r="BB130" s="522"/>
      <c r="BC130" s="522"/>
      <c r="BD130" s="522"/>
      <c r="BE130" s="522"/>
      <c r="BG130" s="391"/>
      <c r="BI130" s="521"/>
      <c r="BJ130" s="521"/>
      <c r="BK130" s="521"/>
      <c r="BL130" s="521"/>
      <c r="BM130" s="521"/>
      <c r="BN130" s="521"/>
      <c r="BO130" s="521"/>
      <c r="BP130" s="521"/>
      <c r="BQ130" s="521"/>
      <c r="BR130" s="522"/>
      <c r="BS130" s="522"/>
      <c r="BT130" s="522"/>
      <c r="BU130" s="522"/>
      <c r="BV130" s="522"/>
      <c r="BW130" s="522"/>
      <c r="BX130" s="522"/>
      <c r="BY130" s="522"/>
      <c r="BZ130" s="522"/>
      <c r="CA130" s="522"/>
      <c r="CB130" s="522"/>
      <c r="CC130" s="522"/>
      <c r="CD130" s="522"/>
      <c r="CE130" s="522"/>
      <c r="CF130" s="522"/>
      <c r="CG130" s="522"/>
      <c r="CH130" s="522"/>
      <c r="CI130" s="522"/>
      <c r="CJ130" s="522"/>
      <c r="CK130" s="522"/>
      <c r="CL130" s="522"/>
      <c r="CM130" s="522"/>
      <c r="CN130" s="522"/>
      <c r="CO130" s="522"/>
      <c r="CP130" s="522"/>
      <c r="CQ130" s="522"/>
      <c r="CR130" s="522"/>
      <c r="CS130"/>
      <c r="CT130" s="1218"/>
      <c r="CU130"/>
      <c r="CV130" s="521"/>
      <c r="CW130" s="521"/>
      <c r="CX130" s="521"/>
      <c r="CY130" s="521"/>
      <c r="CZ130" s="521"/>
      <c r="DA130" s="521"/>
      <c r="DB130" s="521"/>
      <c r="DC130" s="521"/>
      <c r="DD130" s="521"/>
      <c r="DE130" s="522"/>
      <c r="DF130" s="522"/>
      <c r="DG130" s="522"/>
      <c r="DH130" s="522"/>
      <c r="DI130" s="522"/>
      <c r="DJ130" s="522"/>
      <c r="DK130" s="522"/>
      <c r="DL130" s="522"/>
      <c r="DM130" s="522"/>
      <c r="DN130" s="522"/>
      <c r="DO130" s="522"/>
      <c r="DP130" s="522"/>
      <c r="DQ130" s="522"/>
      <c r="DR130" s="522"/>
      <c r="DS130" s="522"/>
      <c r="DT130" s="522"/>
      <c r="DU130" s="522"/>
      <c r="DV130" s="522"/>
      <c r="DW130" s="522"/>
      <c r="DX130" s="522"/>
      <c r="DY130" s="522"/>
      <c r="DZ130" s="522"/>
      <c r="EA130" s="522"/>
      <c r="EB130" s="522"/>
      <c r="EC130" s="522"/>
      <c r="ED130" s="522"/>
      <c r="EE130" s="522"/>
    </row>
    <row r="131" spans="2:135" s="524" customFormat="1" ht="12.95" customHeight="1">
      <c r="B131" s="520"/>
      <c r="C131" s="521"/>
      <c r="D131" s="521"/>
      <c r="E131" s="521"/>
      <c r="F131" s="521"/>
      <c r="G131" s="521"/>
      <c r="H131" s="521"/>
      <c r="I131" s="521"/>
      <c r="J131" s="521"/>
      <c r="K131" s="521"/>
      <c r="L131" s="521"/>
      <c r="M131" s="521"/>
      <c r="N131" s="521"/>
      <c r="O131" s="521"/>
      <c r="P131" s="521"/>
      <c r="Q131" s="521"/>
      <c r="R131" s="521"/>
      <c r="S131" s="521"/>
      <c r="T131" s="521"/>
      <c r="U131" s="521"/>
      <c r="V131" s="521"/>
      <c r="W131" s="521"/>
      <c r="X131" s="521"/>
      <c r="Y131" s="521"/>
      <c r="Z131" s="521"/>
      <c r="AA131" s="521"/>
      <c r="AB131" s="521"/>
      <c r="AC131" s="521"/>
      <c r="AD131" s="521"/>
      <c r="AE131" s="522"/>
      <c r="AF131" s="522"/>
      <c r="AG131" s="522"/>
      <c r="AH131" s="522"/>
      <c r="AI131" s="522"/>
      <c r="AJ131" s="522"/>
      <c r="AK131" s="522"/>
      <c r="AL131" s="522"/>
      <c r="AM131" s="522"/>
      <c r="AN131" s="522"/>
      <c r="AO131" s="522"/>
      <c r="AP131" s="522"/>
      <c r="AQ131" s="522"/>
      <c r="AR131" s="522"/>
      <c r="AS131" s="522"/>
      <c r="AT131" s="522"/>
      <c r="AU131" s="522"/>
      <c r="AV131" s="522"/>
      <c r="AW131" s="522"/>
      <c r="AX131" s="522"/>
      <c r="AY131" s="522"/>
      <c r="AZ131" s="522"/>
      <c r="BA131" s="522"/>
      <c r="BB131" s="522"/>
      <c r="BC131" s="522"/>
      <c r="BD131" s="522"/>
      <c r="BE131" s="522"/>
      <c r="BG131" s="391"/>
      <c r="BI131" s="521"/>
      <c r="BJ131" s="521"/>
      <c r="BK131" s="521"/>
      <c r="BL131" s="521"/>
      <c r="BM131" s="521"/>
      <c r="BN131" s="521"/>
      <c r="BO131" s="521"/>
      <c r="BP131" s="521"/>
      <c r="BQ131" s="521"/>
      <c r="BR131" s="522"/>
      <c r="BS131" s="522"/>
      <c r="BT131" s="522"/>
      <c r="BU131" s="522"/>
      <c r="BV131" s="522"/>
      <c r="BW131" s="522"/>
      <c r="BX131" s="522"/>
      <c r="BY131" s="522"/>
      <c r="BZ131" s="522"/>
      <c r="CA131" s="522"/>
      <c r="CB131" s="522"/>
      <c r="CC131" s="522"/>
      <c r="CD131" s="522"/>
      <c r="CE131" s="522"/>
      <c r="CF131" s="522"/>
      <c r="CG131" s="522"/>
      <c r="CH131" s="522"/>
      <c r="CI131" s="522"/>
      <c r="CJ131" s="522"/>
      <c r="CK131" s="522"/>
      <c r="CL131" s="522"/>
      <c r="CM131" s="522"/>
      <c r="CN131" s="522"/>
      <c r="CO131" s="522"/>
      <c r="CP131" s="522"/>
      <c r="CQ131" s="522"/>
      <c r="CR131" s="522"/>
      <c r="CS131"/>
      <c r="CT131" s="1218"/>
      <c r="CU131"/>
      <c r="CV131" s="521"/>
      <c r="CW131" s="521"/>
      <c r="CX131" s="521"/>
      <c r="CY131" s="521"/>
      <c r="CZ131" s="521"/>
      <c r="DA131" s="521"/>
      <c r="DB131" s="521"/>
      <c r="DC131" s="521"/>
      <c r="DD131" s="521"/>
      <c r="DE131" s="522"/>
      <c r="DF131" s="522"/>
      <c r="DG131" s="522"/>
      <c r="DH131" s="522"/>
      <c r="DI131" s="522"/>
      <c r="DJ131" s="522"/>
      <c r="DK131" s="522"/>
      <c r="DL131" s="522"/>
      <c r="DM131" s="522"/>
      <c r="DN131" s="522"/>
      <c r="DO131" s="522"/>
      <c r="DP131" s="522"/>
      <c r="DQ131" s="522"/>
      <c r="DR131" s="522"/>
      <c r="DS131" s="522"/>
      <c r="DT131" s="522"/>
      <c r="DU131" s="522"/>
      <c r="DV131" s="522"/>
      <c r="DW131" s="522"/>
      <c r="DX131" s="522"/>
      <c r="DY131" s="522"/>
      <c r="DZ131" s="522"/>
      <c r="EA131" s="522"/>
      <c r="EB131" s="522"/>
      <c r="EC131" s="522"/>
      <c r="ED131" s="522"/>
      <c r="EE131" s="522"/>
    </row>
    <row r="132" spans="2:135" s="524" customFormat="1" ht="12.95" customHeight="1">
      <c r="B132" s="520"/>
      <c r="C132" s="521"/>
      <c r="D132" s="521"/>
      <c r="E132" s="521"/>
      <c r="F132" s="521"/>
      <c r="G132" s="521"/>
      <c r="H132" s="521"/>
      <c r="I132" s="521"/>
      <c r="J132" s="521"/>
      <c r="K132" s="521"/>
      <c r="L132" s="521"/>
      <c r="M132" s="521"/>
      <c r="N132" s="521"/>
      <c r="O132" s="521"/>
      <c r="P132" s="521"/>
      <c r="Q132" s="521"/>
      <c r="R132" s="521"/>
      <c r="S132" s="521"/>
      <c r="T132" s="521"/>
      <c r="U132" s="521"/>
      <c r="V132" s="521"/>
      <c r="W132" s="521"/>
      <c r="X132" s="521"/>
      <c r="Y132" s="521"/>
      <c r="Z132" s="521"/>
      <c r="AA132" s="521"/>
      <c r="AB132" s="521"/>
      <c r="AC132" s="521"/>
      <c r="AD132" s="521"/>
      <c r="AE132" s="522"/>
      <c r="AF132" s="522"/>
      <c r="AG132" s="522"/>
      <c r="AH132" s="522"/>
      <c r="AI132" s="522"/>
      <c r="AJ132" s="522"/>
      <c r="AK132" s="522"/>
      <c r="AL132" s="522"/>
      <c r="AM132" s="522"/>
      <c r="AN132" s="522"/>
      <c r="AO132" s="522"/>
      <c r="AP132" s="522"/>
      <c r="AQ132" s="522"/>
      <c r="AR132" s="522"/>
      <c r="AS132" s="522"/>
      <c r="AT132" s="522"/>
      <c r="AU132" s="522"/>
      <c r="AV132" s="522"/>
      <c r="AW132" s="522"/>
      <c r="AX132" s="522"/>
      <c r="AY132" s="522"/>
      <c r="AZ132" s="522"/>
      <c r="BA132" s="522"/>
      <c r="BB132" s="522"/>
      <c r="BC132" s="522"/>
      <c r="BD132" s="522"/>
      <c r="BE132" s="522"/>
      <c r="BG132" s="391"/>
      <c r="BI132" s="521"/>
      <c r="BJ132" s="521"/>
      <c r="BK132" s="521"/>
      <c r="BL132" s="521"/>
      <c r="BM132" s="521"/>
      <c r="BN132" s="521"/>
      <c r="BO132" s="521"/>
      <c r="BP132" s="521"/>
      <c r="BQ132" s="521"/>
      <c r="BR132" s="522"/>
      <c r="BS132" s="522"/>
      <c r="BT132" s="522"/>
      <c r="BU132" s="522"/>
      <c r="BV132" s="522"/>
      <c r="BW132" s="522"/>
      <c r="BX132" s="522"/>
      <c r="BY132" s="522"/>
      <c r="BZ132" s="522"/>
      <c r="CA132" s="522"/>
      <c r="CB132" s="522"/>
      <c r="CC132" s="522"/>
      <c r="CD132" s="522"/>
      <c r="CE132" s="522"/>
      <c r="CF132" s="522"/>
      <c r="CG132" s="522"/>
      <c r="CH132" s="522"/>
      <c r="CI132" s="522"/>
      <c r="CJ132" s="522"/>
      <c r="CK132" s="522"/>
      <c r="CL132" s="522"/>
      <c r="CM132" s="522"/>
      <c r="CN132" s="522"/>
      <c r="CO132" s="522"/>
      <c r="CP132" s="522"/>
      <c r="CQ132" s="522"/>
      <c r="CR132" s="522"/>
      <c r="CS132"/>
      <c r="CT132" s="1218"/>
      <c r="CU132"/>
      <c r="CV132" s="521"/>
      <c r="CW132" s="521"/>
      <c r="CX132" s="521"/>
      <c r="CY132" s="521"/>
      <c r="CZ132" s="521"/>
      <c r="DA132" s="521"/>
      <c r="DB132" s="521"/>
      <c r="DC132" s="521"/>
      <c r="DD132" s="521"/>
      <c r="DE132" s="522"/>
      <c r="DF132" s="522"/>
      <c r="DG132" s="522"/>
      <c r="DH132" s="522"/>
      <c r="DI132" s="522"/>
      <c r="DJ132" s="522"/>
      <c r="DK132" s="522"/>
      <c r="DL132" s="522"/>
      <c r="DM132" s="522"/>
      <c r="DN132" s="522"/>
      <c r="DO132" s="522"/>
      <c r="DP132" s="522"/>
      <c r="DQ132" s="522"/>
      <c r="DR132" s="522"/>
      <c r="DS132" s="522"/>
      <c r="DT132" s="522"/>
      <c r="DU132" s="522"/>
      <c r="DV132" s="522"/>
      <c r="DW132" s="522"/>
      <c r="DX132" s="522"/>
      <c r="DY132" s="522"/>
      <c r="DZ132" s="522"/>
      <c r="EA132" s="522"/>
      <c r="EB132" s="522"/>
      <c r="EC132" s="522"/>
      <c r="ED132" s="522"/>
      <c r="EE132" s="522"/>
    </row>
    <row r="133" spans="2:135" s="524" customFormat="1" ht="12.95" customHeight="1">
      <c r="B133" s="520"/>
      <c r="C133" s="521"/>
      <c r="D133" s="521"/>
      <c r="E133" s="521"/>
      <c r="F133" s="521"/>
      <c r="G133" s="521"/>
      <c r="H133" s="521"/>
      <c r="I133" s="521"/>
      <c r="J133" s="521"/>
      <c r="K133" s="521"/>
      <c r="L133" s="521"/>
      <c r="M133" s="521"/>
      <c r="N133" s="521"/>
      <c r="O133" s="521"/>
      <c r="P133" s="521"/>
      <c r="Q133" s="521"/>
      <c r="R133" s="521"/>
      <c r="S133" s="521"/>
      <c r="T133" s="521"/>
      <c r="U133" s="521"/>
      <c r="V133" s="521"/>
      <c r="W133" s="521"/>
      <c r="X133" s="521"/>
      <c r="Y133" s="521"/>
      <c r="Z133" s="521"/>
      <c r="AA133" s="521"/>
      <c r="AB133" s="521"/>
      <c r="AC133" s="521"/>
      <c r="AD133" s="521"/>
      <c r="AE133" s="522"/>
      <c r="AF133" s="522"/>
      <c r="AG133" s="522"/>
      <c r="AH133" s="522"/>
      <c r="AI133" s="522"/>
      <c r="AJ133" s="522"/>
      <c r="AK133" s="522"/>
      <c r="AL133" s="522"/>
      <c r="AM133" s="522"/>
      <c r="AN133" s="522"/>
      <c r="AO133" s="522"/>
      <c r="AP133" s="522"/>
      <c r="AQ133" s="522"/>
      <c r="AR133" s="522"/>
      <c r="AS133" s="522"/>
      <c r="AT133" s="522"/>
      <c r="AU133" s="522"/>
      <c r="AV133" s="522"/>
      <c r="AW133" s="522"/>
      <c r="AX133" s="522"/>
      <c r="AY133" s="522"/>
      <c r="AZ133" s="522"/>
      <c r="BA133" s="522"/>
      <c r="BB133" s="522"/>
      <c r="BC133" s="522"/>
      <c r="BD133" s="522"/>
      <c r="BE133" s="522"/>
      <c r="BG133" s="391"/>
      <c r="BI133" s="521"/>
      <c r="BJ133" s="521"/>
      <c r="BK133" s="521"/>
      <c r="BL133" s="521"/>
      <c r="BM133" s="521"/>
      <c r="BN133" s="521"/>
      <c r="BO133" s="521"/>
      <c r="BP133" s="521"/>
      <c r="BQ133" s="521"/>
      <c r="BR133" s="522"/>
      <c r="BS133" s="522"/>
      <c r="BT133" s="522"/>
      <c r="BU133" s="522"/>
      <c r="BV133" s="522"/>
      <c r="BW133" s="522"/>
      <c r="BX133" s="522"/>
      <c r="BY133" s="522"/>
      <c r="BZ133" s="522"/>
      <c r="CA133" s="522"/>
      <c r="CB133" s="522"/>
      <c r="CC133" s="522"/>
      <c r="CD133" s="522"/>
      <c r="CE133" s="522"/>
      <c r="CF133" s="522"/>
      <c r="CG133" s="522"/>
      <c r="CH133" s="522"/>
      <c r="CI133" s="522"/>
      <c r="CJ133" s="522"/>
      <c r="CK133" s="522"/>
      <c r="CL133" s="522"/>
      <c r="CM133" s="522"/>
      <c r="CN133" s="522"/>
      <c r="CO133" s="522"/>
      <c r="CP133" s="522"/>
      <c r="CQ133" s="522"/>
      <c r="CR133" s="522"/>
      <c r="CS133"/>
      <c r="CT133" s="1218"/>
      <c r="CU133"/>
      <c r="CV133" s="521"/>
      <c r="CW133" s="521"/>
      <c r="CX133" s="521"/>
      <c r="CY133" s="521"/>
      <c r="CZ133" s="521"/>
      <c r="DA133" s="521"/>
      <c r="DB133" s="521"/>
      <c r="DC133" s="521"/>
      <c r="DD133" s="521"/>
      <c r="DE133" s="522"/>
      <c r="DF133" s="522"/>
      <c r="DG133" s="522"/>
      <c r="DH133" s="522"/>
      <c r="DI133" s="522"/>
      <c r="DJ133" s="522"/>
      <c r="DK133" s="522"/>
      <c r="DL133" s="522"/>
      <c r="DM133" s="522"/>
      <c r="DN133" s="522"/>
      <c r="DO133" s="522"/>
      <c r="DP133" s="522"/>
      <c r="DQ133" s="522"/>
      <c r="DR133" s="522"/>
      <c r="DS133" s="522"/>
      <c r="DT133" s="522"/>
      <c r="DU133" s="522"/>
      <c r="DV133" s="522"/>
      <c r="DW133" s="522"/>
      <c r="DX133" s="522"/>
      <c r="DY133" s="522"/>
      <c r="DZ133" s="522"/>
      <c r="EA133" s="522"/>
      <c r="EB133" s="522"/>
      <c r="EC133" s="522"/>
      <c r="ED133" s="522"/>
      <c r="EE133" s="522"/>
    </row>
    <row r="134" spans="2:135" s="524" customFormat="1" ht="12.95" customHeight="1">
      <c r="B134" s="520"/>
      <c r="C134" s="521"/>
      <c r="D134" s="521"/>
      <c r="E134" s="521"/>
      <c r="F134" s="521"/>
      <c r="G134" s="521"/>
      <c r="H134" s="521"/>
      <c r="I134" s="521"/>
      <c r="J134" s="521"/>
      <c r="K134" s="521"/>
      <c r="L134" s="521"/>
      <c r="M134" s="521"/>
      <c r="N134" s="521"/>
      <c r="O134" s="521"/>
      <c r="P134" s="521"/>
      <c r="Q134" s="521"/>
      <c r="R134" s="521"/>
      <c r="S134" s="521"/>
      <c r="T134" s="521"/>
      <c r="U134" s="521"/>
      <c r="V134" s="521"/>
      <c r="W134" s="521"/>
      <c r="X134" s="521"/>
      <c r="Y134" s="521"/>
      <c r="Z134" s="521"/>
      <c r="AA134" s="521"/>
      <c r="AB134" s="521"/>
      <c r="AC134" s="521"/>
      <c r="AD134" s="521"/>
      <c r="AE134" s="522"/>
      <c r="AF134" s="522"/>
      <c r="AG134" s="522"/>
      <c r="AH134" s="522"/>
      <c r="AI134" s="522"/>
      <c r="AJ134" s="522"/>
      <c r="AK134" s="522"/>
      <c r="AL134" s="522"/>
      <c r="AM134" s="522"/>
      <c r="AN134" s="522"/>
      <c r="AO134" s="522"/>
      <c r="AP134" s="522"/>
      <c r="AQ134" s="522"/>
      <c r="AR134" s="522"/>
      <c r="AS134" s="522"/>
      <c r="AT134" s="522"/>
      <c r="AU134" s="522"/>
      <c r="AV134" s="522"/>
      <c r="AW134" s="522"/>
      <c r="AX134" s="522"/>
      <c r="AY134" s="522"/>
      <c r="AZ134" s="522"/>
      <c r="BA134" s="522"/>
      <c r="BB134" s="522"/>
      <c r="BC134" s="522"/>
      <c r="BD134" s="522"/>
      <c r="BE134" s="522"/>
      <c r="BG134" s="391"/>
      <c r="BI134" s="521"/>
      <c r="BJ134" s="521"/>
      <c r="BK134" s="521"/>
      <c r="BL134" s="521"/>
      <c r="BM134" s="521"/>
      <c r="BN134" s="521"/>
      <c r="BO134" s="521"/>
      <c r="BP134" s="521"/>
      <c r="BQ134" s="521"/>
      <c r="BR134" s="522"/>
      <c r="BS134" s="522"/>
      <c r="BT134" s="522"/>
      <c r="BU134" s="522"/>
      <c r="BV134" s="522"/>
      <c r="BW134" s="522"/>
      <c r="BX134" s="522"/>
      <c r="BY134" s="522"/>
      <c r="BZ134" s="522"/>
      <c r="CA134" s="522"/>
      <c r="CB134" s="522"/>
      <c r="CC134" s="522"/>
      <c r="CD134" s="522"/>
      <c r="CE134" s="522"/>
      <c r="CF134" s="522"/>
      <c r="CG134" s="522"/>
      <c r="CH134" s="522"/>
      <c r="CI134" s="522"/>
      <c r="CJ134" s="522"/>
      <c r="CK134" s="522"/>
      <c r="CL134" s="522"/>
      <c r="CM134" s="522"/>
      <c r="CN134" s="522"/>
      <c r="CO134" s="522"/>
      <c r="CP134" s="522"/>
      <c r="CQ134" s="522"/>
      <c r="CR134" s="522"/>
      <c r="CS134"/>
      <c r="CT134" s="1218"/>
      <c r="CU134"/>
      <c r="CV134" s="521"/>
      <c r="CW134" s="521"/>
      <c r="CX134" s="521"/>
      <c r="CY134" s="521"/>
      <c r="CZ134" s="521"/>
      <c r="DA134" s="521"/>
      <c r="DB134" s="521"/>
      <c r="DC134" s="521"/>
      <c r="DD134" s="521"/>
      <c r="DE134" s="522"/>
      <c r="DF134" s="522"/>
      <c r="DG134" s="522"/>
      <c r="DH134" s="522"/>
      <c r="DI134" s="522"/>
      <c r="DJ134" s="522"/>
      <c r="DK134" s="522"/>
      <c r="DL134" s="522"/>
      <c r="DM134" s="522"/>
      <c r="DN134" s="522"/>
      <c r="DO134" s="522"/>
      <c r="DP134" s="522"/>
      <c r="DQ134" s="522"/>
      <c r="DR134" s="522"/>
      <c r="DS134" s="522"/>
      <c r="DT134" s="522"/>
      <c r="DU134" s="522"/>
      <c r="DV134" s="522"/>
      <c r="DW134" s="522"/>
      <c r="DX134" s="522"/>
      <c r="DY134" s="522"/>
      <c r="DZ134" s="522"/>
      <c r="EA134" s="522"/>
      <c r="EB134" s="522"/>
      <c r="EC134" s="522"/>
      <c r="ED134" s="522"/>
      <c r="EE134" s="522"/>
    </row>
    <row r="135" spans="2:135" s="524" customFormat="1" ht="12.95" customHeight="1">
      <c r="B135" s="520"/>
      <c r="C135" s="521"/>
      <c r="D135" s="521"/>
      <c r="E135" s="521"/>
      <c r="F135" s="521"/>
      <c r="G135" s="521"/>
      <c r="H135" s="521"/>
      <c r="I135" s="521"/>
      <c r="J135" s="521"/>
      <c r="K135" s="521"/>
      <c r="L135" s="521"/>
      <c r="M135" s="521"/>
      <c r="N135" s="521"/>
      <c r="O135" s="521"/>
      <c r="P135" s="521"/>
      <c r="Q135" s="521"/>
      <c r="R135" s="521"/>
      <c r="S135" s="521"/>
      <c r="T135" s="521"/>
      <c r="U135" s="521"/>
      <c r="V135" s="521"/>
      <c r="W135" s="521"/>
      <c r="X135" s="521"/>
      <c r="Y135" s="521"/>
      <c r="Z135" s="521"/>
      <c r="AA135" s="521"/>
      <c r="AB135" s="521"/>
      <c r="AC135" s="521"/>
      <c r="AD135" s="521"/>
      <c r="AE135" s="522"/>
      <c r="AF135" s="522"/>
      <c r="AG135" s="522"/>
      <c r="AH135" s="522"/>
      <c r="AI135" s="522"/>
      <c r="AJ135" s="522"/>
      <c r="AK135" s="522"/>
      <c r="AL135" s="522"/>
      <c r="AM135" s="522"/>
      <c r="AN135" s="522"/>
      <c r="AO135" s="522"/>
      <c r="AP135" s="522"/>
      <c r="AQ135" s="522"/>
      <c r="AR135" s="522"/>
      <c r="AS135" s="522"/>
      <c r="AT135" s="522"/>
      <c r="AU135" s="522"/>
      <c r="AV135" s="522"/>
      <c r="AW135" s="522"/>
      <c r="AX135" s="522"/>
      <c r="AY135" s="522"/>
      <c r="AZ135" s="522"/>
      <c r="BA135" s="522"/>
      <c r="BB135" s="522"/>
      <c r="BC135" s="522"/>
      <c r="BD135" s="522"/>
      <c r="BE135" s="522"/>
      <c r="BG135" s="391"/>
      <c r="BI135" s="521"/>
      <c r="BJ135" s="521"/>
      <c r="BK135" s="521"/>
      <c r="BL135" s="521"/>
      <c r="BM135" s="521"/>
      <c r="BN135" s="521"/>
      <c r="BO135" s="521"/>
      <c r="BP135" s="521"/>
      <c r="BQ135" s="521"/>
      <c r="BR135" s="522"/>
      <c r="BS135" s="522"/>
      <c r="BT135" s="522"/>
      <c r="BU135" s="522"/>
      <c r="BV135" s="522"/>
      <c r="BW135" s="522"/>
      <c r="BX135" s="522"/>
      <c r="BY135" s="522"/>
      <c r="BZ135" s="522"/>
      <c r="CA135" s="522"/>
      <c r="CB135" s="522"/>
      <c r="CC135" s="522"/>
      <c r="CD135" s="522"/>
      <c r="CE135" s="522"/>
      <c r="CF135" s="522"/>
      <c r="CG135" s="522"/>
      <c r="CH135" s="522"/>
      <c r="CI135" s="522"/>
      <c r="CJ135" s="522"/>
      <c r="CK135" s="522"/>
      <c r="CL135" s="522"/>
      <c r="CM135" s="522"/>
      <c r="CN135" s="522"/>
      <c r="CO135" s="522"/>
      <c r="CP135" s="522"/>
      <c r="CQ135" s="522"/>
      <c r="CR135" s="522"/>
      <c r="CS135"/>
      <c r="CT135" s="1218"/>
      <c r="CU135"/>
      <c r="CV135" s="521"/>
      <c r="CW135" s="521"/>
      <c r="CX135" s="521"/>
      <c r="CY135" s="521"/>
      <c r="CZ135" s="521"/>
      <c r="DA135" s="521"/>
      <c r="DB135" s="521"/>
      <c r="DC135" s="521"/>
      <c r="DD135" s="521"/>
      <c r="DE135" s="522"/>
      <c r="DF135" s="522"/>
      <c r="DG135" s="522"/>
      <c r="DH135" s="522"/>
      <c r="DI135" s="522"/>
      <c r="DJ135" s="522"/>
      <c r="DK135" s="522"/>
      <c r="DL135" s="522"/>
      <c r="DM135" s="522"/>
      <c r="DN135" s="522"/>
      <c r="DO135" s="522"/>
      <c r="DP135" s="522"/>
      <c r="DQ135" s="522"/>
      <c r="DR135" s="522"/>
      <c r="DS135" s="522"/>
      <c r="DT135" s="522"/>
      <c r="DU135" s="522"/>
      <c r="DV135" s="522"/>
      <c r="DW135" s="522"/>
      <c r="DX135" s="522"/>
      <c r="DY135" s="522"/>
      <c r="DZ135" s="522"/>
      <c r="EA135" s="522"/>
      <c r="EB135" s="522"/>
      <c r="EC135" s="522"/>
      <c r="ED135" s="522"/>
      <c r="EE135" s="522"/>
    </row>
    <row r="136" spans="2:135" s="524" customFormat="1" ht="12.95" customHeight="1">
      <c r="B136" s="520"/>
      <c r="C136" s="521"/>
      <c r="D136" s="521"/>
      <c r="E136" s="521"/>
      <c r="F136" s="521"/>
      <c r="G136" s="521"/>
      <c r="H136" s="521"/>
      <c r="I136" s="521"/>
      <c r="J136" s="521"/>
      <c r="K136" s="521"/>
      <c r="L136" s="521"/>
      <c r="M136" s="521"/>
      <c r="N136" s="521"/>
      <c r="O136" s="521"/>
      <c r="P136" s="521"/>
      <c r="Q136" s="521"/>
      <c r="R136" s="521"/>
      <c r="S136" s="521"/>
      <c r="T136" s="521"/>
      <c r="U136" s="521"/>
      <c r="V136" s="521"/>
      <c r="W136" s="521"/>
      <c r="X136" s="521"/>
      <c r="Y136" s="521"/>
      <c r="Z136" s="521"/>
      <c r="AA136" s="521"/>
      <c r="AB136" s="521"/>
      <c r="AC136" s="521"/>
      <c r="AD136" s="521"/>
      <c r="AE136" s="522"/>
      <c r="AF136" s="522"/>
      <c r="AG136" s="522"/>
      <c r="AH136" s="522"/>
      <c r="AI136" s="522"/>
      <c r="AJ136" s="522"/>
      <c r="AK136" s="522"/>
      <c r="AL136" s="522"/>
      <c r="AM136" s="522"/>
      <c r="AN136" s="522"/>
      <c r="AO136" s="522"/>
      <c r="AP136" s="522"/>
      <c r="AQ136" s="522"/>
      <c r="AR136" s="522"/>
      <c r="AS136" s="522"/>
      <c r="AT136" s="522"/>
      <c r="AU136" s="522"/>
      <c r="AV136" s="522"/>
      <c r="AW136" s="522"/>
      <c r="AX136" s="522"/>
      <c r="AY136" s="522"/>
      <c r="AZ136" s="522"/>
      <c r="BA136" s="522"/>
      <c r="BB136" s="522"/>
      <c r="BC136" s="522"/>
      <c r="BD136" s="522"/>
      <c r="BE136" s="522"/>
      <c r="BG136" s="391"/>
      <c r="BI136" s="521"/>
      <c r="BJ136" s="521"/>
      <c r="BK136" s="521"/>
      <c r="BL136" s="521"/>
      <c r="BM136" s="521"/>
      <c r="BN136" s="521"/>
      <c r="BO136" s="521"/>
      <c r="BP136" s="521"/>
      <c r="BQ136" s="521"/>
      <c r="BR136" s="522"/>
      <c r="BS136" s="522"/>
      <c r="BT136" s="522"/>
      <c r="BU136" s="522"/>
      <c r="BV136" s="522"/>
      <c r="BW136" s="522"/>
      <c r="BX136" s="522"/>
      <c r="BY136" s="522"/>
      <c r="BZ136" s="522"/>
      <c r="CA136" s="522"/>
      <c r="CB136" s="522"/>
      <c r="CC136" s="522"/>
      <c r="CD136" s="522"/>
      <c r="CE136" s="522"/>
      <c r="CF136" s="522"/>
      <c r="CG136" s="522"/>
      <c r="CH136" s="522"/>
      <c r="CI136" s="522"/>
      <c r="CJ136" s="522"/>
      <c r="CK136" s="522"/>
      <c r="CL136" s="522"/>
      <c r="CM136" s="522"/>
      <c r="CN136" s="522"/>
      <c r="CO136" s="522"/>
      <c r="CP136" s="522"/>
      <c r="CQ136" s="522"/>
      <c r="CR136" s="522"/>
      <c r="CS136"/>
      <c r="CT136" s="1218"/>
      <c r="CU136"/>
      <c r="CV136" s="521"/>
      <c r="CW136" s="521"/>
      <c r="CX136" s="521"/>
      <c r="CY136" s="521"/>
      <c r="CZ136" s="521"/>
      <c r="DA136" s="521"/>
      <c r="DB136" s="521"/>
      <c r="DC136" s="521"/>
      <c r="DD136" s="521"/>
      <c r="DE136" s="522"/>
      <c r="DF136" s="522"/>
      <c r="DG136" s="522"/>
      <c r="DH136" s="522"/>
      <c r="DI136" s="522"/>
      <c r="DJ136" s="522"/>
      <c r="DK136" s="522"/>
      <c r="DL136" s="522"/>
      <c r="DM136" s="522"/>
      <c r="DN136" s="522"/>
      <c r="DO136" s="522"/>
      <c r="DP136" s="522"/>
      <c r="DQ136" s="522"/>
      <c r="DR136" s="522"/>
      <c r="DS136" s="522"/>
      <c r="DT136" s="522"/>
      <c r="DU136" s="522"/>
      <c r="DV136" s="522"/>
      <c r="DW136" s="522"/>
      <c r="DX136" s="522"/>
      <c r="DY136" s="522"/>
      <c r="DZ136" s="522"/>
      <c r="EA136" s="522"/>
      <c r="EB136" s="522"/>
      <c r="EC136" s="522"/>
      <c r="ED136" s="522"/>
      <c r="EE136" s="522"/>
    </row>
    <row r="137" spans="2:135" s="524" customFormat="1" ht="12.95" customHeight="1">
      <c r="B137" s="520"/>
      <c r="C137" s="521"/>
      <c r="D137" s="521"/>
      <c r="E137" s="521"/>
      <c r="F137" s="521"/>
      <c r="G137" s="521"/>
      <c r="H137" s="521"/>
      <c r="I137" s="521"/>
      <c r="J137" s="521"/>
      <c r="K137" s="521"/>
      <c r="L137" s="521"/>
      <c r="M137" s="521"/>
      <c r="N137" s="521"/>
      <c r="O137" s="521"/>
      <c r="P137" s="521"/>
      <c r="Q137" s="521"/>
      <c r="R137" s="521"/>
      <c r="S137" s="521"/>
      <c r="T137" s="521"/>
      <c r="U137" s="521"/>
      <c r="V137" s="521"/>
      <c r="W137" s="521"/>
      <c r="X137" s="521"/>
      <c r="Y137" s="521"/>
      <c r="Z137" s="521"/>
      <c r="AA137" s="521"/>
      <c r="AB137" s="521"/>
      <c r="AC137" s="521"/>
      <c r="AD137" s="521"/>
      <c r="AE137" s="522"/>
      <c r="AF137" s="522"/>
      <c r="AG137" s="522"/>
      <c r="AH137" s="522"/>
      <c r="AI137" s="522"/>
      <c r="AJ137" s="522"/>
      <c r="AK137" s="522"/>
      <c r="AL137" s="522"/>
      <c r="AM137" s="522"/>
      <c r="AN137" s="522"/>
      <c r="AO137" s="522"/>
      <c r="AP137" s="522"/>
      <c r="AQ137" s="522"/>
      <c r="AR137" s="522"/>
      <c r="AS137" s="522"/>
      <c r="AT137" s="522"/>
      <c r="AU137" s="522"/>
      <c r="AV137" s="522"/>
      <c r="AW137" s="522"/>
      <c r="AX137" s="522"/>
      <c r="AY137" s="522"/>
      <c r="AZ137" s="522"/>
      <c r="BA137" s="522"/>
      <c r="BB137" s="522"/>
      <c r="BC137" s="522"/>
      <c r="BD137" s="522"/>
      <c r="BE137" s="522"/>
      <c r="BG137" s="391"/>
      <c r="BI137" s="521"/>
      <c r="BJ137" s="521"/>
      <c r="BK137" s="521"/>
      <c r="BL137" s="521"/>
      <c r="BM137" s="521"/>
      <c r="BN137" s="521"/>
      <c r="BO137" s="521"/>
      <c r="BP137" s="521"/>
      <c r="BQ137" s="521"/>
      <c r="BR137" s="522"/>
      <c r="BS137" s="522"/>
      <c r="BT137" s="522"/>
      <c r="BU137" s="522"/>
      <c r="BV137" s="522"/>
      <c r="BW137" s="522"/>
      <c r="BX137" s="522"/>
      <c r="BY137" s="522"/>
      <c r="BZ137" s="522"/>
      <c r="CA137" s="522"/>
      <c r="CB137" s="522"/>
      <c r="CC137" s="522"/>
      <c r="CD137" s="522"/>
      <c r="CE137" s="522"/>
      <c r="CF137" s="522"/>
      <c r="CG137" s="522"/>
      <c r="CH137" s="522"/>
      <c r="CI137" s="522"/>
      <c r="CJ137" s="522"/>
      <c r="CK137" s="522"/>
      <c r="CL137" s="522"/>
      <c r="CM137" s="522"/>
      <c r="CN137" s="522"/>
      <c r="CO137" s="522"/>
      <c r="CP137" s="522"/>
      <c r="CQ137" s="522"/>
      <c r="CR137" s="522"/>
      <c r="CS137"/>
      <c r="CT137" s="1218"/>
      <c r="CU137"/>
      <c r="CV137" s="521"/>
      <c r="CW137" s="521"/>
      <c r="CX137" s="521"/>
      <c r="CY137" s="521"/>
      <c r="CZ137" s="521"/>
      <c r="DA137" s="521"/>
      <c r="DB137" s="521"/>
      <c r="DC137" s="521"/>
      <c r="DD137" s="521"/>
      <c r="DE137" s="522"/>
      <c r="DF137" s="522"/>
      <c r="DG137" s="522"/>
      <c r="DH137" s="522"/>
      <c r="DI137" s="522"/>
      <c r="DJ137" s="522"/>
      <c r="DK137" s="522"/>
      <c r="DL137" s="522"/>
      <c r="DM137" s="522"/>
      <c r="DN137" s="522"/>
      <c r="DO137" s="522"/>
      <c r="DP137" s="522"/>
      <c r="DQ137" s="522"/>
      <c r="DR137" s="522"/>
      <c r="DS137" s="522"/>
      <c r="DT137" s="522"/>
      <c r="DU137" s="522"/>
      <c r="DV137" s="522"/>
      <c r="DW137" s="522"/>
      <c r="DX137" s="522"/>
      <c r="DY137" s="522"/>
      <c r="DZ137" s="522"/>
      <c r="EA137" s="522"/>
      <c r="EB137" s="522"/>
      <c r="EC137" s="522"/>
      <c r="ED137" s="522"/>
      <c r="EE137" s="522"/>
    </row>
    <row r="138" spans="2:135" s="524" customFormat="1" ht="12.95" customHeight="1">
      <c r="B138" s="520"/>
      <c r="C138" s="521"/>
      <c r="D138" s="521"/>
      <c r="E138" s="521"/>
      <c r="F138" s="521"/>
      <c r="G138" s="521"/>
      <c r="H138" s="521"/>
      <c r="I138" s="521"/>
      <c r="J138" s="521"/>
      <c r="K138" s="521"/>
      <c r="L138" s="521"/>
      <c r="M138" s="521"/>
      <c r="N138" s="521"/>
      <c r="O138" s="521"/>
      <c r="P138" s="521"/>
      <c r="Q138" s="521"/>
      <c r="R138" s="521"/>
      <c r="S138" s="521"/>
      <c r="T138" s="521"/>
      <c r="U138" s="521"/>
      <c r="V138" s="521"/>
      <c r="W138" s="521"/>
      <c r="X138" s="521"/>
      <c r="Y138" s="521"/>
      <c r="Z138" s="521"/>
      <c r="AA138" s="521"/>
      <c r="AB138" s="521"/>
      <c r="AC138" s="521"/>
      <c r="AD138" s="521"/>
      <c r="AE138" s="522"/>
      <c r="AF138" s="522"/>
      <c r="AG138" s="522"/>
      <c r="AH138" s="522"/>
      <c r="AI138" s="522"/>
      <c r="AJ138" s="522"/>
      <c r="AK138" s="522"/>
      <c r="AL138" s="522"/>
      <c r="AM138" s="522"/>
      <c r="AN138" s="522"/>
      <c r="AO138" s="522"/>
      <c r="AP138" s="522"/>
      <c r="AQ138" s="522"/>
      <c r="AR138" s="522"/>
      <c r="AS138" s="522"/>
      <c r="AT138" s="522"/>
      <c r="AU138" s="522"/>
      <c r="AV138" s="522"/>
      <c r="AW138" s="522"/>
      <c r="AX138" s="522"/>
      <c r="AY138" s="522"/>
      <c r="AZ138" s="522"/>
      <c r="BA138" s="522"/>
      <c r="BB138" s="522"/>
      <c r="BC138" s="522"/>
      <c r="BD138" s="522"/>
      <c r="BE138" s="522"/>
      <c r="BG138" s="391"/>
      <c r="BI138" s="521"/>
      <c r="BJ138" s="521"/>
      <c r="BK138" s="521"/>
      <c r="BL138" s="521"/>
      <c r="BM138" s="521"/>
      <c r="BN138" s="521"/>
      <c r="BO138" s="521"/>
      <c r="BP138" s="521"/>
      <c r="BQ138" s="521"/>
      <c r="BR138" s="522"/>
      <c r="BS138" s="522"/>
      <c r="BT138" s="522"/>
      <c r="BU138" s="522"/>
      <c r="BV138" s="522"/>
      <c r="BW138" s="522"/>
      <c r="BX138" s="522"/>
      <c r="BY138" s="522"/>
      <c r="BZ138" s="522"/>
      <c r="CA138" s="522"/>
      <c r="CB138" s="522"/>
      <c r="CC138" s="522"/>
      <c r="CD138" s="522"/>
      <c r="CE138" s="522"/>
      <c r="CF138" s="522"/>
      <c r="CG138" s="522"/>
      <c r="CH138" s="522"/>
      <c r="CI138" s="522"/>
      <c r="CJ138" s="522"/>
      <c r="CK138" s="522"/>
      <c r="CL138" s="522"/>
      <c r="CM138" s="522"/>
      <c r="CN138" s="522"/>
      <c r="CO138" s="522"/>
      <c r="CP138" s="522"/>
      <c r="CQ138" s="522"/>
      <c r="CR138" s="522"/>
      <c r="CS138"/>
      <c r="CT138" s="1218"/>
      <c r="CU138"/>
      <c r="CV138" s="521"/>
      <c r="CW138" s="521"/>
      <c r="CX138" s="521"/>
      <c r="CY138" s="521"/>
      <c r="CZ138" s="521"/>
      <c r="DA138" s="521"/>
      <c r="DB138" s="521"/>
      <c r="DC138" s="521"/>
      <c r="DD138" s="521"/>
      <c r="DE138" s="522"/>
      <c r="DF138" s="522"/>
      <c r="DG138" s="522"/>
      <c r="DH138" s="522"/>
      <c r="DI138" s="522"/>
      <c r="DJ138" s="522"/>
      <c r="DK138" s="522"/>
      <c r="DL138" s="522"/>
      <c r="DM138" s="522"/>
      <c r="DN138" s="522"/>
      <c r="DO138" s="522"/>
      <c r="DP138" s="522"/>
      <c r="DQ138" s="522"/>
      <c r="DR138" s="522"/>
      <c r="DS138" s="522"/>
      <c r="DT138" s="522"/>
      <c r="DU138" s="522"/>
      <c r="DV138" s="522"/>
      <c r="DW138" s="522"/>
      <c r="DX138" s="522"/>
      <c r="DY138" s="522"/>
      <c r="DZ138" s="522"/>
      <c r="EA138" s="522"/>
      <c r="EB138" s="522"/>
      <c r="EC138" s="522"/>
      <c r="ED138" s="522"/>
      <c r="EE138" s="522"/>
    </row>
    <row r="139" spans="2:135" s="524" customFormat="1" ht="12.95" customHeight="1">
      <c r="B139" s="520"/>
      <c r="C139" s="521"/>
      <c r="D139" s="521"/>
      <c r="E139" s="521"/>
      <c r="F139" s="521"/>
      <c r="G139" s="521"/>
      <c r="H139" s="521"/>
      <c r="I139" s="521"/>
      <c r="J139" s="521"/>
      <c r="K139" s="521"/>
      <c r="L139" s="521"/>
      <c r="M139" s="521"/>
      <c r="N139" s="521"/>
      <c r="O139" s="521"/>
      <c r="P139" s="521"/>
      <c r="Q139" s="521"/>
      <c r="R139" s="521"/>
      <c r="S139" s="521"/>
      <c r="T139" s="521"/>
      <c r="U139" s="521"/>
      <c r="V139" s="521"/>
      <c r="W139" s="521"/>
      <c r="X139" s="521"/>
      <c r="Y139" s="521"/>
      <c r="Z139" s="521"/>
      <c r="AA139" s="521"/>
      <c r="AB139" s="521"/>
      <c r="AC139" s="521"/>
      <c r="AD139" s="521"/>
      <c r="AE139" s="522"/>
      <c r="AF139" s="522"/>
      <c r="AG139" s="522"/>
      <c r="AH139" s="522"/>
      <c r="AI139" s="522"/>
      <c r="AJ139" s="522"/>
      <c r="AK139" s="522"/>
      <c r="AL139" s="522"/>
      <c r="AM139" s="522"/>
      <c r="AN139" s="522"/>
      <c r="AO139" s="522"/>
      <c r="AP139" s="522"/>
      <c r="AQ139" s="522"/>
      <c r="AR139" s="522"/>
      <c r="AS139" s="522"/>
      <c r="AT139" s="522"/>
      <c r="AU139" s="522"/>
      <c r="AV139" s="522"/>
      <c r="AW139" s="522"/>
      <c r="AX139" s="522"/>
      <c r="AY139" s="522"/>
      <c r="AZ139" s="522"/>
      <c r="BA139" s="522"/>
      <c r="BB139" s="522"/>
      <c r="BC139" s="522"/>
      <c r="BD139" s="522"/>
      <c r="BE139" s="522"/>
      <c r="BG139" s="391"/>
      <c r="BI139" s="521"/>
      <c r="BJ139" s="521"/>
      <c r="BK139" s="521"/>
      <c r="BL139" s="521"/>
      <c r="BM139" s="521"/>
      <c r="BN139" s="521"/>
      <c r="BO139" s="521"/>
      <c r="BP139" s="521"/>
      <c r="BQ139" s="521"/>
      <c r="BR139" s="522"/>
      <c r="BS139" s="522"/>
      <c r="BT139" s="522"/>
      <c r="BU139" s="522"/>
      <c r="BV139" s="522"/>
      <c r="BW139" s="522"/>
      <c r="BX139" s="522"/>
      <c r="BY139" s="522"/>
      <c r="BZ139" s="522"/>
      <c r="CA139" s="522"/>
      <c r="CB139" s="522"/>
      <c r="CC139" s="522"/>
      <c r="CD139" s="522"/>
      <c r="CE139" s="522"/>
      <c r="CF139" s="522"/>
      <c r="CG139" s="522"/>
      <c r="CH139" s="522"/>
      <c r="CI139" s="522"/>
      <c r="CJ139" s="522"/>
      <c r="CK139" s="522"/>
      <c r="CL139" s="522"/>
      <c r="CM139" s="522"/>
      <c r="CN139" s="522"/>
      <c r="CO139" s="522"/>
      <c r="CP139" s="522"/>
      <c r="CQ139" s="522"/>
      <c r="CR139" s="522"/>
      <c r="CS139"/>
      <c r="CT139" s="1218"/>
      <c r="CU139"/>
      <c r="CV139" s="521"/>
      <c r="CW139" s="521"/>
      <c r="CX139" s="521"/>
      <c r="CY139" s="521"/>
      <c r="CZ139" s="521"/>
      <c r="DA139" s="521"/>
      <c r="DB139" s="521"/>
      <c r="DC139" s="521"/>
      <c r="DD139" s="521"/>
      <c r="DE139" s="522"/>
      <c r="DF139" s="522"/>
      <c r="DG139" s="522"/>
      <c r="DH139" s="522"/>
      <c r="DI139" s="522"/>
      <c r="DJ139" s="522"/>
      <c r="DK139" s="522"/>
      <c r="DL139" s="522"/>
      <c r="DM139" s="522"/>
      <c r="DN139" s="522"/>
      <c r="DO139" s="522"/>
      <c r="DP139" s="522"/>
      <c r="DQ139" s="522"/>
      <c r="DR139" s="522"/>
      <c r="DS139" s="522"/>
      <c r="DT139" s="522"/>
      <c r="DU139" s="522"/>
      <c r="DV139" s="522"/>
      <c r="DW139" s="522"/>
      <c r="DX139" s="522"/>
      <c r="DY139" s="522"/>
      <c r="DZ139" s="522"/>
      <c r="EA139" s="522"/>
      <c r="EB139" s="522"/>
      <c r="EC139" s="522"/>
      <c r="ED139" s="522"/>
      <c r="EE139" s="522"/>
    </row>
    <row r="140" spans="2:135" s="524" customFormat="1" ht="12.95" customHeight="1">
      <c r="B140" s="520"/>
      <c r="C140" s="521"/>
      <c r="D140" s="521"/>
      <c r="E140" s="521"/>
      <c r="F140" s="521"/>
      <c r="G140" s="521"/>
      <c r="H140" s="521"/>
      <c r="I140" s="521"/>
      <c r="J140" s="521"/>
      <c r="K140" s="521"/>
      <c r="L140" s="521"/>
      <c r="M140" s="521"/>
      <c r="N140" s="521"/>
      <c r="O140" s="521"/>
      <c r="P140" s="521"/>
      <c r="Q140" s="521"/>
      <c r="R140" s="521"/>
      <c r="S140" s="521"/>
      <c r="T140" s="521"/>
      <c r="U140" s="521"/>
      <c r="V140" s="521"/>
      <c r="W140" s="521"/>
      <c r="X140" s="521"/>
      <c r="Y140" s="521"/>
      <c r="Z140" s="521"/>
      <c r="AA140" s="521"/>
      <c r="AB140" s="521"/>
      <c r="AC140" s="521"/>
      <c r="AD140" s="521"/>
      <c r="AE140" s="522"/>
      <c r="AF140" s="522"/>
      <c r="AG140" s="522"/>
      <c r="AH140" s="522"/>
      <c r="AI140" s="522"/>
      <c r="AJ140" s="522"/>
      <c r="AK140" s="522"/>
      <c r="AL140" s="522"/>
      <c r="AM140" s="522"/>
      <c r="AN140" s="522"/>
      <c r="AO140" s="522"/>
      <c r="AP140" s="522"/>
      <c r="AQ140" s="522"/>
      <c r="AR140" s="522"/>
      <c r="AS140" s="522"/>
      <c r="AT140" s="522"/>
      <c r="AU140" s="522"/>
      <c r="AV140" s="522"/>
      <c r="AW140" s="522"/>
      <c r="AX140" s="522"/>
      <c r="AY140" s="522"/>
      <c r="AZ140" s="522"/>
      <c r="BA140" s="522"/>
      <c r="BB140" s="522"/>
      <c r="BC140" s="522"/>
      <c r="BD140" s="522"/>
      <c r="BE140" s="522"/>
      <c r="BG140" s="391"/>
      <c r="BI140" s="521"/>
      <c r="BJ140" s="521"/>
      <c r="BK140" s="521"/>
      <c r="BL140" s="521"/>
      <c r="BM140" s="521"/>
      <c r="BN140" s="521"/>
      <c r="BO140" s="521"/>
      <c r="BP140" s="521"/>
      <c r="BQ140" s="521"/>
      <c r="BR140" s="522"/>
      <c r="BS140" s="522"/>
      <c r="BT140" s="522"/>
      <c r="BU140" s="522"/>
      <c r="BV140" s="522"/>
      <c r="BW140" s="522"/>
      <c r="BX140" s="522"/>
      <c r="BY140" s="522"/>
      <c r="BZ140" s="522"/>
      <c r="CA140" s="522"/>
      <c r="CB140" s="522"/>
      <c r="CC140" s="522"/>
      <c r="CD140" s="522"/>
      <c r="CE140" s="522"/>
      <c r="CF140" s="522"/>
      <c r="CG140" s="522"/>
      <c r="CH140" s="522"/>
      <c r="CI140" s="522"/>
      <c r="CJ140" s="522"/>
      <c r="CK140" s="522"/>
      <c r="CL140" s="522"/>
      <c r="CM140" s="522"/>
      <c r="CN140" s="522"/>
      <c r="CO140" s="522"/>
      <c r="CP140" s="522"/>
      <c r="CQ140" s="522"/>
      <c r="CR140" s="522"/>
      <c r="CS140"/>
      <c r="CT140" s="1218"/>
      <c r="CU140"/>
      <c r="CV140" s="521"/>
      <c r="CW140" s="521"/>
      <c r="CX140" s="521"/>
      <c r="CY140" s="521"/>
      <c r="CZ140" s="521"/>
      <c r="DA140" s="521"/>
      <c r="DB140" s="521"/>
      <c r="DC140" s="521"/>
      <c r="DD140" s="521"/>
      <c r="DE140" s="522"/>
      <c r="DF140" s="522"/>
      <c r="DG140" s="522"/>
      <c r="DH140" s="522"/>
      <c r="DI140" s="522"/>
      <c r="DJ140" s="522"/>
      <c r="DK140" s="522"/>
      <c r="DL140" s="522"/>
      <c r="DM140" s="522"/>
      <c r="DN140" s="522"/>
      <c r="DO140" s="522"/>
      <c r="DP140" s="522"/>
      <c r="DQ140" s="522"/>
      <c r="DR140" s="522"/>
      <c r="DS140" s="522"/>
      <c r="DT140" s="522"/>
      <c r="DU140" s="522"/>
      <c r="DV140" s="522"/>
      <c r="DW140" s="522"/>
      <c r="DX140" s="522"/>
      <c r="DY140" s="522"/>
      <c r="DZ140" s="522"/>
      <c r="EA140" s="522"/>
      <c r="EB140" s="522"/>
      <c r="EC140" s="522"/>
      <c r="ED140" s="522"/>
      <c r="EE140" s="522"/>
    </row>
    <row r="141" spans="2:135" s="524" customFormat="1" ht="12.95" customHeight="1">
      <c r="B141" s="520"/>
      <c r="C141" s="521"/>
      <c r="D141" s="521"/>
      <c r="E141" s="521"/>
      <c r="F141" s="521"/>
      <c r="G141" s="521"/>
      <c r="H141" s="521"/>
      <c r="I141" s="521"/>
      <c r="J141" s="521"/>
      <c r="K141" s="521"/>
      <c r="L141" s="521"/>
      <c r="M141" s="521"/>
      <c r="N141" s="521"/>
      <c r="O141" s="521"/>
      <c r="P141" s="521"/>
      <c r="Q141" s="521"/>
      <c r="R141" s="521"/>
      <c r="S141" s="521"/>
      <c r="T141" s="521"/>
      <c r="U141" s="521"/>
      <c r="V141" s="521"/>
      <c r="W141" s="521"/>
      <c r="X141" s="521"/>
      <c r="Y141" s="521"/>
      <c r="Z141" s="521"/>
      <c r="AA141" s="521"/>
      <c r="AB141" s="521"/>
      <c r="AC141" s="521"/>
      <c r="AD141" s="521"/>
      <c r="AE141" s="522"/>
      <c r="AF141" s="522"/>
      <c r="AG141" s="522"/>
      <c r="AH141" s="522"/>
      <c r="AI141" s="522"/>
      <c r="AJ141" s="522"/>
      <c r="AK141" s="522"/>
      <c r="AL141" s="522"/>
      <c r="AM141" s="522"/>
      <c r="AN141" s="522"/>
      <c r="AO141" s="522"/>
      <c r="AP141" s="522"/>
      <c r="AQ141" s="522"/>
      <c r="AR141" s="522"/>
      <c r="AS141" s="522"/>
      <c r="AT141" s="522"/>
      <c r="AU141" s="522"/>
      <c r="AV141" s="522"/>
      <c r="AW141" s="522"/>
      <c r="AX141" s="522"/>
      <c r="AY141" s="522"/>
      <c r="AZ141" s="522"/>
      <c r="BA141" s="522"/>
      <c r="BB141" s="522"/>
      <c r="BC141" s="522"/>
      <c r="BD141" s="522"/>
      <c r="BE141" s="522"/>
      <c r="BG141" s="391"/>
      <c r="BI141" s="521"/>
      <c r="BJ141" s="521"/>
      <c r="BK141" s="521"/>
      <c r="BL141" s="521"/>
      <c r="BM141" s="521"/>
      <c r="BN141" s="521"/>
      <c r="BO141" s="521"/>
      <c r="BP141" s="521"/>
      <c r="BQ141" s="521"/>
      <c r="BR141" s="522"/>
      <c r="BS141" s="522"/>
      <c r="BT141" s="522"/>
      <c r="BU141" s="522"/>
      <c r="BV141" s="522"/>
      <c r="BW141" s="522"/>
      <c r="BX141" s="522"/>
      <c r="BY141" s="522"/>
      <c r="BZ141" s="522"/>
      <c r="CA141" s="522"/>
      <c r="CB141" s="522"/>
      <c r="CC141" s="522"/>
      <c r="CD141" s="522"/>
      <c r="CE141" s="522"/>
      <c r="CF141" s="522"/>
      <c r="CG141" s="522"/>
      <c r="CH141" s="522"/>
      <c r="CI141" s="522"/>
      <c r="CJ141" s="522"/>
      <c r="CK141" s="522"/>
      <c r="CL141" s="522"/>
      <c r="CM141" s="522"/>
      <c r="CN141" s="522"/>
      <c r="CO141" s="522"/>
      <c r="CP141" s="522"/>
      <c r="CQ141" s="522"/>
      <c r="CR141" s="522"/>
      <c r="CS141"/>
      <c r="CT141" s="1218"/>
      <c r="CU141"/>
      <c r="CV141" s="521"/>
      <c r="CW141" s="521"/>
      <c r="CX141" s="521"/>
      <c r="CY141" s="521"/>
      <c r="CZ141" s="521"/>
      <c r="DA141" s="521"/>
      <c r="DB141" s="521"/>
      <c r="DC141" s="521"/>
      <c r="DD141" s="521"/>
      <c r="DE141" s="522"/>
      <c r="DF141" s="522"/>
      <c r="DG141" s="522"/>
      <c r="DH141" s="522"/>
      <c r="DI141" s="522"/>
      <c r="DJ141" s="522"/>
      <c r="DK141" s="522"/>
      <c r="DL141" s="522"/>
      <c r="DM141" s="522"/>
      <c r="DN141" s="522"/>
      <c r="DO141" s="522"/>
      <c r="DP141" s="522"/>
      <c r="DQ141" s="522"/>
      <c r="DR141" s="522"/>
      <c r="DS141" s="522"/>
      <c r="DT141" s="522"/>
      <c r="DU141" s="522"/>
      <c r="DV141" s="522"/>
      <c r="DW141" s="522"/>
      <c r="DX141" s="522"/>
      <c r="DY141" s="522"/>
      <c r="DZ141" s="522"/>
      <c r="EA141" s="522"/>
      <c r="EB141" s="522"/>
      <c r="EC141" s="522"/>
      <c r="ED141" s="522"/>
      <c r="EE141" s="522"/>
    </row>
    <row r="142" spans="2:135" s="524" customFormat="1" ht="12.95" customHeight="1">
      <c r="B142" s="520"/>
      <c r="C142" s="521"/>
      <c r="D142" s="521"/>
      <c r="E142" s="521"/>
      <c r="F142" s="521"/>
      <c r="G142" s="521"/>
      <c r="H142" s="521"/>
      <c r="I142" s="521"/>
      <c r="J142" s="521"/>
      <c r="K142" s="521"/>
      <c r="L142" s="521"/>
      <c r="M142" s="521"/>
      <c r="N142" s="521"/>
      <c r="O142" s="521"/>
      <c r="P142" s="521"/>
      <c r="Q142" s="521"/>
      <c r="R142" s="521"/>
      <c r="S142" s="521"/>
      <c r="T142" s="521"/>
      <c r="U142" s="521"/>
      <c r="V142" s="521"/>
      <c r="W142" s="521"/>
      <c r="X142" s="521"/>
      <c r="Y142" s="521"/>
      <c r="Z142" s="521"/>
      <c r="AA142" s="521"/>
      <c r="AB142" s="521"/>
      <c r="AC142" s="521"/>
      <c r="AD142" s="521"/>
      <c r="AE142" s="522"/>
      <c r="AF142" s="522"/>
      <c r="AG142" s="522"/>
      <c r="AH142" s="522"/>
      <c r="AI142" s="522"/>
      <c r="AJ142" s="522"/>
      <c r="AK142" s="522"/>
      <c r="AL142" s="522"/>
      <c r="AM142" s="522"/>
      <c r="AN142" s="522"/>
      <c r="AO142" s="522"/>
      <c r="AP142" s="522"/>
      <c r="AQ142" s="522"/>
      <c r="AR142" s="522"/>
      <c r="AS142" s="522"/>
      <c r="AT142" s="522"/>
      <c r="AU142" s="522"/>
      <c r="AV142" s="522"/>
      <c r="AW142" s="522"/>
      <c r="AX142" s="522"/>
      <c r="AY142" s="522"/>
      <c r="AZ142" s="522"/>
      <c r="BA142" s="522"/>
      <c r="BB142" s="522"/>
      <c r="BC142" s="522"/>
      <c r="BD142" s="522"/>
      <c r="BE142" s="522"/>
      <c r="BG142" s="391"/>
      <c r="BI142" s="521"/>
      <c r="BJ142" s="521"/>
      <c r="BK142" s="521"/>
      <c r="BL142" s="521"/>
      <c r="BM142" s="521"/>
      <c r="BN142" s="521"/>
      <c r="BO142" s="521"/>
      <c r="BP142" s="521"/>
      <c r="BQ142" s="521"/>
      <c r="BR142" s="522"/>
      <c r="BS142" s="522"/>
      <c r="BT142" s="522"/>
      <c r="BU142" s="522"/>
      <c r="BV142" s="522"/>
      <c r="BW142" s="522"/>
      <c r="BX142" s="522"/>
      <c r="BY142" s="522"/>
      <c r="BZ142" s="522"/>
      <c r="CA142" s="522"/>
      <c r="CB142" s="522"/>
      <c r="CC142" s="522"/>
      <c r="CD142" s="522"/>
      <c r="CE142" s="522"/>
      <c r="CF142" s="522"/>
      <c r="CG142" s="522"/>
      <c r="CH142" s="522"/>
      <c r="CI142" s="522"/>
      <c r="CJ142" s="522"/>
      <c r="CK142" s="522"/>
      <c r="CL142" s="522"/>
      <c r="CM142" s="522"/>
      <c r="CN142" s="522"/>
      <c r="CO142" s="522"/>
      <c r="CP142" s="522"/>
      <c r="CQ142" s="522"/>
      <c r="CR142" s="522"/>
      <c r="CS142"/>
      <c r="CT142" s="1218"/>
      <c r="CU142"/>
      <c r="CV142" s="521"/>
      <c r="CW142" s="521"/>
      <c r="CX142" s="521"/>
      <c r="CY142" s="521"/>
      <c r="CZ142" s="521"/>
      <c r="DA142" s="521"/>
      <c r="DB142" s="521"/>
      <c r="DC142" s="521"/>
      <c r="DD142" s="521"/>
      <c r="DE142" s="522"/>
      <c r="DF142" s="522"/>
      <c r="DG142" s="522"/>
      <c r="DH142" s="522"/>
      <c r="DI142" s="522"/>
      <c r="DJ142" s="522"/>
      <c r="DK142" s="522"/>
      <c r="DL142" s="522"/>
      <c r="DM142" s="522"/>
      <c r="DN142" s="522"/>
      <c r="DO142" s="522"/>
      <c r="DP142" s="522"/>
      <c r="DQ142" s="522"/>
      <c r="DR142" s="522"/>
      <c r="DS142" s="522"/>
      <c r="DT142" s="522"/>
      <c r="DU142" s="522"/>
      <c r="DV142" s="522"/>
      <c r="DW142" s="522"/>
      <c r="DX142" s="522"/>
      <c r="DY142" s="522"/>
      <c r="DZ142" s="522"/>
      <c r="EA142" s="522"/>
      <c r="EB142" s="522"/>
      <c r="EC142" s="522"/>
      <c r="ED142" s="522"/>
      <c r="EE142" s="522"/>
    </row>
    <row r="143" spans="2:135" s="524" customFormat="1" ht="12.95" customHeight="1">
      <c r="B143" s="520"/>
      <c r="C143" s="521"/>
      <c r="D143" s="521"/>
      <c r="E143" s="521"/>
      <c r="F143" s="521"/>
      <c r="G143" s="521"/>
      <c r="H143" s="521"/>
      <c r="I143" s="521"/>
      <c r="J143" s="521"/>
      <c r="K143" s="521"/>
      <c r="L143" s="521"/>
      <c r="M143" s="521"/>
      <c r="N143" s="521"/>
      <c r="O143" s="521"/>
      <c r="P143" s="521"/>
      <c r="Q143" s="521"/>
      <c r="R143" s="521"/>
      <c r="S143" s="521"/>
      <c r="T143" s="521"/>
      <c r="U143" s="521"/>
      <c r="V143" s="521"/>
      <c r="W143" s="521"/>
      <c r="X143" s="521"/>
      <c r="Y143" s="521"/>
      <c r="Z143" s="521"/>
      <c r="AA143" s="521"/>
      <c r="AB143" s="521"/>
      <c r="AC143" s="521"/>
      <c r="AD143" s="521"/>
      <c r="AE143" s="522"/>
      <c r="AF143" s="522"/>
      <c r="AG143" s="522"/>
      <c r="AH143" s="522"/>
      <c r="AI143" s="522"/>
      <c r="AJ143" s="522"/>
      <c r="AK143" s="522"/>
      <c r="AL143" s="522"/>
      <c r="AM143" s="522"/>
      <c r="AN143" s="522"/>
      <c r="AO143" s="522"/>
      <c r="AP143" s="522"/>
      <c r="AQ143" s="522"/>
      <c r="AR143" s="522"/>
      <c r="AS143" s="522"/>
      <c r="AT143" s="522"/>
      <c r="AU143" s="522"/>
      <c r="AV143" s="522"/>
      <c r="AW143" s="522"/>
      <c r="AX143" s="522"/>
      <c r="AY143" s="522"/>
      <c r="AZ143" s="522"/>
      <c r="BA143" s="522"/>
      <c r="BB143" s="522"/>
      <c r="BC143" s="522"/>
      <c r="BD143" s="522"/>
      <c r="BE143" s="522"/>
      <c r="BG143" s="391"/>
      <c r="BI143" s="521"/>
      <c r="BJ143" s="521"/>
      <c r="BK143" s="521"/>
      <c r="BL143" s="521"/>
      <c r="BM143" s="521"/>
      <c r="BN143" s="521"/>
      <c r="BO143" s="521"/>
      <c r="BP143" s="521"/>
      <c r="BQ143" s="521"/>
      <c r="BR143" s="522"/>
      <c r="BS143" s="522"/>
      <c r="BT143" s="522"/>
      <c r="BU143" s="522"/>
      <c r="BV143" s="522"/>
      <c r="BW143" s="522"/>
      <c r="BX143" s="522"/>
      <c r="BY143" s="522"/>
      <c r="BZ143" s="522"/>
      <c r="CA143" s="522"/>
      <c r="CB143" s="522"/>
      <c r="CC143" s="522"/>
      <c r="CD143" s="522"/>
      <c r="CE143" s="522"/>
      <c r="CF143" s="522"/>
      <c r="CG143" s="522"/>
      <c r="CH143" s="522"/>
      <c r="CI143" s="522"/>
      <c r="CJ143" s="522"/>
      <c r="CK143" s="522"/>
      <c r="CL143" s="522"/>
      <c r="CM143" s="522"/>
      <c r="CN143" s="522"/>
      <c r="CO143" s="522"/>
      <c r="CP143" s="522"/>
      <c r="CQ143" s="522"/>
      <c r="CR143" s="522"/>
      <c r="CS143"/>
      <c r="CT143" s="1218"/>
      <c r="CU143"/>
      <c r="CV143" s="521"/>
      <c r="CW143" s="521"/>
      <c r="CX143" s="521"/>
      <c r="CY143" s="521"/>
      <c r="CZ143" s="521"/>
      <c r="DA143" s="521"/>
      <c r="DB143" s="521"/>
      <c r="DC143" s="521"/>
      <c r="DD143" s="521"/>
      <c r="DE143" s="522"/>
      <c r="DF143" s="522"/>
      <c r="DG143" s="522"/>
      <c r="DH143" s="522"/>
      <c r="DI143" s="522"/>
      <c r="DJ143" s="522"/>
      <c r="DK143" s="522"/>
      <c r="DL143" s="522"/>
      <c r="DM143" s="522"/>
      <c r="DN143" s="522"/>
      <c r="DO143" s="522"/>
      <c r="DP143" s="522"/>
      <c r="DQ143" s="522"/>
      <c r="DR143" s="522"/>
      <c r="DS143" s="522"/>
      <c r="DT143" s="522"/>
      <c r="DU143" s="522"/>
      <c r="DV143" s="522"/>
      <c r="DW143" s="522"/>
      <c r="DX143" s="522"/>
      <c r="DY143" s="522"/>
      <c r="DZ143" s="522"/>
      <c r="EA143" s="522"/>
      <c r="EB143" s="522"/>
      <c r="EC143" s="522"/>
      <c r="ED143" s="522"/>
      <c r="EE143" s="522"/>
    </row>
    <row r="144" spans="2:135" s="524" customFormat="1" ht="12.95" customHeight="1">
      <c r="B144" s="520"/>
      <c r="C144" s="521"/>
      <c r="D144" s="521"/>
      <c r="E144" s="521"/>
      <c r="F144" s="521"/>
      <c r="G144" s="521"/>
      <c r="H144" s="521"/>
      <c r="I144" s="521"/>
      <c r="J144" s="521"/>
      <c r="K144" s="521"/>
      <c r="L144" s="521"/>
      <c r="M144" s="521"/>
      <c r="N144" s="521"/>
      <c r="O144" s="521"/>
      <c r="P144" s="521"/>
      <c r="Q144" s="521"/>
      <c r="R144" s="521"/>
      <c r="S144" s="521"/>
      <c r="T144" s="521"/>
      <c r="U144" s="521"/>
      <c r="V144" s="521"/>
      <c r="W144" s="521"/>
      <c r="X144" s="521"/>
      <c r="Y144" s="521"/>
      <c r="Z144" s="521"/>
      <c r="AA144" s="521"/>
      <c r="AB144" s="521"/>
      <c r="AC144" s="521"/>
      <c r="AD144" s="521"/>
      <c r="AE144" s="522"/>
      <c r="AF144" s="522"/>
      <c r="AG144" s="522"/>
      <c r="AH144" s="522"/>
      <c r="AI144" s="522"/>
      <c r="AJ144" s="522"/>
      <c r="AK144" s="522"/>
      <c r="AL144" s="522"/>
      <c r="AM144" s="522"/>
      <c r="AN144" s="522"/>
      <c r="AO144" s="522"/>
      <c r="AP144" s="522"/>
      <c r="AQ144" s="522"/>
      <c r="AR144" s="522"/>
      <c r="AS144" s="522"/>
      <c r="AT144" s="522"/>
      <c r="AU144" s="522"/>
      <c r="AV144" s="522"/>
      <c r="AW144" s="522"/>
      <c r="AX144" s="522"/>
      <c r="AY144" s="522"/>
      <c r="AZ144" s="522"/>
      <c r="BA144" s="522"/>
      <c r="BB144" s="522"/>
      <c r="BC144" s="522"/>
      <c r="BD144" s="522"/>
      <c r="BE144" s="522"/>
      <c r="BG144" s="391"/>
      <c r="BI144" s="521"/>
      <c r="BJ144" s="521"/>
      <c r="BK144" s="521"/>
      <c r="BL144" s="521"/>
      <c r="BM144" s="521"/>
      <c r="BN144" s="521"/>
      <c r="BO144" s="521"/>
      <c r="BP144" s="521"/>
      <c r="BQ144" s="521"/>
      <c r="BR144" s="522"/>
      <c r="BS144" s="522"/>
      <c r="BT144" s="522"/>
      <c r="BU144" s="522"/>
      <c r="BV144" s="522"/>
      <c r="BW144" s="522"/>
      <c r="BX144" s="522"/>
      <c r="BY144" s="522"/>
      <c r="BZ144" s="522"/>
      <c r="CA144" s="522"/>
      <c r="CB144" s="522"/>
      <c r="CC144" s="522"/>
      <c r="CD144" s="522"/>
      <c r="CE144" s="522"/>
      <c r="CF144" s="522"/>
      <c r="CG144" s="522"/>
      <c r="CH144" s="522"/>
      <c r="CI144" s="522"/>
      <c r="CJ144" s="522"/>
      <c r="CK144" s="522"/>
      <c r="CL144" s="522"/>
      <c r="CM144" s="522"/>
      <c r="CN144" s="522"/>
      <c r="CO144" s="522"/>
      <c r="CP144" s="522"/>
      <c r="CQ144" s="522"/>
      <c r="CR144" s="522"/>
      <c r="CS144"/>
      <c r="CT144" s="1218"/>
      <c r="CU144"/>
      <c r="CV144" s="521"/>
      <c r="CW144" s="521"/>
      <c r="CX144" s="521"/>
      <c r="CY144" s="521"/>
      <c r="CZ144" s="521"/>
      <c r="DA144" s="521"/>
      <c r="DB144" s="521"/>
      <c r="DC144" s="521"/>
      <c r="DD144" s="521"/>
      <c r="DE144" s="522"/>
      <c r="DF144" s="522"/>
      <c r="DG144" s="522"/>
      <c r="DH144" s="522"/>
      <c r="DI144" s="522"/>
      <c r="DJ144" s="522"/>
      <c r="DK144" s="522"/>
      <c r="DL144" s="522"/>
      <c r="DM144" s="522"/>
      <c r="DN144" s="522"/>
      <c r="DO144" s="522"/>
      <c r="DP144" s="522"/>
      <c r="DQ144" s="522"/>
      <c r="DR144" s="522"/>
      <c r="DS144" s="522"/>
      <c r="DT144" s="522"/>
      <c r="DU144" s="522"/>
      <c r="DV144" s="522"/>
      <c r="DW144" s="522"/>
      <c r="DX144" s="522"/>
      <c r="DY144" s="522"/>
      <c r="DZ144" s="522"/>
      <c r="EA144" s="522"/>
      <c r="EB144" s="522"/>
      <c r="EC144" s="522"/>
      <c r="ED144" s="522"/>
      <c r="EE144" s="522"/>
    </row>
    <row r="145" spans="2:135" s="524" customFormat="1" ht="12.95" customHeight="1">
      <c r="B145" s="520"/>
      <c r="C145" s="521"/>
      <c r="D145" s="521"/>
      <c r="E145" s="521"/>
      <c r="F145" s="521"/>
      <c r="G145" s="521"/>
      <c r="H145" s="521"/>
      <c r="I145" s="521"/>
      <c r="J145" s="521"/>
      <c r="K145" s="521"/>
      <c r="L145" s="521"/>
      <c r="M145" s="521"/>
      <c r="N145" s="521"/>
      <c r="O145" s="521"/>
      <c r="P145" s="521"/>
      <c r="Q145" s="521"/>
      <c r="R145" s="521"/>
      <c r="S145" s="521"/>
      <c r="T145" s="521"/>
      <c r="U145" s="521"/>
      <c r="V145" s="521"/>
      <c r="W145" s="521"/>
      <c r="X145" s="521"/>
      <c r="Y145" s="521"/>
      <c r="Z145" s="521"/>
      <c r="AA145" s="521"/>
      <c r="AB145" s="521"/>
      <c r="AC145" s="521"/>
      <c r="AD145" s="521"/>
      <c r="AE145" s="522"/>
      <c r="AF145" s="522"/>
      <c r="AG145" s="522"/>
      <c r="AH145" s="522"/>
      <c r="AI145" s="522"/>
      <c r="AJ145" s="522"/>
      <c r="AK145" s="522"/>
      <c r="AL145" s="522"/>
      <c r="AM145" s="522"/>
      <c r="AN145" s="522"/>
      <c r="AO145" s="522"/>
      <c r="AP145" s="522"/>
      <c r="AQ145" s="522"/>
      <c r="AR145" s="522"/>
      <c r="AS145" s="522"/>
      <c r="AT145" s="522"/>
      <c r="AU145" s="522"/>
      <c r="AV145" s="522"/>
      <c r="AW145" s="522"/>
      <c r="AX145" s="522"/>
      <c r="AY145" s="522"/>
      <c r="AZ145" s="522"/>
      <c r="BA145" s="522"/>
      <c r="BB145" s="522"/>
      <c r="BC145" s="522"/>
      <c r="BD145" s="522"/>
      <c r="BE145" s="522"/>
      <c r="BG145" s="391"/>
      <c r="BI145" s="521"/>
      <c r="BJ145" s="521"/>
      <c r="BK145" s="521"/>
      <c r="BL145" s="521"/>
      <c r="BM145" s="521"/>
      <c r="BN145" s="521"/>
      <c r="BO145" s="521"/>
      <c r="BP145" s="521"/>
      <c r="BQ145" s="521"/>
      <c r="BR145" s="522"/>
      <c r="BS145" s="522"/>
      <c r="BT145" s="522"/>
      <c r="BU145" s="522"/>
      <c r="BV145" s="522"/>
      <c r="BW145" s="522"/>
      <c r="BX145" s="522"/>
      <c r="BY145" s="522"/>
      <c r="BZ145" s="522"/>
      <c r="CA145" s="522"/>
      <c r="CB145" s="522"/>
      <c r="CC145" s="522"/>
      <c r="CD145" s="522"/>
      <c r="CE145" s="522"/>
      <c r="CF145" s="522"/>
      <c r="CG145" s="522"/>
      <c r="CH145" s="522"/>
      <c r="CI145" s="522"/>
      <c r="CJ145" s="522"/>
      <c r="CK145" s="522"/>
      <c r="CL145" s="522"/>
      <c r="CM145" s="522"/>
      <c r="CN145" s="522"/>
      <c r="CO145" s="522"/>
      <c r="CP145" s="522"/>
      <c r="CQ145" s="522"/>
      <c r="CR145" s="522"/>
      <c r="CS145"/>
      <c r="CT145" s="1218"/>
      <c r="CU145"/>
      <c r="CV145" s="521"/>
      <c r="CW145" s="521"/>
      <c r="CX145" s="521"/>
      <c r="CY145" s="521"/>
      <c r="CZ145" s="521"/>
      <c r="DA145" s="521"/>
      <c r="DB145" s="521"/>
      <c r="DC145" s="521"/>
      <c r="DD145" s="521"/>
      <c r="DE145" s="522"/>
      <c r="DF145" s="522"/>
      <c r="DG145" s="522"/>
      <c r="DH145" s="522"/>
      <c r="DI145" s="522"/>
      <c r="DJ145" s="522"/>
      <c r="DK145" s="522"/>
      <c r="DL145" s="522"/>
      <c r="DM145" s="522"/>
      <c r="DN145" s="522"/>
      <c r="DO145" s="522"/>
      <c r="DP145" s="522"/>
      <c r="DQ145" s="522"/>
      <c r="DR145" s="522"/>
      <c r="DS145" s="522"/>
      <c r="DT145" s="522"/>
      <c r="DU145" s="522"/>
      <c r="DV145" s="522"/>
      <c r="DW145" s="522"/>
      <c r="DX145" s="522"/>
      <c r="DY145" s="522"/>
      <c r="DZ145" s="522"/>
      <c r="EA145" s="522"/>
      <c r="EB145" s="522"/>
      <c r="EC145" s="522"/>
      <c r="ED145" s="522"/>
      <c r="EE145" s="522"/>
    </row>
    <row r="146" spans="2:135" s="524" customFormat="1" ht="12.95" customHeight="1">
      <c r="B146" s="520"/>
      <c r="C146" s="521"/>
      <c r="D146" s="521"/>
      <c r="E146" s="521"/>
      <c r="F146" s="521"/>
      <c r="G146" s="521"/>
      <c r="H146" s="521"/>
      <c r="I146" s="521"/>
      <c r="J146" s="521"/>
      <c r="K146" s="521"/>
      <c r="L146" s="521"/>
      <c r="M146" s="521"/>
      <c r="N146" s="521"/>
      <c r="O146" s="521"/>
      <c r="P146" s="521"/>
      <c r="Q146" s="521"/>
      <c r="R146" s="521"/>
      <c r="S146" s="521"/>
      <c r="T146" s="521"/>
      <c r="U146" s="521"/>
      <c r="V146" s="521"/>
      <c r="W146" s="521"/>
      <c r="X146" s="521"/>
      <c r="Y146" s="521"/>
      <c r="Z146" s="521"/>
      <c r="AA146" s="521"/>
      <c r="AB146" s="521"/>
      <c r="AC146" s="521"/>
      <c r="AD146" s="521"/>
      <c r="AE146" s="522"/>
      <c r="AF146" s="522"/>
      <c r="AG146" s="522"/>
      <c r="AH146" s="522"/>
      <c r="AI146" s="522"/>
      <c r="AJ146" s="522"/>
      <c r="AK146" s="522"/>
      <c r="AL146" s="522"/>
      <c r="AM146" s="522"/>
      <c r="AN146" s="522"/>
      <c r="AO146" s="522"/>
      <c r="AP146" s="522"/>
      <c r="AQ146" s="522"/>
      <c r="AR146" s="522"/>
      <c r="AS146" s="522"/>
      <c r="AT146" s="522"/>
      <c r="AU146" s="522"/>
      <c r="AV146" s="522"/>
      <c r="AW146" s="522"/>
      <c r="AX146" s="522"/>
      <c r="AY146" s="522"/>
      <c r="AZ146" s="522"/>
      <c r="BA146" s="522"/>
      <c r="BB146" s="522"/>
      <c r="BC146" s="522"/>
      <c r="BD146" s="522"/>
      <c r="BE146" s="522"/>
      <c r="BG146" s="391"/>
      <c r="BI146" s="521"/>
      <c r="BJ146" s="521"/>
      <c r="BK146" s="521"/>
      <c r="BL146" s="521"/>
      <c r="BM146" s="521"/>
      <c r="BN146" s="521"/>
      <c r="BO146" s="521"/>
      <c r="BP146" s="521"/>
      <c r="BQ146" s="521"/>
      <c r="BR146" s="522"/>
      <c r="BS146" s="522"/>
      <c r="BT146" s="522"/>
      <c r="BU146" s="522"/>
      <c r="BV146" s="522"/>
      <c r="BW146" s="522"/>
      <c r="BX146" s="522"/>
      <c r="BY146" s="522"/>
      <c r="BZ146" s="522"/>
      <c r="CA146" s="522"/>
      <c r="CB146" s="522"/>
      <c r="CC146" s="522"/>
      <c r="CD146" s="522"/>
      <c r="CE146" s="522"/>
      <c r="CF146" s="522"/>
      <c r="CG146" s="522"/>
      <c r="CH146" s="522"/>
      <c r="CI146" s="522"/>
      <c r="CJ146" s="522"/>
      <c r="CK146" s="522"/>
      <c r="CL146" s="522"/>
      <c r="CM146" s="522"/>
      <c r="CN146" s="522"/>
      <c r="CO146" s="522"/>
      <c r="CP146" s="522"/>
      <c r="CQ146" s="522"/>
      <c r="CR146" s="522"/>
      <c r="CS146"/>
      <c r="CT146" s="1218"/>
      <c r="CU146"/>
      <c r="CV146" s="521"/>
      <c r="CW146" s="521"/>
      <c r="CX146" s="521"/>
      <c r="CY146" s="521"/>
      <c r="CZ146" s="521"/>
      <c r="DA146" s="521"/>
      <c r="DB146" s="521"/>
      <c r="DC146" s="521"/>
      <c r="DD146" s="521"/>
      <c r="DE146" s="522"/>
      <c r="DF146" s="522"/>
      <c r="DG146" s="522"/>
      <c r="DH146" s="522"/>
      <c r="DI146" s="522"/>
      <c r="DJ146" s="522"/>
      <c r="DK146" s="522"/>
      <c r="DL146" s="522"/>
      <c r="DM146" s="522"/>
      <c r="DN146" s="522"/>
      <c r="DO146" s="522"/>
      <c r="DP146" s="522"/>
      <c r="DQ146" s="522"/>
      <c r="DR146" s="522"/>
      <c r="DS146" s="522"/>
      <c r="DT146" s="522"/>
      <c r="DU146" s="522"/>
      <c r="DV146" s="522"/>
      <c r="DW146" s="522"/>
      <c r="DX146" s="522"/>
      <c r="DY146" s="522"/>
      <c r="DZ146" s="522"/>
      <c r="EA146" s="522"/>
      <c r="EB146" s="522"/>
      <c r="EC146" s="522"/>
      <c r="ED146" s="522"/>
      <c r="EE146" s="522"/>
    </row>
    <row r="147" spans="2:135" s="524" customFormat="1" ht="12.95" customHeight="1">
      <c r="B147" s="520"/>
      <c r="C147" s="521"/>
      <c r="D147" s="521"/>
      <c r="E147" s="521"/>
      <c r="F147" s="521"/>
      <c r="G147" s="521"/>
      <c r="H147" s="521"/>
      <c r="I147" s="521"/>
      <c r="J147" s="521"/>
      <c r="K147" s="521"/>
      <c r="L147" s="521"/>
      <c r="M147" s="521"/>
      <c r="N147" s="521"/>
      <c r="O147" s="521"/>
      <c r="P147" s="521"/>
      <c r="Q147" s="521"/>
      <c r="R147" s="521"/>
      <c r="S147" s="521"/>
      <c r="T147" s="521"/>
      <c r="U147" s="521"/>
      <c r="V147" s="521"/>
      <c r="W147" s="521"/>
      <c r="X147" s="521"/>
      <c r="Y147" s="521"/>
      <c r="Z147" s="521"/>
      <c r="AA147" s="521"/>
      <c r="AB147" s="521"/>
      <c r="AC147" s="521"/>
      <c r="AD147" s="521"/>
      <c r="AE147" s="522"/>
      <c r="AF147" s="522"/>
      <c r="AG147" s="522"/>
      <c r="AH147" s="522"/>
      <c r="AI147" s="522"/>
      <c r="AJ147" s="522"/>
      <c r="AK147" s="522"/>
      <c r="AL147" s="522"/>
      <c r="AM147" s="522"/>
      <c r="AN147" s="522"/>
      <c r="AO147" s="522"/>
      <c r="AP147" s="522"/>
      <c r="AQ147" s="522"/>
      <c r="AR147" s="522"/>
      <c r="AS147" s="522"/>
      <c r="AT147" s="522"/>
      <c r="AU147" s="522"/>
      <c r="AV147" s="522"/>
      <c r="AW147" s="522"/>
      <c r="AX147" s="522"/>
      <c r="AY147" s="522"/>
      <c r="AZ147" s="522"/>
      <c r="BA147" s="522"/>
      <c r="BB147" s="522"/>
      <c r="BC147" s="522"/>
      <c r="BD147" s="522"/>
      <c r="BE147" s="522"/>
      <c r="BG147" s="391"/>
      <c r="BI147" s="521"/>
      <c r="BJ147" s="521"/>
      <c r="BK147" s="521"/>
      <c r="BL147" s="521"/>
      <c r="BM147" s="521"/>
      <c r="BN147" s="521"/>
      <c r="BO147" s="521"/>
      <c r="BP147" s="521"/>
      <c r="BQ147" s="521"/>
      <c r="BR147" s="522"/>
      <c r="BS147" s="522"/>
      <c r="BT147" s="522"/>
      <c r="BU147" s="522"/>
      <c r="BV147" s="522"/>
      <c r="BW147" s="522"/>
      <c r="BX147" s="522"/>
      <c r="BY147" s="522"/>
      <c r="BZ147" s="522"/>
      <c r="CA147" s="522"/>
      <c r="CB147" s="522"/>
      <c r="CC147" s="522"/>
      <c r="CD147" s="522"/>
      <c r="CE147" s="522"/>
      <c r="CF147" s="522"/>
      <c r="CG147" s="522"/>
      <c r="CH147" s="522"/>
      <c r="CI147" s="522"/>
      <c r="CJ147" s="522"/>
      <c r="CK147" s="522"/>
      <c r="CL147" s="522"/>
      <c r="CM147" s="522"/>
      <c r="CN147" s="522"/>
      <c r="CO147" s="522"/>
      <c r="CP147" s="522"/>
      <c r="CQ147" s="522"/>
      <c r="CR147" s="522"/>
      <c r="CS147"/>
      <c r="CT147" s="1218"/>
      <c r="CU147"/>
      <c r="CV147" s="521"/>
      <c r="CW147" s="521"/>
      <c r="CX147" s="521"/>
      <c r="CY147" s="521"/>
      <c r="CZ147" s="521"/>
      <c r="DA147" s="521"/>
      <c r="DB147" s="521"/>
      <c r="DC147" s="521"/>
      <c r="DD147" s="521"/>
      <c r="DE147" s="522"/>
      <c r="DF147" s="522"/>
      <c r="DG147" s="522"/>
      <c r="DH147" s="522"/>
      <c r="DI147" s="522"/>
      <c r="DJ147" s="522"/>
      <c r="DK147" s="522"/>
      <c r="DL147" s="522"/>
      <c r="DM147" s="522"/>
      <c r="DN147" s="522"/>
      <c r="DO147" s="522"/>
      <c r="DP147" s="522"/>
      <c r="DQ147" s="522"/>
      <c r="DR147" s="522"/>
      <c r="DS147" s="522"/>
      <c r="DT147" s="522"/>
      <c r="DU147" s="522"/>
      <c r="DV147" s="522"/>
      <c r="DW147" s="522"/>
      <c r="DX147" s="522"/>
      <c r="DY147" s="522"/>
      <c r="DZ147" s="522"/>
      <c r="EA147" s="522"/>
      <c r="EB147" s="522"/>
      <c r="EC147" s="522"/>
      <c r="ED147" s="522"/>
      <c r="EE147" s="522"/>
    </row>
    <row r="148" spans="2:135" s="524" customFormat="1" ht="12.95" customHeight="1">
      <c r="B148" s="520"/>
      <c r="C148" s="521"/>
      <c r="D148" s="521"/>
      <c r="E148" s="521"/>
      <c r="F148" s="521"/>
      <c r="G148" s="521"/>
      <c r="H148" s="521"/>
      <c r="I148" s="521"/>
      <c r="J148" s="521"/>
      <c r="K148" s="521"/>
      <c r="L148" s="521"/>
      <c r="M148" s="521"/>
      <c r="N148" s="521"/>
      <c r="O148" s="521"/>
      <c r="P148" s="521"/>
      <c r="Q148" s="521"/>
      <c r="R148" s="521"/>
      <c r="S148" s="521"/>
      <c r="T148" s="521"/>
      <c r="U148" s="521"/>
      <c r="V148" s="521"/>
      <c r="W148" s="521"/>
      <c r="X148" s="521"/>
      <c r="Y148" s="521"/>
      <c r="Z148" s="521"/>
      <c r="AA148" s="521"/>
      <c r="AB148" s="521"/>
      <c r="AC148" s="521"/>
      <c r="AD148" s="521"/>
      <c r="AE148" s="522"/>
      <c r="AF148" s="522"/>
      <c r="AG148" s="522"/>
      <c r="AH148" s="522"/>
      <c r="AI148" s="522"/>
      <c r="AJ148" s="522"/>
      <c r="AK148" s="522"/>
      <c r="AL148" s="522"/>
      <c r="AM148" s="522"/>
      <c r="AN148" s="522"/>
      <c r="AO148" s="522"/>
      <c r="AP148" s="522"/>
      <c r="AQ148" s="522"/>
      <c r="AR148" s="522"/>
      <c r="AS148" s="522"/>
      <c r="AT148" s="522"/>
      <c r="AU148" s="522"/>
      <c r="AV148" s="522"/>
      <c r="AW148" s="522"/>
      <c r="AX148" s="522"/>
      <c r="AY148" s="522"/>
      <c r="AZ148" s="522"/>
      <c r="BA148" s="522"/>
      <c r="BB148" s="522"/>
      <c r="BC148" s="522"/>
      <c r="BD148" s="522"/>
      <c r="BE148" s="522"/>
      <c r="BG148" s="391"/>
      <c r="BI148" s="521"/>
      <c r="BJ148" s="521"/>
      <c r="BK148" s="521"/>
      <c r="BL148" s="521"/>
      <c r="BM148" s="521"/>
      <c r="BN148" s="521"/>
      <c r="BO148" s="521"/>
      <c r="BP148" s="521"/>
      <c r="BQ148" s="521"/>
      <c r="BR148" s="522"/>
      <c r="BS148" s="522"/>
      <c r="BT148" s="522"/>
      <c r="BU148" s="522"/>
      <c r="BV148" s="522"/>
      <c r="BW148" s="522"/>
      <c r="BX148" s="522"/>
      <c r="BY148" s="522"/>
      <c r="BZ148" s="522"/>
      <c r="CA148" s="522"/>
      <c r="CB148" s="522"/>
      <c r="CC148" s="522"/>
      <c r="CD148" s="522"/>
      <c r="CE148" s="522"/>
      <c r="CF148" s="522"/>
      <c r="CG148" s="522"/>
      <c r="CH148" s="522"/>
      <c r="CI148" s="522"/>
      <c r="CJ148" s="522"/>
      <c r="CK148" s="522"/>
      <c r="CL148" s="522"/>
      <c r="CM148" s="522"/>
      <c r="CN148" s="522"/>
      <c r="CO148" s="522"/>
      <c r="CP148" s="522"/>
      <c r="CQ148" s="522"/>
      <c r="CR148" s="522"/>
      <c r="CS148"/>
      <c r="CT148" s="1218"/>
      <c r="CU148"/>
      <c r="CV148" s="521"/>
      <c r="CW148" s="521"/>
      <c r="CX148" s="521"/>
      <c r="CY148" s="521"/>
      <c r="CZ148" s="521"/>
      <c r="DA148" s="521"/>
      <c r="DB148" s="521"/>
      <c r="DC148" s="521"/>
      <c r="DD148" s="521"/>
      <c r="DE148" s="522"/>
      <c r="DF148" s="522"/>
      <c r="DG148" s="522"/>
      <c r="DH148" s="522"/>
      <c r="DI148" s="522"/>
      <c r="DJ148" s="522"/>
      <c r="DK148" s="522"/>
      <c r="DL148" s="522"/>
      <c r="DM148" s="522"/>
      <c r="DN148" s="522"/>
      <c r="DO148" s="522"/>
      <c r="DP148" s="522"/>
      <c r="DQ148" s="522"/>
      <c r="DR148" s="522"/>
      <c r="DS148" s="522"/>
      <c r="DT148" s="522"/>
      <c r="DU148" s="522"/>
      <c r="DV148" s="522"/>
      <c r="DW148" s="522"/>
      <c r="DX148" s="522"/>
      <c r="DY148" s="522"/>
      <c r="DZ148" s="522"/>
      <c r="EA148" s="522"/>
      <c r="EB148" s="522"/>
      <c r="EC148" s="522"/>
      <c r="ED148" s="522"/>
      <c r="EE148" s="522"/>
    </row>
    <row r="149" spans="2:135" ht="12.95" customHeight="1">
      <c r="C149" s="422"/>
      <c r="D149" s="422"/>
      <c r="E149" s="422"/>
      <c r="F149" s="422"/>
      <c r="G149" s="422"/>
      <c r="H149" s="422"/>
      <c r="I149" s="422"/>
      <c r="J149" s="422"/>
      <c r="K149" s="422"/>
      <c r="L149" s="422"/>
      <c r="M149" s="422"/>
      <c r="N149" s="422"/>
      <c r="O149" s="422"/>
      <c r="P149" s="422"/>
      <c r="Q149" s="422"/>
      <c r="R149" s="422"/>
      <c r="S149" s="422"/>
      <c r="T149" s="422"/>
      <c r="U149" s="422"/>
      <c r="V149" s="422"/>
      <c r="W149" s="422"/>
      <c r="X149" s="422"/>
      <c r="Y149" s="422"/>
      <c r="Z149" s="422"/>
      <c r="AA149" s="422"/>
      <c r="AB149" s="422"/>
      <c r="AC149" s="422"/>
      <c r="AD149" s="422"/>
      <c r="BI149" s="422"/>
      <c r="BJ149" s="422"/>
      <c r="BK149" s="422"/>
      <c r="BL149" s="422"/>
      <c r="BM149" s="422"/>
      <c r="BN149" s="422"/>
      <c r="BO149" s="422"/>
      <c r="BP149" s="422"/>
      <c r="BQ149" s="422"/>
      <c r="CV149" s="422"/>
      <c r="CW149" s="422"/>
      <c r="CX149" s="422"/>
      <c r="CY149" s="422"/>
      <c r="CZ149" s="422"/>
      <c r="DA149" s="422"/>
      <c r="DB149" s="422"/>
      <c r="DC149" s="422"/>
      <c r="DD149" s="422"/>
    </row>
    <row r="150" spans="2:135" ht="12.95" customHeight="1">
      <c r="C150" s="422"/>
      <c r="D150" s="422"/>
      <c r="E150" s="422"/>
      <c r="F150" s="422"/>
      <c r="G150" s="422"/>
      <c r="H150" s="422"/>
      <c r="I150" s="422"/>
      <c r="J150" s="422"/>
      <c r="K150" s="422"/>
      <c r="L150" s="422"/>
      <c r="M150" s="422"/>
      <c r="N150" s="422"/>
      <c r="O150" s="422"/>
      <c r="P150" s="422"/>
      <c r="Q150" s="422"/>
      <c r="R150" s="422"/>
      <c r="S150" s="422"/>
      <c r="T150" s="422"/>
      <c r="U150" s="422"/>
      <c r="V150" s="422"/>
      <c r="W150" s="422"/>
      <c r="X150" s="422"/>
      <c r="Y150" s="422"/>
      <c r="Z150" s="422"/>
      <c r="AA150" s="422"/>
      <c r="AB150" s="422"/>
      <c r="AC150" s="422"/>
      <c r="AD150" s="422"/>
      <c r="BI150" s="422"/>
      <c r="BJ150" s="422"/>
      <c r="BK150" s="422"/>
      <c r="BL150" s="422"/>
      <c r="BM150" s="422"/>
      <c r="BN150" s="422"/>
      <c r="BO150" s="422"/>
      <c r="BP150" s="422"/>
      <c r="BQ150" s="422"/>
      <c r="CV150" s="422"/>
      <c r="CW150" s="422"/>
      <c r="CX150" s="422"/>
      <c r="CY150" s="422"/>
      <c r="CZ150" s="422"/>
      <c r="DA150" s="422"/>
      <c r="DB150" s="422"/>
      <c r="DC150" s="422"/>
      <c r="DD150" s="422"/>
    </row>
    <row r="151" spans="2:135" ht="12.95" customHeight="1">
      <c r="C151" s="422"/>
      <c r="D151" s="422"/>
      <c r="E151" s="422"/>
      <c r="F151" s="422"/>
      <c r="G151" s="422"/>
      <c r="H151" s="422"/>
      <c r="I151" s="422"/>
      <c r="J151" s="422"/>
      <c r="K151" s="422"/>
      <c r="L151" s="422"/>
      <c r="M151" s="422"/>
      <c r="N151" s="422"/>
      <c r="O151" s="422"/>
      <c r="P151" s="422"/>
      <c r="Q151" s="422"/>
      <c r="R151" s="422"/>
      <c r="S151" s="422"/>
      <c r="T151" s="422"/>
      <c r="U151" s="422"/>
      <c r="V151" s="422"/>
      <c r="W151" s="422"/>
      <c r="X151" s="422"/>
      <c r="Y151" s="422"/>
      <c r="Z151" s="422"/>
      <c r="AA151" s="422"/>
      <c r="AB151" s="422"/>
      <c r="AC151" s="422"/>
      <c r="AD151" s="422"/>
      <c r="BI151" s="422"/>
      <c r="BJ151" s="422"/>
      <c r="BK151" s="422"/>
      <c r="BL151" s="422"/>
      <c r="BM151" s="422"/>
      <c r="BN151" s="422"/>
      <c r="BO151" s="422"/>
      <c r="BP151" s="422"/>
      <c r="BQ151" s="422"/>
      <c r="CV151" s="422"/>
      <c r="CW151" s="422"/>
      <c r="CX151" s="422"/>
      <c r="CY151" s="422"/>
      <c r="CZ151" s="422"/>
      <c r="DA151" s="422"/>
      <c r="DB151" s="422"/>
      <c r="DC151" s="422"/>
      <c r="DD151" s="422"/>
    </row>
    <row r="152" spans="2:135" ht="12.95" customHeight="1">
      <c r="C152" s="422"/>
      <c r="D152" s="422"/>
      <c r="E152" s="422"/>
      <c r="F152" s="422"/>
      <c r="G152" s="422"/>
      <c r="H152" s="422"/>
      <c r="I152" s="422"/>
      <c r="J152" s="422"/>
      <c r="K152" s="422"/>
      <c r="L152" s="422"/>
      <c r="M152" s="422"/>
      <c r="N152" s="422"/>
      <c r="O152" s="422"/>
      <c r="P152" s="422"/>
      <c r="Q152" s="422"/>
      <c r="R152" s="422"/>
      <c r="S152" s="422"/>
      <c r="T152" s="422"/>
      <c r="U152" s="422"/>
      <c r="V152" s="422"/>
      <c r="W152" s="422"/>
      <c r="X152" s="422"/>
      <c r="Y152" s="422"/>
      <c r="Z152" s="422"/>
      <c r="AA152" s="422"/>
      <c r="AB152" s="422"/>
      <c r="AC152" s="422"/>
      <c r="AD152" s="422"/>
      <c r="BI152" s="422"/>
      <c r="BJ152" s="422"/>
      <c r="BK152" s="422"/>
      <c r="BL152" s="422"/>
      <c r="BM152" s="422"/>
      <c r="BN152" s="422"/>
      <c r="BO152" s="422"/>
      <c r="BP152" s="422"/>
      <c r="BQ152" s="422"/>
      <c r="CV152" s="422"/>
      <c r="CW152" s="422"/>
      <c r="CX152" s="422"/>
      <c r="CY152" s="422"/>
      <c r="CZ152" s="422"/>
      <c r="DA152" s="422"/>
      <c r="DB152" s="422"/>
      <c r="DC152" s="422"/>
      <c r="DD152" s="422"/>
    </row>
    <row r="153" spans="2:135" ht="12.95" customHeight="1">
      <c r="C153" s="422"/>
      <c r="D153" s="422"/>
      <c r="E153" s="422"/>
      <c r="F153" s="422"/>
      <c r="G153" s="422"/>
      <c r="H153" s="422"/>
      <c r="I153" s="422"/>
      <c r="J153" s="422"/>
      <c r="K153" s="422"/>
      <c r="L153" s="422"/>
      <c r="M153" s="422"/>
      <c r="N153" s="422"/>
      <c r="O153" s="422"/>
      <c r="P153" s="422"/>
      <c r="Q153" s="422"/>
      <c r="R153" s="422"/>
      <c r="S153" s="422"/>
      <c r="T153" s="422"/>
      <c r="U153" s="422"/>
      <c r="V153" s="422"/>
      <c r="W153" s="422"/>
      <c r="X153" s="422"/>
      <c r="Y153" s="422"/>
      <c r="Z153" s="422"/>
      <c r="AA153" s="422"/>
      <c r="AB153" s="422"/>
      <c r="AC153" s="422"/>
      <c r="AD153" s="422"/>
      <c r="BI153" s="422"/>
      <c r="BJ153" s="422"/>
      <c r="BK153" s="422"/>
      <c r="BL153" s="422"/>
      <c r="BM153" s="422"/>
      <c r="BN153" s="422"/>
      <c r="BO153" s="422"/>
      <c r="BP153" s="422"/>
      <c r="BQ153" s="422"/>
      <c r="CV153" s="422"/>
      <c r="CW153" s="422"/>
      <c r="CX153" s="422"/>
      <c r="CY153" s="422"/>
      <c r="CZ153" s="422"/>
      <c r="DA153" s="422"/>
      <c r="DB153" s="422"/>
      <c r="DC153" s="422"/>
      <c r="DD153" s="422"/>
    </row>
    <row r="154" spans="2:135" ht="12.95" customHeight="1">
      <c r="C154" s="422"/>
      <c r="D154" s="422"/>
      <c r="E154" s="422"/>
      <c r="F154" s="422"/>
      <c r="G154" s="422"/>
      <c r="H154" s="422"/>
      <c r="I154" s="422"/>
      <c r="J154" s="422"/>
      <c r="K154" s="422"/>
      <c r="L154" s="422"/>
      <c r="M154" s="422"/>
      <c r="N154" s="422"/>
      <c r="O154" s="422"/>
      <c r="P154" s="422"/>
      <c r="Q154" s="422"/>
      <c r="R154" s="422"/>
      <c r="S154" s="422"/>
      <c r="T154" s="422"/>
      <c r="U154" s="422"/>
      <c r="V154" s="422"/>
      <c r="W154" s="422"/>
      <c r="X154" s="422"/>
      <c r="Y154" s="422"/>
      <c r="Z154" s="422"/>
      <c r="AA154" s="422"/>
      <c r="AB154" s="422"/>
      <c r="AC154" s="422"/>
      <c r="AD154" s="422"/>
      <c r="BI154" s="422"/>
      <c r="BJ154" s="422"/>
      <c r="BK154" s="422"/>
      <c r="BL154" s="422"/>
      <c r="BM154" s="422"/>
      <c r="BN154" s="422"/>
      <c r="BO154" s="422"/>
      <c r="BP154" s="422"/>
      <c r="BQ154" s="422"/>
      <c r="CV154" s="422"/>
      <c r="CW154" s="422"/>
      <c r="CX154" s="422"/>
      <c r="CY154" s="422"/>
      <c r="CZ154" s="422"/>
      <c r="DA154" s="422"/>
      <c r="DB154" s="422"/>
      <c r="DC154" s="422"/>
      <c r="DD154" s="422"/>
    </row>
    <row r="155" spans="2:135" ht="12.95" customHeight="1">
      <c r="C155" s="422"/>
      <c r="D155" s="422"/>
      <c r="E155" s="422"/>
      <c r="F155" s="422"/>
      <c r="G155" s="422"/>
      <c r="H155" s="422"/>
      <c r="I155" s="422"/>
      <c r="J155" s="422"/>
      <c r="K155" s="422"/>
      <c r="L155" s="422"/>
      <c r="M155" s="422"/>
      <c r="N155" s="422"/>
      <c r="O155" s="422"/>
      <c r="P155" s="422"/>
      <c r="Q155" s="422"/>
      <c r="R155" s="422"/>
      <c r="S155" s="422"/>
      <c r="T155" s="422"/>
      <c r="U155" s="422"/>
      <c r="V155" s="422"/>
      <c r="W155" s="422"/>
      <c r="X155" s="422"/>
      <c r="Y155" s="422"/>
      <c r="Z155" s="422"/>
      <c r="AA155" s="422"/>
      <c r="AB155" s="422"/>
      <c r="AC155" s="422"/>
      <c r="AD155" s="422"/>
      <c r="BI155" s="422"/>
      <c r="BJ155" s="422"/>
      <c r="BK155" s="422"/>
      <c r="BL155" s="422"/>
      <c r="BM155" s="422"/>
      <c r="BN155" s="422"/>
      <c r="BO155" s="422"/>
      <c r="BP155" s="422"/>
      <c r="BQ155" s="422"/>
      <c r="CV155" s="422"/>
      <c r="CW155" s="422"/>
      <c r="CX155" s="422"/>
      <c r="CY155" s="422"/>
      <c r="CZ155" s="422"/>
      <c r="DA155" s="422"/>
      <c r="DB155" s="422"/>
      <c r="DC155" s="422"/>
      <c r="DD155" s="422"/>
    </row>
    <row r="156" spans="2:135" ht="12.95" customHeight="1">
      <c r="C156" s="422"/>
      <c r="D156" s="422"/>
      <c r="E156" s="422"/>
      <c r="F156" s="422"/>
      <c r="G156" s="422"/>
      <c r="H156" s="422"/>
      <c r="I156" s="422"/>
      <c r="J156" s="422"/>
      <c r="K156" s="422"/>
      <c r="L156" s="422"/>
      <c r="M156" s="422"/>
      <c r="N156" s="422"/>
      <c r="O156" s="422"/>
      <c r="P156" s="422"/>
      <c r="Q156" s="422"/>
      <c r="R156" s="422"/>
      <c r="S156" s="422"/>
      <c r="T156" s="422"/>
      <c r="U156" s="422"/>
      <c r="V156" s="422"/>
      <c r="W156" s="422"/>
      <c r="X156" s="422"/>
      <c r="Y156" s="422"/>
      <c r="Z156" s="422"/>
      <c r="AA156" s="422"/>
      <c r="AB156" s="422"/>
      <c r="AC156" s="422"/>
      <c r="AD156" s="422"/>
      <c r="BI156" s="422"/>
      <c r="BJ156" s="422"/>
      <c r="BK156" s="422"/>
      <c r="BL156" s="422"/>
      <c r="BM156" s="422"/>
      <c r="BN156" s="422"/>
      <c r="BO156" s="422"/>
      <c r="BP156" s="422"/>
      <c r="BQ156" s="422"/>
      <c r="CV156" s="422"/>
      <c r="CW156" s="422"/>
      <c r="CX156" s="422"/>
      <c r="CY156" s="422"/>
      <c r="CZ156" s="422"/>
      <c r="DA156" s="422"/>
      <c r="DB156" s="422"/>
      <c r="DC156" s="422"/>
      <c r="DD156" s="422"/>
    </row>
    <row r="157" spans="2:135" ht="12.95" customHeight="1">
      <c r="C157" s="422"/>
      <c r="D157" s="422"/>
      <c r="E157" s="422"/>
      <c r="F157" s="422"/>
      <c r="G157" s="422"/>
      <c r="H157" s="422"/>
      <c r="I157" s="422"/>
      <c r="J157" s="422"/>
      <c r="K157" s="422"/>
      <c r="L157" s="422"/>
      <c r="M157" s="422"/>
      <c r="N157" s="422"/>
      <c r="O157" s="422"/>
      <c r="P157" s="422"/>
      <c r="Q157" s="422"/>
      <c r="R157" s="422"/>
      <c r="S157" s="422"/>
      <c r="T157" s="422"/>
      <c r="U157" s="422"/>
      <c r="V157" s="422"/>
      <c r="W157" s="422"/>
      <c r="X157" s="422"/>
      <c r="Y157" s="422"/>
      <c r="Z157" s="422"/>
      <c r="AA157" s="422"/>
      <c r="AB157" s="422"/>
      <c r="AC157" s="422"/>
      <c r="AD157" s="422"/>
      <c r="BI157" s="422"/>
      <c r="BJ157" s="422"/>
      <c r="BK157" s="422"/>
      <c r="BL157" s="422"/>
      <c r="BM157" s="422"/>
      <c r="BN157" s="422"/>
      <c r="BO157" s="422"/>
      <c r="BP157" s="422"/>
      <c r="BQ157" s="422"/>
      <c r="CV157" s="422"/>
      <c r="CW157" s="422"/>
      <c r="CX157" s="422"/>
      <c r="CY157" s="422"/>
      <c r="CZ157" s="422"/>
      <c r="DA157" s="422"/>
      <c r="DB157" s="422"/>
      <c r="DC157" s="422"/>
      <c r="DD157" s="422"/>
    </row>
    <row r="158" spans="2:135" ht="12.95" customHeight="1">
      <c r="C158" s="422"/>
      <c r="D158" s="422"/>
      <c r="E158" s="422"/>
      <c r="F158" s="422"/>
      <c r="G158" s="422"/>
      <c r="H158" s="422"/>
      <c r="I158" s="422"/>
      <c r="J158" s="422"/>
      <c r="K158" s="422"/>
      <c r="L158" s="422"/>
      <c r="M158" s="422"/>
      <c r="N158" s="422"/>
      <c r="O158" s="422"/>
      <c r="P158" s="422"/>
      <c r="Q158" s="422"/>
      <c r="R158" s="422"/>
      <c r="S158" s="422"/>
      <c r="T158" s="422"/>
      <c r="U158" s="422"/>
      <c r="V158" s="422"/>
      <c r="W158" s="422"/>
      <c r="X158" s="422"/>
      <c r="Y158" s="422"/>
      <c r="Z158" s="422"/>
      <c r="AA158" s="422"/>
      <c r="AB158" s="422"/>
      <c r="AC158" s="422"/>
      <c r="AD158" s="422"/>
      <c r="BI158" s="422"/>
      <c r="BJ158" s="422"/>
      <c r="BK158" s="422"/>
      <c r="BL158" s="422"/>
      <c r="BM158" s="422"/>
      <c r="BN158" s="422"/>
      <c r="BO158" s="422"/>
      <c r="BP158" s="422"/>
      <c r="BQ158" s="422"/>
      <c r="CV158" s="422"/>
      <c r="CW158" s="422"/>
      <c r="CX158" s="422"/>
      <c r="CY158" s="422"/>
      <c r="CZ158" s="422"/>
      <c r="DA158" s="422"/>
      <c r="DB158" s="422"/>
      <c r="DC158" s="422"/>
      <c r="DD158" s="422"/>
    </row>
    <row r="159" spans="2:135" ht="12.95" customHeight="1">
      <c r="C159" s="422"/>
      <c r="D159" s="422"/>
      <c r="E159" s="422"/>
      <c r="F159" s="422"/>
      <c r="G159" s="422"/>
      <c r="H159" s="422"/>
      <c r="I159" s="422"/>
      <c r="J159" s="422"/>
      <c r="K159" s="422"/>
      <c r="L159" s="422"/>
      <c r="M159" s="422"/>
      <c r="N159" s="422"/>
      <c r="O159" s="422"/>
      <c r="P159" s="422"/>
      <c r="Q159" s="422"/>
      <c r="R159" s="422"/>
      <c r="S159" s="422"/>
      <c r="T159" s="422"/>
      <c r="U159" s="422"/>
      <c r="V159" s="422"/>
      <c r="W159" s="422"/>
      <c r="X159" s="422"/>
      <c r="Y159" s="422"/>
      <c r="Z159" s="422"/>
      <c r="AA159" s="422"/>
      <c r="AB159" s="422"/>
      <c r="AC159" s="422"/>
      <c r="AD159" s="422"/>
      <c r="BI159" s="422"/>
      <c r="BJ159" s="422"/>
      <c r="BK159" s="422"/>
      <c r="BL159" s="422"/>
      <c r="BM159" s="422"/>
      <c r="BN159" s="422"/>
      <c r="BO159" s="422"/>
      <c r="BP159" s="422"/>
      <c r="BQ159" s="422"/>
      <c r="CV159" s="422"/>
      <c r="CW159" s="422"/>
      <c r="CX159" s="422"/>
      <c r="CY159" s="422"/>
      <c r="CZ159" s="422"/>
      <c r="DA159" s="422"/>
      <c r="DB159" s="422"/>
      <c r="DC159" s="422"/>
      <c r="DD159" s="422"/>
    </row>
    <row r="160" spans="2:135" ht="12.95" customHeight="1">
      <c r="C160" s="422"/>
      <c r="D160" s="422"/>
      <c r="E160" s="422"/>
      <c r="F160" s="422"/>
      <c r="G160" s="422"/>
      <c r="H160" s="422"/>
      <c r="I160" s="422"/>
      <c r="J160" s="422"/>
      <c r="K160" s="422"/>
      <c r="L160" s="422"/>
      <c r="M160" s="422"/>
      <c r="N160" s="422"/>
      <c r="O160" s="422"/>
      <c r="P160" s="422"/>
      <c r="Q160" s="422"/>
      <c r="R160" s="422"/>
      <c r="S160" s="422"/>
      <c r="T160" s="422"/>
      <c r="U160" s="422"/>
      <c r="V160" s="422"/>
      <c r="W160" s="422"/>
      <c r="X160" s="422"/>
      <c r="Y160" s="422"/>
      <c r="Z160" s="422"/>
      <c r="AA160" s="422"/>
      <c r="AB160" s="422"/>
      <c r="AC160" s="422"/>
      <c r="AD160" s="422"/>
      <c r="BI160" s="422"/>
      <c r="BJ160" s="422"/>
      <c r="BK160" s="422"/>
      <c r="BL160" s="422"/>
      <c r="BM160" s="422"/>
      <c r="BN160" s="422"/>
      <c r="BO160" s="422"/>
      <c r="BP160" s="422"/>
      <c r="BQ160" s="422"/>
      <c r="CV160" s="422"/>
      <c r="CW160" s="422"/>
      <c r="CX160" s="422"/>
      <c r="CY160" s="422"/>
      <c r="CZ160" s="422"/>
      <c r="DA160" s="422"/>
      <c r="DB160" s="422"/>
      <c r="DC160" s="422"/>
      <c r="DD160" s="422"/>
    </row>
    <row r="161" spans="3:108" ht="12.95" customHeight="1">
      <c r="C161" s="422"/>
      <c r="D161" s="422"/>
      <c r="E161" s="422"/>
      <c r="F161" s="422"/>
      <c r="G161" s="422"/>
      <c r="H161" s="422"/>
      <c r="I161" s="422"/>
      <c r="J161" s="422"/>
      <c r="K161" s="422"/>
      <c r="L161" s="422"/>
      <c r="M161" s="422"/>
      <c r="N161" s="422"/>
      <c r="O161" s="422"/>
      <c r="P161" s="422"/>
      <c r="Q161" s="422"/>
      <c r="R161" s="422"/>
      <c r="S161" s="422"/>
      <c r="T161" s="422"/>
      <c r="U161" s="422"/>
      <c r="V161" s="422"/>
      <c r="W161" s="422"/>
      <c r="X161" s="422"/>
      <c r="Y161" s="422"/>
      <c r="Z161" s="422"/>
      <c r="AA161" s="422"/>
      <c r="AB161" s="422"/>
      <c r="AC161" s="422"/>
      <c r="AD161" s="422"/>
      <c r="BI161" s="422"/>
      <c r="BJ161" s="422"/>
      <c r="BK161" s="422"/>
      <c r="BL161" s="422"/>
      <c r="BM161" s="422"/>
      <c r="BN161" s="422"/>
      <c r="BO161" s="422"/>
      <c r="BP161" s="422"/>
      <c r="BQ161" s="422"/>
      <c r="CV161" s="422"/>
      <c r="CW161" s="422"/>
      <c r="CX161" s="422"/>
      <c r="CY161" s="422"/>
      <c r="CZ161" s="422"/>
      <c r="DA161" s="422"/>
      <c r="DB161" s="422"/>
      <c r="DC161" s="422"/>
      <c r="DD161" s="422"/>
    </row>
    <row r="162" spans="3:108" ht="12.95" customHeight="1">
      <c r="C162" s="422"/>
      <c r="D162" s="422"/>
      <c r="E162" s="422"/>
      <c r="F162" s="422"/>
      <c r="G162" s="422"/>
      <c r="H162" s="422"/>
      <c r="I162" s="422"/>
      <c r="J162" s="422"/>
      <c r="K162" s="422"/>
      <c r="L162" s="422"/>
      <c r="M162" s="422"/>
      <c r="N162" s="422"/>
      <c r="O162" s="422"/>
      <c r="P162" s="422"/>
      <c r="Q162" s="422"/>
      <c r="R162" s="422"/>
      <c r="S162" s="422"/>
      <c r="T162" s="422"/>
      <c r="U162" s="422"/>
      <c r="V162" s="422"/>
      <c r="W162" s="422"/>
      <c r="X162" s="422"/>
      <c r="Y162" s="422"/>
      <c r="Z162" s="422"/>
      <c r="AA162" s="422"/>
      <c r="AB162" s="422"/>
      <c r="AC162" s="422"/>
      <c r="AD162" s="422"/>
      <c r="BI162" s="422"/>
      <c r="BJ162" s="422"/>
      <c r="BK162" s="422"/>
      <c r="BL162" s="422"/>
      <c r="BM162" s="422"/>
      <c r="BN162" s="422"/>
      <c r="BO162" s="422"/>
      <c r="BP162" s="422"/>
      <c r="BQ162" s="422"/>
      <c r="CV162" s="422"/>
      <c r="CW162" s="422"/>
      <c r="CX162" s="422"/>
      <c r="CY162" s="422"/>
      <c r="CZ162" s="422"/>
      <c r="DA162" s="422"/>
      <c r="DB162" s="422"/>
      <c r="DC162" s="422"/>
      <c r="DD162" s="422"/>
    </row>
    <row r="163" spans="3:108" ht="12.95" customHeight="1">
      <c r="C163" s="422"/>
      <c r="D163" s="422"/>
      <c r="E163" s="422"/>
      <c r="F163" s="422"/>
      <c r="G163" s="422"/>
      <c r="H163" s="422"/>
      <c r="I163" s="422"/>
      <c r="J163" s="422"/>
      <c r="K163" s="422"/>
      <c r="L163" s="422"/>
      <c r="M163" s="422"/>
      <c r="N163" s="422"/>
      <c r="O163" s="422"/>
      <c r="P163" s="422"/>
      <c r="Q163" s="422"/>
      <c r="R163" s="422"/>
      <c r="S163" s="422"/>
      <c r="T163" s="422"/>
      <c r="U163" s="422"/>
      <c r="V163" s="422"/>
      <c r="W163" s="422"/>
      <c r="X163" s="422"/>
      <c r="Y163" s="422"/>
      <c r="Z163" s="422"/>
      <c r="AA163" s="422"/>
      <c r="AB163" s="422"/>
      <c r="AC163" s="422"/>
      <c r="AD163" s="422"/>
      <c r="BI163" s="422"/>
      <c r="BJ163" s="422"/>
      <c r="BK163" s="422"/>
      <c r="BL163" s="422"/>
      <c r="BM163" s="422"/>
      <c r="BN163" s="422"/>
      <c r="BO163" s="422"/>
      <c r="BP163" s="422"/>
      <c r="BQ163" s="422"/>
      <c r="CV163" s="422"/>
      <c r="CW163" s="422"/>
      <c r="CX163" s="422"/>
      <c r="CY163" s="422"/>
      <c r="CZ163" s="422"/>
      <c r="DA163" s="422"/>
      <c r="DB163" s="422"/>
      <c r="DC163" s="422"/>
      <c r="DD163" s="422"/>
    </row>
    <row r="164" spans="3:108" ht="12.95" customHeight="1">
      <c r="C164" s="422"/>
      <c r="D164" s="422"/>
      <c r="E164" s="422"/>
      <c r="F164" s="422"/>
      <c r="G164" s="422"/>
      <c r="H164" s="422"/>
      <c r="I164" s="422"/>
      <c r="J164" s="422"/>
      <c r="K164" s="422"/>
      <c r="L164" s="422"/>
      <c r="M164" s="422"/>
      <c r="N164" s="422"/>
      <c r="O164" s="422"/>
      <c r="P164" s="422"/>
      <c r="Q164" s="422"/>
      <c r="R164" s="422"/>
      <c r="S164" s="422"/>
      <c r="T164" s="422"/>
      <c r="U164" s="422"/>
      <c r="V164" s="422"/>
      <c r="W164" s="422"/>
      <c r="X164" s="422"/>
      <c r="Y164" s="422"/>
      <c r="Z164" s="422"/>
      <c r="AA164" s="422"/>
      <c r="AB164" s="422"/>
      <c r="AC164" s="422"/>
      <c r="AD164" s="422"/>
      <c r="BI164" s="422"/>
      <c r="BJ164" s="422"/>
      <c r="BK164" s="422"/>
      <c r="BL164" s="422"/>
      <c r="BM164" s="422"/>
      <c r="BN164" s="422"/>
      <c r="BO164" s="422"/>
      <c r="BP164" s="422"/>
      <c r="BQ164" s="422"/>
      <c r="CV164" s="422"/>
      <c r="CW164" s="422"/>
      <c r="CX164" s="422"/>
      <c r="CY164" s="422"/>
      <c r="CZ164" s="422"/>
      <c r="DA164" s="422"/>
      <c r="DB164" s="422"/>
      <c r="DC164" s="422"/>
      <c r="DD164" s="422"/>
    </row>
    <row r="165" spans="3:108" ht="12.95" customHeight="1">
      <c r="C165" s="422"/>
      <c r="D165" s="422"/>
      <c r="E165" s="422"/>
      <c r="F165" s="422"/>
      <c r="G165" s="422"/>
      <c r="H165" s="422"/>
      <c r="I165" s="422"/>
      <c r="J165" s="422"/>
      <c r="K165" s="422"/>
      <c r="L165" s="422"/>
      <c r="M165" s="422"/>
      <c r="N165" s="422"/>
      <c r="O165" s="422"/>
      <c r="P165" s="422"/>
      <c r="Q165" s="422"/>
      <c r="R165" s="422"/>
      <c r="S165" s="422"/>
      <c r="T165" s="422"/>
      <c r="U165" s="422"/>
      <c r="V165" s="422"/>
      <c r="W165" s="422"/>
      <c r="X165" s="422"/>
      <c r="Y165" s="422"/>
      <c r="Z165" s="422"/>
      <c r="AA165" s="422"/>
      <c r="AB165" s="422"/>
      <c r="AC165" s="422"/>
      <c r="AD165" s="422"/>
      <c r="BI165" s="422"/>
      <c r="BJ165" s="422"/>
      <c r="BK165" s="422"/>
      <c r="BL165" s="422"/>
      <c r="BM165" s="422"/>
      <c r="BN165" s="422"/>
      <c r="BO165" s="422"/>
      <c r="BP165" s="422"/>
      <c r="BQ165" s="422"/>
      <c r="CV165" s="422"/>
      <c r="CW165" s="422"/>
      <c r="CX165" s="422"/>
      <c r="CY165" s="422"/>
      <c r="CZ165" s="422"/>
      <c r="DA165" s="422"/>
      <c r="DB165" s="422"/>
      <c r="DC165" s="422"/>
      <c r="DD165" s="422"/>
    </row>
    <row r="166" spans="3:108" ht="12.95" customHeight="1">
      <c r="C166" s="422"/>
      <c r="D166" s="422"/>
      <c r="E166" s="422"/>
      <c r="F166" s="422"/>
      <c r="G166" s="422"/>
      <c r="H166" s="422"/>
      <c r="I166" s="422"/>
      <c r="J166" s="422"/>
      <c r="K166" s="422"/>
      <c r="L166" s="422"/>
      <c r="M166" s="422"/>
      <c r="N166" s="422"/>
      <c r="O166" s="422"/>
      <c r="P166" s="422"/>
      <c r="Q166" s="422"/>
      <c r="R166" s="422"/>
      <c r="S166" s="422"/>
      <c r="T166" s="422"/>
      <c r="U166" s="422"/>
      <c r="V166" s="422"/>
      <c r="W166" s="422"/>
      <c r="X166" s="422"/>
      <c r="Y166" s="422"/>
      <c r="Z166" s="422"/>
      <c r="AA166" s="422"/>
      <c r="AB166" s="422"/>
      <c r="AC166" s="422"/>
      <c r="AD166" s="422"/>
      <c r="BI166" s="422"/>
      <c r="BJ166" s="422"/>
      <c r="BK166" s="422"/>
      <c r="BL166" s="422"/>
      <c r="BM166" s="422"/>
      <c r="BN166" s="422"/>
      <c r="BO166" s="422"/>
      <c r="BP166" s="422"/>
      <c r="BQ166" s="422"/>
      <c r="CV166" s="422"/>
      <c r="CW166" s="422"/>
      <c r="CX166" s="422"/>
      <c r="CY166" s="422"/>
      <c r="CZ166" s="422"/>
      <c r="DA166" s="422"/>
      <c r="DB166" s="422"/>
      <c r="DC166" s="422"/>
      <c r="DD166" s="422"/>
    </row>
    <row r="167" spans="3:108" ht="12.95" customHeight="1">
      <c r="C167" s="422"/>
      <c r="D167" s="422"/>
      <c r="E167" s="422"/>
      <c r="F167" s="422"/>
      <c r="G167" s="422"/>
      <c r="H167" s="422"/>
      <c r="I167" s="422"/>
      <c r="J167" s="422"/>
      <c r="K167" s="422"/>
      <c r="L167" s="422"/>
      <c r="M167" s="422"/>
      <c r="N167" s="422"/>
      <c r="O167" s="422"/>
      <c r="P167" s="422"/>
      <c r="Q167" s="422"/>
      <c r="R167" s="422"/>
      <c r="S167" s="422"/>
      <c r="T167" s="422"/>
      <c r="U167" s="422"/>
      <c r="V167" s="422"/>
      <c r="W167" s="422"/>
      <c r="X167" s="422"/>
      <c r="Y167" s="422"/>
      <c r="Z167" s="422"/>
      <c r="AA167" s="422"/>
      <c r="AB167" s="422"/>
      <c r="AC167" s="422"/>
      <c r="AD167" s="422"/>
      <c r="BI167" s="422"/>
      <c r="BJ167" s="422"/>
      <c r="BK167" s="422"/>
      <c r="BL167" s="422"/>
      <c r="BM167" s="422"/>
      <c r="BN167" s="422"/>
      <c r="BO167" s="422"/>
      <c r="BP167" s="422"/>
      <c r="BQ167" s="422"/>
      <c r="CV167" s="422"/>
      <c r="CW167" s="422"/>
      <c r="CX167" s="422"/>
      <c r="CY167" s="422"/>
      <c r="CZ167" s="422"/>
      <c r="DA167" s="422"/>
      <c r="DB167" s="422"/>
      <c r="DC167" s="422"/>
      <c r="DD167" s="422"/>
    </row>
    <row r="168" spans="3:108" ht="12.95" customHeight="1">
      <c r="C168" s="422"/>
      <c r="D168" s="422"/>
      <c r="E168" s="422"/>
      <c r="F168" s="422"/>
      <c r="G168" s="422"/>
      <c r="H168" s="422"/>
      <c r="I168" s="422"/>
      <c r="J168" s="422"/>
      <c r="K168" s="422"/>
      <c r="L168" s="422"/>
      <c r="M168" s="422"/>
      <c r="N168" s="422"/>
      <c r="O168" s="422"/>
      <c r="P168" s="422"/>
      <c r="Q168" s="422"/>
      <c r="R168" s="422"/>
      <c r="S168" s="422"/>
      <c r="T168" s="422"/>
      <c r="U168" s="422"/>
      <c r="V168" s="422"/>
      <c r="W168" s="422"/>
      <c r="X168" s="422"/>
      <c r="Y168" s="422"/>
      <c r="Z168" s="422"/>
      <c r="AA168" s="422"/>
      <c r="AB168" s="422"/>
      <c r="AC168" s="422"/>
      <c r="AD168" s="422"/>
      <c r="BI168" s="422"/>
      <c r="BJ168" s="422"/>
      <c r="BK168" s="422"/>
      <c r="BL168" s="422"/>
      <c r="BM168" s="422"/>
      <c r="BN168" s="422"/>
      <c r="BO168" s="422"/>
      <c r="BP168" s="422"/>
      <c r="BQ168" s="422"/>
      <c r="CV168" s="422"/>
      <c r="CW168" s="422"/>
      <c r="CX168" s="422"/>
      <c r="CY168" s="422"/>
      <c r="CZ168" s="422"/>
      <c r="DA168" s="422"/>
      <c r="DB168" s="422"/>
      <c r="DC168" s="422"/>
      <c r="DD168" s="422"/>
    </row>
    <row r="169" spans="3:108" ht="12.95" customHeight="1">
      <c r="C169" s="422"/>
      <c r="D169" s="422"/>
      <c r="E169" s="422"/>
      <c r="F169" s="422"/>
      <c r="G169" s="422"/>
      <c r="H169" s="422"/>
      <c r="I169" s="422"/>
      <c r="J169" s="422"/>
      <c r="K169" s="422"/>
      <c r="L169" s="422"/>
      <c r="M169" s="422"/>
      <c r="N169" s="422"/>
      <c r="O169" s="422"/>
      <c r="P169" s="422"/>
      <c r="Q169" s="422"/>
      <c r="R169" s="422"/>
      <c r="S169" s="422"/>
      <c r="T169" s="422"/>
      <c r="U169" s="422"/>
      <c r="V169" s="422"/>
      <c r="W169" s="422"/>
      <c r="X169" s="422"/>
      <c r="Y169" s="422"/>
      <c r="Z169" s="422"/>
      <c r="AA169" s="422"/>
      <c r="AB169" s="422"/>
      <c r="AC169" s="422"/>
      <c r="AD169" s="422"/>
      <c r="BI169" s="422"/>
      <c r="BJ169" s="422"/>
      <c r="BK169" s="422"/>
      <c r="BL169" s="422"/>
      <c r="BM169" s="422"/>
      <c r="BN169" s="422"/>
      <c r="BO169" s="422"/>
      <c r="BP169" s="422"/>
      <c r="BQ169" s="422"/>
      <c r="CV169" s="422"/>
      <c r="CW169" s="422"/>
      <c r="CX169" s="422"/>
      <c r="CY169" s="422"/>
      <c r="CZ169" s="422"/>
      <c r="DA169" s="422"/>
      <c r="DB169" s="422"/>
      <c r="DC169" s="422"/>
      <c r="DD169" s="422"/>
    </row>
    <row r="170" spans="3:108" ht="12.95" customHeight="1">
      <c r="C170" s="422"/>
      <c r="D170" s="422"/>
      <c r="E170" s="422"/>
      <c r="F170" s="422"/>
      <c r="G170" s="422"/>
      <c r="H170" s="422"/>
      <c r="I170" s="422"/>
      <c r="J170" s="422"/>
      <c r="K170" s="422"/>
      <c r="L170" s="422"/>
      <c r="M170" s="422"/>
      <c r="N170" s="422"/>
      <c r="O170" s="422"/>
      <c r="P170" s="422"/>
      <c r="Q170" s="422"/>
      <c r="R170" s="422"/>
      <c r="S170" s="422"/>
      <c r="T170" s="422"/>
      <c r="U170" s="422"/>
      <c r="V170" s="422"/>
      <c r="W170" s="422"/>
      <c r="X170" s="422"/>
      <c r="Y170" s="422"/>
      <c r="Z170" s="422"/>
      <c r="AA170" s="422"/>
      <c r="AB170" s="422"/>
      <c r="AC170" s="422"/>
      <c r="AD170" s="422"/>
      <c r="BI170" s="422"/>
      <c r="BJ170" s="422"/>
      <c r="BK170" s="422"/>
      <c r="BL170" s="422"/>
      <c r="BM170" s="422"/>
      <c r="BN170" s="422"/>
      <c r="BO170" s="422"/>
      <c r="BP170" s="422"/>
      <c r="BQ170" s="422"/>
      <c r="CV170" s="422"/>
      <c r="CW170" s="422"/>
      <c r="CX170" s="422"/>
      <c r="CY170" s="422"/>
      <c r="CZ170" s="422"/>
      <c r="DA170" s="422"/>
      <c r="DB170" s="422"/>
      <c r="DC170" s="422"/>
      <c r="DD170" s="422"/>
    </row>
    <row r="171" spans="3:108" ht="12.95" customHeight="1">
      <c r="C171" s="422"/>
      <c r="D171" s="422"/>
      <c r="E171" s="422"/>
      <c r="F171" s="422"/>
      <c r="G171" s="422"/>
      <c r="H171" s="422"/>
      <c r="I171" s="422"/>
      <c r="J171" s="422"/>
      <c r="K171" s="422"/>
      <c r="L171" s="422"/>
      <c r="M171" s="422"/>
      <c r="N171" s="422"/>
      <c r="O171" s="422"/>
      <c r="P171" s="422"/>
      <c r="Q171" s="422"/>
      <c r="R171" s="422"/>
      <c r="S171" s="422"/>
      <c r="T171" s="422"/>
      <c r="U171" s="422"/>
      <c r="V171" s="422"/>
      <c r="W171" s="422"/>
      <c r="X171" s="422"/>
      <c r="Y171" s="422"/>
      <c r="Z171" s="422"/>
      <c r="AA171" s="422"/>
      <c r="AB171" s="422"/>
      <c r="AC171" s="422"/>
      <c r="AD171" s="422"/>
      <c r="BI171" s="422"/>
      <c r="BJ171" s="422"/>
      <c r="BK171" s="422"/>
      <c r="BL171" s="422"/>
      <c r="BM171" s="422"/>
      <c r="BN171" s="422"/>
      <c r="BO171" s="422"/>
      <c r="BP171" s="422"/>
      <c r="BQ171" s="422"/>
      <c r="CV171" s="422"/>
      <c r="CW171" s="422"/>
      <c r="CX171" s="422"/>
      <c r="CY171" s="422"/>
      <c r="CZ171" s="422"/>
      <c r="DA171" s="422"/>
      <c r="DB171" s="422"/>
      <c r="DC171" s="422"/>
      <c r="DD171" s="422"/>
    </row>
    <row r="172" spans="3:108" ht="12.95" customHeight="1">
      <c r="C172" s="422"/>
      <c r="D172" s="422"/>
      <c r="E172" s="422"/>
      <c r="F172" s="422"/>
      <c r="G172" s="422"/>
      <c r="H172" s="422"/>
      <c r="I172" s="422"/>
      <c r="J172" s="422"/>
      <c r="K172" s="422"/>
      <c r="L172" s="422"/>
      <c r="M172" s="422"/>
      <c r="N172" s="422"/>
      <c r="O172" s="422"/>
      <c r="P172" s="422"/>
      <c r="Q172" s="422"/>
      <c r="R172" s="422"/>
      <c r="S172" s="422"/>
      <c r="T172" s="422"/>
      <c r="U172" s="422"/>
      <c r="V172" s="422"/>
      <c r="W172" s="422"/>
      <c r="X172" s="422"/>
      <c r="Y172" s="422"/>
      <c r="Z172" s="422"/>
      <c r="AA172" s="422"/>
      <c r="AB172" s="422"/>
      <c r="AC172" s="422"/>
      <c r="AD172" s="422"/>
      <c r="BI172" s="422"/>
      <c r="BJ172" s="422"/>
      <c r="BK172" s="422"/>
      <c r="BL172" s="422"/>
      <c r="BM172" s="422"/>
      <c r="BN172" s="422"/>
      <c r="BO172" s="422"/>
      <c r="BP172" s="422"/>
      <c r="BQ172" s="422"/>
      <c r="CV172" s="422"/>
      <c r="CW172" s="422"/>
      <c r="CX172" s="422"/>
      <c r="CY172" s="422"/>
      <c r="CZ172" s="422"/>
      <c r="DA172" s="422"/>
      <c r="DB172" s="422"/>
      <c r="DC172" s="422"/>
      <c r="DD172" s="422"/>
    </row>
    <row r="173" spans="3:108" ht="12.95" customHeight="1">
      <c r="C173" s="422"/>
      <c r="D173" s="422"/>
      <c r="E173" s="422"/>
      <c r="F173" s="422"/>
      <c r="G173" s="422"/>
      <c r="H173" s="422"/>
      <c r="I173" s="422"/>
      <c r="J173" s="422"/>
      <c r="K173" s="422"/>
      <c r="L173" s="422"/>
      <c r="M173" s="422"/>
      <c r="N173" s="422"/>
      <c r="O173" s="422"/>
      <c r="P173" s="422"/>
      <c r="Q173" s="422"/>
      <c r="R173" s="422"/>
      <c r="S173" s="422"/>
      <c r="T173" s="422"/>
      <c r="U173" s="422"/>
      <c r="V173" s="422"/>
      <c r="W173" s="422"/>
      <c r="X173" s="422"/>
      <c r="Y173" s="422"/>
      <c r="Z173" s="422"/>
      <c r="AA173" s="422"/>
      <c r="AB173" s="422"/>
      <c r="AC173" s="422"/>
      <c r="AD173" s="422"/>
      <c r="BI173" s="422"/>
      <c r="BJ173" s="422"/>
      <c r="BK173" s="422"/>
      <c r="BL173" s="422"/>
      <c r="BM173" s="422"/>
      <c r="BN173" s="422"/>
      <c r="BO173" s="422"/>
      <c r="BP173" s="422"/>
      <c r="BQ173" s="422"/>
      <c r="CV173" s="422"/>
      <c r="CW173" s="422"/>
      <c r="CX173" s="422"/>
      <c r="CY173" s="422"/>
      <c r="CZ173" s="422"/>
      <c r="DA173" s="422"/>
      <c r="DB173" s="422"/>
      <c r="DC173" s="422"/>
      <c r="DD173" s="422"/>
    </row>
    <row r="174" spans="3:108" ht="12.95" customHeight="1">
      <c r="C174" s="422"/>
      <c r="D174" s="422"/>
      <c r="E174" s="422"/>
      <c r="F174" s="422"/>
      <c r="G174" s="422"/>
      <c r="H174" s="422"/>
      <c r="I174" s="422"/>
      <c r="J174" s="422"/>
      <c r="K174" s="422"/>
      <c r="L174" s="422"/>
      <c r="M174" s="422"/>
      <c r="N174" s="422"/>
      <c r="O174" s="422"/>
      <c r="P174" s="422"/>
      <c r="Q174" s="422"/>
      <c r="R174" s="422"/>
      <c r="S174" s="422"/>
      <c r="T174" s="422"/>
      <c r="U174" s="422"/>
      <c r="V174" s="422"/>
      <c r="W174" s="422"/>
      <c r="X174" s="422"/>
      <c r="Y174" s="422"/>
      <c r="Z174" s="422"/>
      <c r="AA174" s="422"/>
      <c r="AB174" s="422"/>
      <c r="AC174" s="422"/>
      <c r="AD174" s="422"/>
      <c r="BI174" s="422"/>
      <c r="BJ174" s="422"/>
      <c r="BK174" s="422"/>
      <c r="BL174" s="422"/>
      <c r="BM174" s="422"/>
      <c r="BN174" s="422"/>
      <c r="BO174" s="422"/>
      <c r="BP174" s="422"/>
      <c r="BQ174" s="422"/>
      <c r="CV174" s="422"/>
      <c r="CW174" s="422"/>
      <c r="CX174" s="422"/>
      <c r="CY174" s="422"/>
      <c r="CZ174" s="422"/>
      <c r="DA174" s="422"/>
      <c r="DB174" s="422"/>
      <c r="DC174" s="422"/>
      <c r="DD174" s="422"/>
    </row>
    <row r="175" spans="3:108" ht="12.95" customHeight="1">
      <c r="C175" s="422"/>
      <c r="D175" s="422"/>
      <c r="E175" s="422"/>
      <c r="F175" s="422"/>
      <c r="G175" s="422"/>
      <c r="H175" s="422"/>
      <c r="I175" s="422"/>
      <c r="J175" s="422"/>
      <c r="K175" s="422"/>
      <c r="L175" s="422"/>
      <c r="M175" s="422"/>
      <c r="N175" s="422"/>
      <c r="O175" s="422"/>
      <c r="P175" s="422"/>
      <c r="Q175" s="422"/>
      <c r="R175" s="422"/>
      <c r="S175" s="422"/>
      <c r="T175" s="422"/>
      <c r="U175" s="422"/>
      <c r="V175" s="422"/>
      <c r="W175" s="422"/>
      <c r="X175" s="422"/>
      <c r="Y175" s="422"/>
      <c r="Z175" s="422"/>
      <c r="AA175" s="422"/>
      <c r="AB175" s="422"/>
      <c r="AC175" s="422"/>
      <c r="AD175" s="422"/>
      <c r="BI175" s="422"/>
      <c r="BJ175" s="422"/>
      <c r="BK175" s="422"/>
      <c r="BL175" s="422"/>
      <c r="BM175" s="422"/>
      <c r="BN175" s="422"/>
      <c r="BO175" s="422"/>
      <c r="BP175" s="422"/>
      <c r="BQ175" s="422"/>
      <c r="CV175" s="422"/>
      <c r="CW175" s="422"/>
      <c r="CX175" s="422"/>
      <c r="CY175" s="422"/>
      <c r="CZ175" s="422"/>
      <c r="DA175" s="422"/>
      <c r="DB175" s="422"/>
      <c r="DC175" s="422"/>
      <c r="DD175" s="422"/>
    </row>
    <row r="176" spans="3:108" ht="12.95" customHeight="1">
      <c r="C176" s="422"/>
      <c r="D176" s="422"/>
      <c r="E176" s="422"/>
      <c r="F176" s="422"/>
      <c r="G176" s="422"/>
      <c r="H176" s="422"/>
      <c r="I176" s="422"/>
      <c r="J176" s="422"/>
      <c r="K176" s="422"/>
      <c r="L176" s="422"/>
      <c r="M176" s="422"/>
      <c r="N176" s="422"/>
      <c r="O176" s="422"/>
      <c r="P176" s="422"/>
      <c r="Q176" s="422"/>
      <c r="R176" s="422"/>
      <c r="S176" s="422"/>
      <c r="T176" s="422"/>
      <c r="U176" s="422"/>
      <c r="V176" s="422"/>
      <c r="W176" s="422"/>
      <c r="X176" s="422"/>
      <c r="Y176" s="422"/>
      <c r="Z176" s="422"/>
      <c r="AA176" s="422"/>
      <c r="AB176" s="422"/>
      <c r="AC176" s="422"/>
      <c r="AD176" s="422"/>
      <c r="BI176" s="422"/>
      <c r="BJ176" s="422"/>
      <c r="BK176" s="422"/>
      <c r="BL176" s="422"/>
      <c r="BM176" s="422"/>
      <c r="BN176" s="422"/>
      <c r="BO176" s="422"/>
      <c r="BP176" s="422"/>
      <c r="BQ176" s="422"/>
      <c r="CV176" s="422"/>
      <c r="CW176" s="422"/>
      <c r="CX176" s="422"/>
      <c r="CY176" s="422"/>
      <c r="CZ176" s="422"/>
      <c r="DA176" s="422"/>
      <c r="DB176" s="422"/>
      <c r="DC176" s="422"/>
      <c r="DD176" s="422"/>
    </row>
  </sheetData>
  <sheetProtection formatCells="0" formatColumns="0" formatRows="0" insertColumns="0" insertRows="0" insertHyperlinks="0" deleteColumns="0" deleteRows="0" sort="0" autoFilter="0" pivotTables="0"/>
  <protectedRanges>
    <protectedRange sqref="K27:U27" name="Range2_1_4_10_1_4_2"/>
    <protectedRange sqref="V17:BE17 BI17:EE17" name="Range2_1_4_10_1_4_1_3_1_2"/>
    <protectedRange sqref="V9:BE9 V11:BE11 BI9:EE9 BI11:EE11" name="Range2_1_4_10_1_4_1_3_1_1_1"/>
    <protectedRange sqref="AT27:BE27 CG27:CU27 DT27:EE27" name="Range2_1_4_10_1_4_2_3_1"/>
    <protectedRange sqref="V27:AS27 BI27:CF27 CV27:DS27" name="Range2_1_4_10_1_4_2_3_2_1"/>
  </protectedRanges>
  <mergeCells count="952">
    <mergeCell ref="DE54:DG54"/>
    <mergeCell ref="BK93:BL93"/>
    <mergeCell ref="DJ93:DK93"/>
    <mergeCell ref="DV93:DW93"/>
    <mergeCell ref="CV52:DG52"/>
    <mergeCell ref="DH52:DS52"/>
    <mergeCell ref="DT52:EE52"/>
    <mergeCell ref="CV53:DG53"/>
    <mergeCell ref="DH53:DS53"/>
    <mergeCell ref="DT53:EE53"/>
    <mergeCell ref="CV54:DA54"/>
    <mergeCell ref="DB54:DD54"/>
    <mergeCell ref="DJ94:DK94"/>
    <mergeCell ref="DV94:DW94"/>
    <mergeCell ref="CX95:CY95"/>
    <mergeCell ref="Z2:AY2"/>
    <mergeCell ref="BM2:CL2"/>
    <mergeCell ref="CZ2:DY2"/>
    <mergeCell ref="CX91:CY91"/>
    <mergeCell ref="CX92:CY92"/>
    <mergeCell ref="DJ92:DK92"/>
    <mergeCell ref="DV92:DW92"/>
    <mergeCell ref="BK95:BL95"/>
    <mergeCell ref="BK91:BL91"/>
    <mergeCell ref="BK92:BL92"/>
    <mergeCell ref="BW92:BX92"/>
    <mergeCell ref="CI92:CJ92"/>
    <mergeCell ref="CX94:CY94"/>
    <mergeCell ref="CX93:CY93"/>
    <mergeCell ref="CC50:CF50"/>
    <mergeCell ref="CG50:CH50"/>
    <mergeCell ref="BW93:BX93"/>
    <mergeCell ref="CI93:CJ93"/>
    <mergeCell ref="BK94:BL94"/>
    <mergeCell ref="BW94:BX94"/>
    <mergeCell ref="CI94:CJ94"/>
    <mergeCell ref="BI53:BT53"/>
    <mergeCell ref="BU53:CF53"/>
    <mergeCell ref="CG53:CR53"/>
    <mergeCell ref="BI51:BT51"/>
    <mergeCell ref="BU51:CF51"/>
    <mergeCell ref="CG51:CR51"/>
    <mergeCell ref="BI52:BT52"/>
    <mergeCell ref="BU52:CF52"/>
    <mergeCell ref="CG52:CR52"/>
    <mergeCell ref="CG48:CH48"/>
    <mergeCell ref="BI54:BN54"/>
    <mergeCell ref="BO54:BQ54"/>
    <mergeCell ref="BR54:BT54"/>
    <mergeCell ref="CI50:CJ50"/>
    <mergeCell ref="CK50:CN50"/>
    <mergeCell ref="BQ50:BT50"/>
    <mergeCell ref="BU50:BV50"/>
    <mergeCell ref="BW50:BX50"/>
    <mergeCell ref="BY50:CB50"/>
    <mergeCell ref="CC49:CF49"/>
    <mergeCell ref="CG49:CH49"/>
    <mergeCell ref="CI49:CJ49"/>
    <mergeCell ref="CK49:CN49"/>
    <mergeCell ref="CO49:CR49"/>
    <mergeCell ref="BI48:BJ48"/>
    <mergeCell ref="BK48:BL48"/>
    <mergeCell ref="BM48:BP48"/>
    <mergeCell ref="BQ48:BT48"/>
    <mergeCell ref="BU48:BV48"/>
    <mergeCell ref="CI47:CJ47"/>
    <mergeCell ref="CK47:CN47"/>
    <mergeCell ref="CO47:CR47"/>
    <mergeCell ref="CI48:CJ48"/>
    <mergeCell ref="CK48:CN48"/>
    <mergeCell ref="CO48:CR48"/>
    <mergeCell ref="CI45:CJ45"/>
    <mergeCell ref="CK45:CN45"/>
    <mergeCell ref="CO45:CR45"/>
    <mergeCell ref="CK46:CN46"/>
    <mergeCell ref="CO46:CR46"/>
    <mergeCell ref="BI47:BJ47"/>
    <mergeCell ref="BK47:BL47"/>
    <mergeCell ref="BM47:BP47"/>
    <mergeCell ref="BQ47:BT47"/>
    <mergeCell ref="BU47:BV47"/>
    <mergeCell ref="CO44:CR44"/>
    <mergeCell ref="BI45:BJ45"/>
    <mergeCell ref="BK45:BL45"/>
    <mergeCell ref="BM45:BP45"/>
    <mergeCell ref="BQ45:BT45"/>
    <mergeCell ref="BU45:BV45"/>
    <mergeCell ref="BW45:BX45"/>
    <mergeCell ref="BY45:CB45"/>
    <mergeCell ref="CC45:CF45"/>
    <mergeCell ref="CG45:CH45"/>
    <mergeCell ref="BY44:CB44"/>
    <mergeCell ref="CC44:CF44"/>
    <mergeCell ref="CG44:CH44"/>
    <mergeCell ref="CI44:CJ44"/>
    <mergeCell ref="CK44:CN44"/>
    <mergeCell ref="CK43:CN43"/>
    <mergeCell ref="CI43:CJ43"/>
    <mergeCell ref="CO43:CR43"/>
    <mergeCell ref="BI42:BJ42"/>
    <mergeCell ref="BK42:BL42"/>
    <mergeCell ref="BM42:BP42"/>
    <mergeCell ref="BQ42:BT42"/>
    <mergeCell ref="BU42:BV42"/>
    <mergeCell ref="BW42:BX42"/>
    <mergeCell ref="BY42:CB42"/>
    <mergeCell ref="CC42:CF42"/>
    <mergeCell ref="BU43:BV43"/>
    <mergeCell ref="BW39:BX39"/>
    <mergeCell ref="BY39:CB39"/>
    <mergeCell ref="CC39:CF39"/>
    <mergeCell ref="CG39:CH39"/>
    <mergeCell ref="CI39:CJ39"/>
    <mergeCell ref="CG42:CH42"/>
    <mergeCell ref="CI40:CJ40"/>
    <mergeCell ref="BW40:BX40"/>
    <mergeCell ref="BY40:CB40"/>
    <mergeCell ref="CC40:CF40"/>
    <mergeCell ref="BM39:BP39"/>
    <mergeCell ref="BQ39:BT39"/>
    <mergeCell ref="BW43:BX43"/>
    <mergeCell ref="BY43:CB43"/>
    <mergeCell ref="CC43:CF43"/>
    <mergeCell ref="CG43:CH43"/>
    <mergeCell ref="CG40:CH40"/>
    <mergeCell ref="BM40:BP40"/>
    <mergeCell ref="BQ40:BT40"/>
    <mergeCell ref="BU40:BV40"/>
    <mergeCell ref="BU36:CF36"/>
    <mergeCell ref="CG36:CR36"/>
    <mergeCell ref="BI38:BT38"/>
    <mergeCell ref="BU38:CF38"/>
    <mergeCell ref="CG38:CR38"/>
    <mergeCell ref="CG15:CR15"/>
    <mergeCell ref="BI16:BT16"/>
    <mergeCell ref="BU16:CF16"/>
    <mergeCell ref="CG16:CR16"/>
    <mergeCell ref="CG22:CH22"/>
    <mergeCell ref="CI22:CJ22"/>
    <mergeCell ref="CK22:CR22"/>
    <mergeCell ref="CG11:CR11"/>
    <mergeCell ref="BU12:CF12"/>
    <mergeCell ref="CG12:CR12"/>
    <mergeCell ref="BI4:BT4"/>
    <mergeCell ref="BU4:CF4"/>
    <mergeCell ref="CG4:CR4"/>
    <mergeCell ref="BI5:BT5"/>
    <mergeCell ref="BU5:CF5"/>
    <mergeCell ref="BU6:CF6"/>
    <mergeCell ref="CG6:CR6"/>
    <mergeCell ref="B3:J3"/>
    <mergeCell ref="K3:U3"/>
    <mergeCell ref="V3:AG3"/>
    <mergeCell ref="AH3:AS3"/>
    <mergeCell ref="AT3:BE3"/>
    <mergeCell ref="B4:J5"/>
    <mergeCell ref="K4:U4"/>
    <mergeCell ref="V4:AG4"/>
    <mergeCell ref="CV3:DG3"/>
    <mergeCell ref="BI3:BT3"/>
    <mergeCell ref="BU3:CF3"/>
    <mergeCell ref="CG3:CR3"/>
    <mergeCell ref="DH3:DS3"/>
    <mergeCell ref="DT3:EE3"/>
    <mergeCell ref="DT6:EE6"/>
    <mergeCell ref="AH4:AS4"/>
    <mergeCell ref="AT4:BE4"/>
    <mergeCell ref="CV4:DG4"/>
    <mergeCell ref="DH4:DS4"/>
    <mergeCell ref="DT4:EE4"/>
    <mergeCell ref="AH5:AS5"/>
    <mergeCell ref="AT5:BE5"/>
    <mergeCell ref="CV5:DG5"/>
    <mergeCell ref="DH5:DS5"/>
    <mergeCell ref="AT6:BE6"/>
    <mergeCell ref="CV6:DG6"/>
    <mergeCell ref="DH6:DS6"/>
    <mergeCell ref="DH7:DS7"/>
    <mergeCell ref="DT7:EE7"/>
    <mergeCell ref="CG5:CR5"/>
    <mergeCell ref="BI6:BT6"/>
    <mergeCell ref="BI7:BT7"/>
    <mergeCell ref="BU7:CF7"/>
    <mergeCell ref="DT5:EE5"/>
    <mergeCell ref="K5:U5"/>
    <mergeCell ref="V5:AG5"/>
    <mergeCell ref="B7:J7"/>
    <mergeCell ref="K7:U7"/>
    <mergeCell ref="V7:AG7"/>
    <mergeCell ref="AH7:AS7"/>
    <mergeCell ref="K6:U6"/>
    <mergeCell ref="V6:AG6"/>
    <mergeCell ref="AH6:AS6"/>
    <mergeCell ref="AT7:BE7"/>
    <mergeCell ref="CV7:DG7"/>
    <mergeCell ref="CG7:CR7"/>
    <mergeCell ref="V9:AG9"/>
    <mergeCell ref="AH9:AS9"/>
    <mergeCell ref="AT9:BE9"/>
    <mergeCell ref="CV9:DG9"/>
    <mergeCell ref="DH9:DS9"/>
    <mergeCell ref="BI10:BT10"/>
    <mergeCell ref="BU10:CF10"/>
    <mergeCell ref="CG10:CR10"/>
    <mergeCell ref="BU9:CF9"/>
    <mergeCell ref="CG9:CR9"/>
    <mergeCell ref="DT8:EE8"/>
    <mergeCell ref="DT9:EE9"/>
    <mergeCell ref="K10:U10"/>
    <mergeCell ref="V10:AG10"/>
    <mergeCell ref="AH10:AS10"/>
    <mergeCell ref="AT10:BE10"/>
    <mergeCell ref="CV10:DG10"/>
    <mergeCell ref="DH10:DS10"/>
    <mergeCell ref="DT10:EE10"/>
    <mergeCell ref="K9:U9"/>
    <mergeCell ref="V11:AG11"/>
    <mergeCell ref="AH11:AS11"/>
    <mergeCell ref="AT11:BE11"/>
    <mergeCell ref="CV11:DG11"/>
    <mergeCell ref="DH11:DS11"/>
    <mergeCell ref="K8:U8"/>
    <mergeCell ref="V8:AG8"/>
    <mergeCell ref="AH8:AS8"/>
    <mergeCell ref="AT8:BE8"/>
    <mergeCell ref="BI8:BT8"/>
    <mergeCell ref="BI14:BT14"/>
    <mergeCell ref="BU14:CF14"/>
    <mergeCell ref="CG14:CR14"/>
    <mergeCell ref="CG8:CR8"/>
    <mergeCell ref="BI9:BT9"/>
    <mergeCell ref="DH12:DS12"/>
    <mergeCell ref="BU8:CF8"/>
    <mergeCell ref="CV8:DG8"/>
    <mergeCell ref="DH8:DS8"/>
    <mergeCell ref="BI12:BT12"/>
    <mergeCell ref="DT11:EE11"/>
    <mergeCell ref="K12:U12"/>
    <mergeCell ref="V12:AG12"/>
    <mergeCell ref="AH12:AS12"/>
    <mergeCell ref="AT12:BE12"/>
    <mergeCell ref="CV12:DG12"/>
    <mergeCell ref="BI11:BT11"/>
    <mergeCell ref="BU11:CF11"/>
    <mergeCell ref="DT12:EE12"/>
    <mergeCell ref="K11:U11"/>
    <mergeCell ref="AH13:AS13"/>
    <mergeCell ref="AT13:BE13"/>
    <mergeCell ref="CV13:DG13"/>
    <mergeCell ref="DH13:DS13"/>
    <mergeCell ref="BI13:BT13"/>
    <mergeCell ref="BU13:CF13"/>
    <mergeCell ref="CG13:CR13"/>
    <mergeCell ref="DT13:EE13"/>
    <mergeCell ref="K14:U14"/>
    <mergeCell ref="V14:AG14"/>
    <mergeCell ref="AH14:AS14"/>
    <mergeCell ref="AT14:BE14"/>
    <mergeCell ref="CV14:DG14"/>
    <mergeCell ref="DH14:DS14"/>
    <mergeCell ref="DT14:EE14"/>
    <mergeCell ref="K13:U13"/>
    <mergeCell ref="V13:AG13"/>
    <mergeCell ref="DH16:DS16"/>
    <mergeCell ref="DT16:EE16"/>
    <mergeCell ref="K15:U15"/>
    <mergeCell ref="V15:AG15"/>
    <mergeCell ref="AH15:AS15"/>
    <mergeCell ref="AT15:BE15"/>
    <mergeCell ref="CV15:DG15"/>
    <mergeCell ref="DH15:DS15"/>
    <mergeCell ref="BI15:BT15"/>
    <mergeCell ref="BU15:CF15"/>
    <mergeCell ref="CG17:CR17"/>
    <mergeCell ref="BI18:BT18"/>
    <mergeCell ref="BU18:CF18"/>
    <mergeCell ref="CG18:CR18"/>
    <mergeCell ref="DT15:EE15"/>
    <mergeCell ref="K16:U16"/>
    <mergeCell ref="V16:AG16"/>
    <mergeCell ref="AH16:AS16"/>
    <mergeCell ref="AT16:BE16"/>
    <mergeCell ref="CV16:DG16"/>
    <mergeCell ref="DH18:DS18"/>
    <mergeCell ref="DT18:EE18"/>
    <mergeCell ref="K17:U17"/>
    <mergeCell ref="V17:AG17"/>
    <mergeCell ref="AH17:AS17"/>
    <mergeCell ref="AT17:BE17"/>
    <mergeCell ref="CV17:DG17"/>
    <mergeCell ref="DH17:DS17"/>
    <mergeCell ref="BI17:BT17"/>
    <mergeCell ref="BU17:CF17"/>
    <mergeCell ref="BI20:BT20"/>
    <mergeCell ref="BU20:CF20"/>
    <mergeCell ref="CG20:CR20"/>
    <mergeCell ref="DT17:EE17"/>
    <mergeCell ref="B18:J18"/>
    <mergeCell ref="K18:U18"/>
    <mergeCell ref="V18:AG18"/>
    <mergeCell ref="AH18:AS18"/>
    <mergeCell ref="AT18:BE18"/>
    <mergeCell ref="CV18:DG18"/>
    <mergeCell ref="V19:AG19"/>
    <mergeCell ref="AH19:AS19"/>
    <mergeCell ref="AT19:BE19"/>
    <mergeCell ref="CV19:DG19"/>
    <mergeCell ref="DH19:DS19"/>
    <mergeCell ref="BI19:BT19"/>
    <mergeCell ref="BU19:CF19"/>
    <mergeCell ref="CG19:CR19"/>
    <mergeCell ref="CG21:CR21"/>
    <mergeCell ref="DT19:EE19"/>
    <mergeCell ref="K20:U20"/>
    <mergeCell ref="V20:AG20"/>
    <mergeCell ref="AH20:AS20"/>
    <mergeCell ref="AT20:BE20"/>
    <mergeCell ref="CV20:DG20"/>
    <mergeCell ref="DH20:DS20"/>
    <mergeCell ref="DT20:EE20"/>
    <mergeCell ref="K19:U19"/>
    <mergeCell ref="DT21:EE21"/>
    <mergeCell ref="K22:O22"/>
    <mergeCell ref="CV21:DG21"/>
    <mergeCell ref="DH21:DS21"/>
    <mergeCell ref="DJ22:DK22"/>
    <mergeCell ref="DL22:DS22"/>
    <mergeCell ref="DT22:DU22"/>
    <mergeCell ref="P22:U22"/>
    <mergeCell ref="V22:W22"/>
    <mergeCell ref="BI21:BT21"/>
    <mergeCell ref="DV22:DW22"/>
    <mergeCell ref="DX22:EE22"/>
    <mergeCell ref="DH22:DI22"/>
    <mergeCell ref="AV22:AW22"/>
    <mergeCell ref="AX22:BE22"/>
    <mergeCell ref="CV22:CW22"/>
    <mergeCell ref="CX22:CY22"/>
    <mergeCell ref="CZ22:DG22"/>
    <mergeCell ref="BM22:BT22"/>
    <mergeCell ref="BU22:BV22"/>
    <mergeCell ref="K21:U21"/>
    <mergeCell ref="V21:AG21"/>
    <mergeCell ref="AH21:AS21"/>
    <mergeCell ref="AT21:BE21"/>
    <mergeCell ref="BU21:CF21"/>
    <mergeCell ref="AH22:AI22"/>
    <mergeCell ref="BI22:BJ22"/>
    <mergeCell ref="BK22:BL22"/>
    <mergeCell ref="BW22:BX22"/>
    <mergeCell ref="BY22:CF22"/>
    <mergeCell ref="DH23:DS23"/>
    <mergeCell ref="DT23:EE23"/>
    <mergeCell ref="K24:U24"/>
    <mergeCell ref="V24:AG24"/>
    <mergeCell ref="AH24:AS24"/>
    <mergeCell ref="AT24:BE24"/>
    <mergeCell ref="CV24:DG24"/>
    <mergeCell ref="K23:U23"/>
    <mergeCell ref="V23:AG23"/>
    <mergeCell ref="AH23:AS23"/>
    <mergeCell ref="AT23:BE23"/>
    <mergeCell ref="CV23:DG23"/>
    <mergeCell ref="AJ22:AK22"/>
    <mergeCell ref="AL22:AS22"/>
    <mergeCell ref="AT22:AU22"/>
    <mergeCell ref="X22:Y22"/>
    <mergeCell ref="Z22:AG22"/>
    <mergeCell ref="BI23:BT23"/>
    <mergeCell ref="BU23:CF23"/>
    <mergeCell ref="CG23:CR23"/>
    <mergeCell ref="DT24:EE24"/>
    <mergeCell ref="DH26:DS26"/>
    <mergeCell ref="DT26:EE26"/>
    <mergeCell ref="K25:U25"/>
    <mergeCell ref="V25:AG25"/>
    <mergeCell ref="AH25:AS25"/>
    <mergeCell ref="AT25:BE25"/>
    <mergeCell ref="CV25:DG25"/>
    <mergeCell ref="BI24:BT24"/>
    <mergeCell ref="BU24:CF24"/>
    <mergeCell ref="BI28:BT28"/>
    <mergeCell ref="BU28:CF28"/>
    <mergeCell ref="CG28:CR28"/>
    <mergeCell ref="DH28:DS28"/>
    <mergeCell ref="CG26:CR26"/>
    <mergeCell ref="DH24:DS24"/>
    <mergeCell ref="CG24:CR24"/>
    <mergeCell ref="CG25:CR25"/>
    <mergeCell ref="BI26:BT26"/>
    <mergeCell ref="BU26:CF26"/>
    <mergeCell ref="DT25:EE25"/>
    <mergeCell ref="K26:U26"/>
    <mergeCell ref="V26:AG26"/>
    <mergeCell ref="AH26:AS26"/>
    <mergeCell ref="AT26:BE26"/>
    <mergeCell ref="CV26:DG26"/>
    <mergeCell ref="DH25:DS25"/>
    <mergeCell ref="BI25:BT25"/>
    <mergeCell ref="BU25:CF25"/>
    <mergeCell ref="DT28:EE28"/>
    <mergeCell ref="K27:U27"/>
    <mergeCell ref="V27:AG27"/>
    <mergeCell ref="AH27:AS27"/>
    <mergeCell ref="AT27:BE27"/>
    <mergeCell ref="CV27:DG27"/>
    <mergeCell ref="DH27:DS27"/>
    <mergeCell ref="BI27:BT27"/>
    <mergeCell ref="BU27:CF27"/>
    <mergeCell ref="CG27:CR27"/>
    <mergeCell ref="CG29:CR29"/>
    <mergeCell ref="BI30:BT30"/>
    <mergeCell ref="BU30:CF30"/>
    <mergeCell ref="CG30:CR30"/>
    <mergeCell ref="DT27:EE27"/>
    <mergeCell ref="K28:U28"/>
    <mergeCell ref="V28:AG28"/>
    <mergeCell ref="AH28:AS28"/>
    <mergeCell ref="AT28:BE28"/>
    <mergeCell ref="CV28:DG28"/>
    <mergeCell ref="DH30:DS30"/>
    <mergeCell ref="DT30:EE30"/>
    <mergeCell ref="K29:U29"/>
    <mergeCell ref="V29:AG29"/>
    <mergeCell ref="AH29:AS29"/>
    <mergeCell ref="AT29:BE29"/>
    <mergeCell ref="CV29:DG29"/>
    <mergeCell ref="DH29:DS29"/>
    <mergeCell ref="BI29:BT29"/>
    <mergeCell ref="BU29:CF29"/>
    <mergeCell ref="BI32:BT32"/>
    <mergeCell ref="BU32:CF32"/>
    <mergeCell ref="CG32:CR32"/>
    <mergeCell ref="DT29:EE29"/>
    <mergeCell ref="B30:J30"/>
    <mergeCell ref="K30:U30"/>
    <mergeCell ref="V30:AG30"/>
    <mergeCell ref="AH30:AS30"/>
    <mergeCell ref="AT30:BE30"/>
    <mergeCell ref="CV30:DG30"/>
    <mergeCell ref="DT32:EE32"/>
    <mergeCell ref="K31:U31"/>
    <mergeCell ref="V31:AG31"/>
    <mergeCell ref="AH31:AS31"/>
    <mergeCell ref="AT31:BE31"/>
    <mergeCell ref="CV31:DG31"/>
    <mergeCell ref="DH31:DS31"/>
    <mergeCell ref="BI31:BT31"/>
    <mergeCell ref="BU31:CF31"/>
    <mergeCell ref="CG31:CR31"/>
    <mergeCell ref="BI34:BT34"/>
    <mergeCell ref="BU34:CF34"/>
    <mergeCell ref="CG34:CR34"/>
    <mergeCell ref="DT31:EE31"/>
    <mergeCell ref="K32:U32"/>
    <mergeCell ref="V32:AG32"/>
    <mergeCell ref="AH32:AS32"/>
    <mergeCell ref="AT32:BE32"/>
    <mergeCell ref="CV32:DG32"/>
    <mergeCell ref="DH32:DS32"/>
    <mergeCell ref="AH33:AS33"/>
    <mergeCell ref="AT33:BE33"/>
    <mergeCell ref="CV33:DG33"/>
    <mergeCell ref="DH33:DS33"/>
    <mergeCell ref="BI33:BT33"/>
    <mergeCell ref="BU33:CF33"/>
    <mergeCell ref="CG33:CR33"/>
    <mergeCell ref="DT33:EE33"/>
    <mergeCell ref="K34:U34"/>
    <mergeCell ref="V34:AG34"/>
    <mergeCell ref="AH34:AS34"/>
    <mergeCell ref="AT34:BE34"/>
    <mergeCell ref="CV34:DG34"/>
    <mergeCell ref="DH34:DS34"/>
    <mergeCell ref="DT34:EE34"/>
    <mergeCell ref="K33:U33"/>
    <mergeCell ref="V33:AG33"/>
    <mergeCell ref="AH35:AS35"/>
    <mergeCell ref="AT35:BE35"/>
    <mergeCell ref="CV35:DG35"/>
    <mergeCell ref="DH35:DS35"/>
    <mergeCell ref="DH38:DS38"/>
    <mergeCell ref="DT38:EE38"/>
    <mergeCell ref="BI35:BT35"/>
    <mergeCell ref="BU35:CF35"/>
    <mergeCell ref="CG35:CR35"/>
    <mergeCell ref="BI36:BT36"/>
    <mergeCell ref="DT35:EE35"/>
    <mergeCell ref="B36:U36"/>
    <mergeCell ref="V36:AG36"/>
    <mergeCell ref="AH36:AS36"/>
    <mergeCell ref="AT36:BE36"/>
    <mergeCell ref="CV36:DG36"/>
    <mergeCell ref="DH36:DS36"/>
    <mergeCell ref="DT36:EE36"/>
    <mergeCell ref="K35:U35"/>
    <mergeCell ref="V35:AG35"/>
    <mergeCell ref="B38:J38"/>
    <mergeCell ref="K38:U38"/>
    <mergeCell ref="V38:AG38"/>
    <mergeCell ref="AH38:AS38"/>
    <mergeCell ref="AT38:BE38"/>
    <mergeCell ref="CV38:DG38"/>
    <mergeCell ref="AJ39:AK39"/>
    <mergeCell ref="AL39:AO39"/>
    <mergeCell ref="K40:U40"/>
    <mergeCell ref="V40:W40"/>
    <mergeCell ref="X40:Y40"/>
    <mergeCell ref="Z40:AC40"/>
    <mergeCell ref="AD40:AG40"/>
    <mergeCell ref="AL40:AO40"/>
    <mergeCell ref="K39:U39"/>
    <mergeCell ref="V39:W39"/>
    <mergeCell ref="X39:Y39"/>
    <mergeCell ref="Z39:AC39"/>
    <mergeCell ref="AD39:AG39"/>
    <mergeCell ref="AH39:AI39"/>
    <mergeCell ref="DV40:DW40"/>
    <mergeCell ref="CX39:CY39"/>
    <mergeCell ref="CZ39:DC39"/>
    <mergeCell ref="DD39:DG39"/>
    <mergeCell ref="DH39:DI39"/>
    <mergeCell ref="AP39:AS39"/>
    <mergeCell ref="AT39:AU39"/>
    <mergeCell ref="AV39:AW39"/>
    <mergeCell ref="AX39:BA39"/>
    <mergeCell ref="BB39:BE39"/>
    <mergeCell ref="DV39:DW39"/>
    <mergeCell ref="DX39:EA39"/>
    <mergeCell ref="BU39:BV39"/>
    <mergeCell ref="CK39:CN39"/>
    <mergeCell ref="BI39:BJ39"/>
    <mergeCell ref="BK39:BL39"/>
    <mergeCell ref="EB39:EE39"/>
    <mergeCell ref="DJ39:DK39"/>
    <mergeCell ref="DL39:DO39"/>
    <mergeCell ref="DX40:EA40"/>
    <mergeCell ref="EB40:EE40"/>
    <mergeCell ref="DJ40:DK40"/>
    <mergeCell ref="DL40:DO40"/>
    <mergeCell ref="DP40:DS40"/>
    <mergeCell ref="CK40:CN40"/>
    <mergeCell ref="CO40:CR40"/>
    <mergeCell ref="DP39:DS39"/>
    <mergeCell ref="DT39:DU39"/>
    <mergeCell ref="DT40:DU40"/>
    <mergeCell ref="CV39:CW39"/>
    <mergeCell ref="CO39:CR39"/>
    <mergeCell ref="AH40:AI40"/>
    <mergeCell ref="AJ40:AK40"/>
    <mergeCell ref="AP40:AS40"/>
    <mergeCell ref="AT40:AU40"/>
    <mergeCell ref="AV40:AW40"/>
    <mergeCell ref="BI40:BJ40"/>
    <mergeCell ref="AJ41:AK41"/>
    <mergeCell ref="AL41:AO41"/>
    <mergeCell ref="DH40:DI40"/>
    <mergeCell ref="AX40:BA40"/>
    <mergeCell ref="BB40:BE40"/>
    <mergeCell ref="CV40:CW40"/>
    <mergeCell ref="CX40:CY40"/>
    <mergeCell ref="CZ40:DC40"/>
    <mergeCell ref="DD40:DG40"/>
    <mergeCell ref="BK40:BL40"/>
    <mergeCell ref="CK41:CN41"/>
    <mergeCell ref="CO41:CR41"/>
    <mergeCell ref="AT42:AU42"/>
    <mergeCell ref="AV42:AW42"/>
    <mergeCell ref="K41:U41"/>
    <mergeCell ref="V41:W41"/>
    <mergeCell ref="X41:Y41"/>
    <mergeCell ref="Z41:AC41"/>
    <mergeCell ref="AD41:AG41"/>
    <mergeCell ref="AH41:AI41"/>
    <mergeCell ref="BU41:BV41"/>
    <mergeCell ref="BW41:BX41"/>
    <mergeCell ref="BY41:CB41"/>
    <mergeCell ref="CC41:CF41"/>
    <mergeCell ref="CG41:CH41"/>
    <mergeCell ref="CI41:CJ41"/>
    <mergeCell ref="AP41:AS41"/>
    <mergeCell ref="AT41:AU41"/>
    <mergeCell ref="AV41:AW41"/>
    <mergeCell ref="AX41:BA41"/>
    <mergeCell ref="BB41:BE41"/>
    <mergeCell ref="CV41:CW41"/>
    <mergeCell ref="BI41:BJ41"/>
    <mergeCell ref="BK41:BL41"/>
    <mergeCell ref="BM41:BP41"/>
    <mergeCell ref="BQ41:BT41"/>
    <mergeCell ref="EB41:EE41"/>
    <mergeCell ref="DJ41:DK41"/>
    <mergeCell ref="DL41:DO41"/>
    <mergeCell ref="DX42:EA42"/>
    <mergeCell ref="EB42:EE42"/>
    <mergeCell ref="DJ42:DK42"/>
    <mergeCell ref="DL42:DO42"/>
    <mergeCell ref="DP42:DS42"/>
    <mergeCell ref="DT42:DU42"/>
    <mergeCell ref="DV42:DW42"/>
    <mergeCell ref="AL42:AO42"/>
    <mergeCell ref="AP42:AS42"/>
    <mergeCell ref="DP41:DS41"/>
    <mergeCell ref="DT41:DU41"/>
    <mergeCell ref="DV41:DW41"/>
    <mergeCell ref="DX41:EA41"/>
    <mergeCell ref="CX41:CY41"/>
    <mergeCell ref="CZ41:DC41"/>
    <mergeCell ref="DD41:DG41"/>
    <mergeCell ref="DH41:DI41"/>
    <mergeCell ref="AH42:AI42"/>
    <mergeCell ref="AJ42:AK42"/>
    <mergeCell ref="K42:U42"/>
    <mergeCell ref="V42:W42"/>
    <mergeCell ref="X42:Y42"/>
    <mergeCell ref="Z42:AC42"/>
    <mergeCell ref="AD42:AG42"/>
    <mergeCell ref="DH42:DI42"/>
    <mergeCell ref="AX42:BA42"/>
    <mergeCell ref="BB42:BE42"/>
    <mergeCell ref="CV42:CW42"/>
    <mergeCell ref="CX42:CY42"/>
    <mergeCell ref="CZ42:DC42"/>
    <mergeCell ref="DD42:DG42"/>
    <mergeCell ref="CI42:CJ42"/>
    <mergeCell ref="CK42:CN42"/>
    <mergeCell ref="CO42:CR42"/>
    <mergeCell ref="CV44:CW44"/>
    <mergeCell ref="CX44:CY44"/>
    <mergeCell ref="K43:U43"/>
    <mergeCell ref="V43:W43"/>
    <mergeCell ref="X43:Y43"/>
    <mergeCell ref="Z43:AC43"/>
    <mergeCell ref="AD43:AG43"/>
    <mergeCell ref="AH43:AI43"/>
    <mergeCell ref="AJ43:AK43"/>
    <mergeCell ref="AL43:AO43"/>
    <mergeCell ref="AP43:AS43"/>
    <mergeCell ref="AT43:AU43"/>
    <mergeCell ref="AV43:AW43"/>
    <mergeCell ref="AX43:BA43"/>
    <mergeCell ref="BB43:BE43"/>
    <mergeCell ref="CV43:CW43"/>
    <mergeCell ref="BI43:BJ43"/>
    <mergeCell ref="BK43:BL43"/>
    <mergeCell ref="BM43:BP43"/>
    <mergeCell ref="BQ43:BT43"/>
    <mergeCell ref="CX43:CY43"/>
    <mergeCell ref="CZ43:DC43"/>
    <mergeCell ref="DD43:DG43"/>
    <mergeCell ref="DH43:DI43"/>
    <mergeCell ref="DJ43:DK43"/>
    <mergeCell ref="DL43:DO43"/>
    <mergeCell ref="DP43:DS43"/>
    <mergeCell ref="DT43:DU43"/>
    <mergeCell ref="DV43:DW43"/>
    <mergeCell ref="DX43:EA43"/>
    <mergeCell ref="EB43:EE43"/>
    <mergeCell ref="K44:U44"/>
    <mergeCell ref="V44:W44"/>
    <mergeCell ref="X44:Y44"/>
    <mergeCell ref="Z44:AC44"/>
    <mergeCell ref="AD44:AG44"/>
    <mergeCell ref="CV45:CW45"/>
    <mergeCell ref="CX45:CY45"/>
    <mergeCell ref="CZ45:DC45"/>
    <mergeCell ref="DD45:DG45"/>
    <mergeCell ref="BI44:BJ44"/>
    <mergeCell ref="BK44:BL44"/>
    <mergeCell ref="BM44:BP44"/>
    <mergeCell ref="BQ44:BT44"/>
    <mergeCell ref="BU44:BV44"/>
    <mergeCell ref="BW44:BX44"/>
    <mergeCell ref="AL45:AO45"/>
    <mergeCell ref="AP45:AS45"/>
    <mergeCell ref="AT45:AU45"/>
    <mergeCell ref="AV45:AW45"/>
    <mergeCell ref="AX45:BA45"/>
    <mergeCell ref="BB45:BE45"/>
    <mergeCell ref="DX45:EA45"/>
    <mergeCell ref="EB45:EE45"/>
    <mergeCell ref="CZ44:DC44"/>
    <mergeCell ref="DD44:DG44"/>
    <mergeCell ref="AH44:AI44"/>
    <mergeCell ref="AJ44:AK44"/>
    <mergeCell ref="AL44:AO44"/>
    <mergeCell ref="AP44:AS44"/>
    <mergeCell ref="AT44:AU44"/>
    <mergeCell ref="AV44:AW44"/>
    <mergeCell ref="AH45:AI45"/>
    <mergeCell ref="AJ45:AK45"/>
    <mergeCell ref="DH44:DI44"/>
    <mergeCell ref="DJ44:DK44"/>
    <mergeCell ref="DL44:DO44"/>
    <mergeCell ref="DP44:DS44"/>
    <mergeCell ref="AX44:BA44"/>
    <mergeCell ref="BB44:BE44"/>
    <mergeCell ref="DL45:DO45"/>
    <mergeCell ref="DP45:DS45"/>
    <mergeCell ref="K45:L45"/>
    <mergeCell ref="M45:U45"/>
    <mergeCell ref="V45:W45"/>
    <mergeCell ref="X45:Y45"/>
    <mergeCell ref="Z45:AC45"/>
    <mergeCell ref="AD45:AG45"/>
    <mergeCell ref="BY46:CB46"/>
    <mergeCell ref="CC46:CF46"/>
    <mergeCell ref="CG46:CH46"/>
    <mergeCell ref="CI46:CJ46"/>
    <mergeCell ref="DX44:EA44"/>
    <mergeCell ref="EB44:EE44"/>
    <mergeCell ref="DT44:DU44"/>
    <mergeCell ref="DV44:DW44"/>
    <mergeCell ref="DT45:DU45"/>
    <mergeCell ref="DV45:DW45"/>
    <mergeCell ref="K46:U46"/>
    <mergeCell ref="V46:W46"/>
    <mergeCell ref="X46:Y46"/>
    <mergeCell ref="Z46:AC46"/>
    <mergeCell ref="AD46:AG46"/>
    <mergeCell ref="AH46:AI46"/>
    <mergeCell ref="DH45:DI45"/>
    <mergeCell ref="DJ45:DK45"/>
    <mergeCell ref="AJ46:AK46"/>
    <mergeCell ref="AL46:AO46"/>
    <mergeCell ref="AP46:AS46"/>
    <mergeCell ref="AT46:AU46"/>
    <mergeCell ref="AV46:AW46"/>
    <mergeCell ref="AX46:BA46"/>
    <mergeCell ref="BI46:BJ46"/>
    <mergeCell ref="BK46:BL46"/>
    <mergeCell ref="BB46:BE46"/>
    <mergeCell ref="CV46:CW46"/>
    <mergeCell ref="CX46:CY46"/>
    <mergeCell ref="CZ46:DC46"/>
    <mergeCell ref="DD46:DG46"/>
    <mergeCell ref="DH46:DI46"/>
    <mergeCell ref="BM46:BP46"/>
    <mergeCell ref="BQ46:BT46"/>
    <mergeCell ref="BU46:BV46"/>
    <mergeCell ref="BW46:BX46"/>
    <mergeCell ref="DJ46:DK46"/>
    <mergeCell ref="DL46:DO46"/>
    <mergeCell ref="DP46:DS46"/>
    <mergeCell ref="DT46:DU46"/>
    <mergeCell ref="DV46:DW46"/>
    <mergeCell ref="DX46:EA46"/>
    <mergeCell ref="EB46:EE46"/>
    <mergeCell ref="K47:U47"/>
    <mergeCell ref="V47:W47"/>
    <mergeCell ref="X47:Y47"/>
    <mergeCell ref="Z47:AC47"/>
    <mergeCell ref="AD47:AG47"/>
    <mergeCell ref="AH47:AI47"/>
    <mergeCell ref="AJ47:AK47"/>
    <mergeCell ref="AL47:AO47"/>
    <mergeCell ref="AP47:AS47"/>
    <mergeCell ref="AT47:AU47"/>
    <mergeCell ref="AV47:AW47"/>
    <mergeCell ref="AX47:BA47"/>
    <mergeCell ref="BB47:BE47"/>
    <mergeCell ref="CV47:CW47"/>
    <mergeCell ref="CX47:CY47"/>
    <mergeCell ref="BW47:BX47"/>
    <mergeCell ref="BY47:CB47"/>
    <mergeCell ref="CC47:CF47"/>
    <mergeCell ref="CG47:CH47"/>
    <mergeCell ref="CZ47:DC47"/>
    <mergeCell ref="DD47:DG47"/>
    <mergeCell ref="DH47:DI47"/>
    <mergeCell ref="DJ47:DK47"/>
    <mergeCell ref="DL47:DO47"/>
    <mergeCell ref="DP47:DS47"/>
    <mergeCell ref="DT47:DU47"/>
    <mergeCell ref="DV47:DW47"/>
    <mergeCell ref="DX47:EA47"/>
    <mergeCell ref="EB47:EE47"/>
    <mergeCell ref="K48:U48"/>
    <mergeCell ref="V48:W48"/>
    <mergeCell ref="X48:Y48"/>
    <mergeCell ref="Z48:AC48"/>
    <mergeCell ref="AD48:AG48"/>
    <mergeCell ref="AH48:AI48"/>
    <mergeCell ref="AJ48:AK48"/>
    <mergeCell ref="AL48:AO48"/>
    <mergeCell ref="AP48:AS48"/>
    <mergeCell ref="AT48:AU48"/>
    <mergeCell ref="AV48:AW48"/>
    <mergeCell ref="AX48:BA48"/>
    <mergeCell ref="DX48:EA48"/>
    <mergeCell ref="BB48:BE48"/>
    <mergeCell ref="CV48:CW48"/>
    <mergeCell ref="CX48:CY48"/>
    <mergeCell ref="CZ48:DC48"/>
    <mergeCell ref="DD48:DG48"/>
    <mergeCell ref="DH48:DI48"/>
    <mergeCell ref="BW48:BX48"/>
    <mergeCell ref="BY48:CB48"/>
    <mergeCell ref="CC48:CF48"/>
    <mergeCell ref="AP49:AS49"/>
    <mergeCell ref="DJ48:DK48"/>
    <mergeCell ref="DL48:DO48"/>
    <mergeCell ref="DP48:DS48"/>
    <mergeCell ref="DT48:DU48"/>
    <mergeCell ref="DV48:DW48"/>
    <mergeCell ref="BI49:BJ49"/>
    <mergeCell ref="BK49:BL49"/>
    <mergeCell ref="BM49:BP49"/>
    <mergeCell ref="BQ49:BT49"/>
    <mergeCell ref="AJ50:AK50"/>
    <mergeCell ref="EB48:EE48"/>
    <mergeCell ref="K49:U49"/>
    <mergeCell ref="V49:W49"/>
    <mergeCell ref="X49:Y49"/>
    <mergeCell ref="Z49:AC49"/>
    <mergeCell ref="AD49:AG49"/>
    <mergeCell ref="AH49:AI49"/>
    <mergeCell ref="AJ49:AK49"/>
    <mergeCell ref="AL49:AO49"/>
    <mergeCell ref="DP49:DS49"/>
    <mergeCell ref="AT49:AU49"/>
    <mergeCell ref="AV49:AW49"/>
    <mergeCell ref="AX49:BA49"/>
    <mergeCell ref="BB49:BE49"/>
    <mergeCell ref="CV49:CW49"/>
    <mergeCell ref="CX49:CY49"/>
    <mergeCell ref="BU49:BV49"/>
    <mergeCell ref="BW49:BX49"/>
    <mergeCell ref="BY49:CB49"/>
    <mergeCell ref="DV49:DW49"/>
    <mergeCell ref="DX49:EA49"/>
    <mergeCell ref="EB49:EE49"/>
    <mergeCell ref="B50:U50"/>
    <mergeCell ref="V50:W50"/>
    <mergeCell ref="X50:Y50"/>
    <mergeCell ref="Z50:AC50"/>
    <mergeCell ref="AD50:AG50"/>
    <mergeCell ref="AH50:AI50"/>
    <mergeCell ref="CZ49:DC49"/>
    <mergeCell ref="B52:J52"/>
    <mergeCell ref="K52:U52"/>
    <mergeCell ref="V52:AG52"/>
    <mergeCell ref="AH52:AS52"/>
    <mergeCell ref="AT52:BE52"/>
    <mergeCell ref="B53:J53"/>
    <mergeCell ref="K53:U53"/>
    <mergeCell ref="V53:AG53"/>
    <mergeCell ref="AH53:AS53"/>
    <mergeCell ref="AT53:BE53"/>
    <mergeCell ref="AL50:AO50"/>
    <mergeCell ref="AP50:AS50"/>
    <mergeCell ref="AT50:AU50"/>
    <mergeCell ref="AV50:AW50"/>
    <mergeCell ref="AX50:BA50"/>
    <mergeCell ref="DT49:DU49"/>
    <mergeCell ref="DD49:DG49"/>
    <mergeCell ref="DH49:DI49"/>
    <mergeCell ref="DJ49:DK49"/>
    <mergeCell ref="DL49:DO49"/>
    <mergeCell ref="BB50:BE50"/>
    <mergeCell ref="CV50:CW50"/>
    <mergeCell ref="CX50:CY50"/>
    <mergeCell ref="CZ50:DC50"/>
    <mergeCell ref="DD50:DG50"/>
    <mergeCell ref="DH50:DI50"/>
    <mergeCell ref="CO50:CR50"/>
    <mergeCell ref="BI50:BJ50"/>
    <mergeCell ref="BK50:BL50"/>
    <mergeCell ref="BM50:BP50"/>
    <mergeCell ref="CV51:DG51"/>
    <mergeCell ref="DH51:DS51"/>
    <mergeCell ref="DT51:EE51"/>
    <mergeCell ref="DJ50:DK50"/>
    <mergeCell ref="DL50:DO50"/>
    <mergeCell ref="DP50:DS50"/>
    <mergeCell ref="DT50:DU50"/>
    <mergeCell ref="DV50:DW50"/>
    <mergeCell ref="DX50:EA50"/>
    <mergeCell ref="N58:P58"/>
    <mergeCell ref="Q58:W58"/>
    <mergeCell ref="Z58:AF58"/>
    <mergeCell ref="Q56:W56"/>
    <mergeCell ref="Z56:AF56"/>
    <mergeCell ref="EB50:EE50"/>
    <mergeCell ref="B51:U51"/>
    <mergeCell ref="V51:AG51"/>
    <mergeCell ref="AH51:AS51"/>
    <mergeCell ref="AT51:BE51"/>
    <mergeCell ref="V54:AA54"/>
    <mergeCell ref="AB54:AD54"/>
    <mergeCell ref="AE54:AG54"/>
    <mergeCell ref="B55:C55"/>
    <mergeCell ref="D55:F55"/>
    <mergeCell ref="G55:I55"/>
    <mergeCell ref="J55:M55"/>
    <mergeCell ref="N55:P55"/>
    <mergeCell ref="Q55:W55"/>
    <mergeCell ref="Z55:AF55"/>
    <mergeCell ref="Z59:AF59"/>
    <mergeCell ref="G57:I57"/>
    <mergeCell ref="J57:M57"/>
    <mergeCell ref="N57:P57"/>
    <mergeCell ref="Q57:W57"/>
    <mergeCell ref="Z57:AF57"/>
    <mergeCell ref="N59:P59"/>
    <mergeCell ref="Q59:W59"/>
    <mergeCell ref="G58:I58"/>
    <mergeCell ref="J58:M58"/>
    <mergeCell ref="B57:C57"/>
    <mergeCell ref="D57:F57"/>
    <mergeCell ref="B59:C59"/>
    <mergeCell ref="D59:F59"/>
    <mergeCell ref="G59:I59"/>
    <mergeCell ref="J59:M59"/>
    <mergeCell ref="B58:C58"/>
    <mergeCell ref="D58:F58"/>
    <mergeCell ref="G60:I60"/>
    <mergeCell ref="J60:M60"/>
    <mergeCell ref="N60:P60"/>
    <mergeCell ref="Q60:W60"/>
    <mergeCell ref="AI55:BE59"/>
    <mergeCell ref="B56:C56"/>
    <mergeCell ref="D56:F56"/>
    <mergeCell ref="G56:I56"/>
    <mergeCell ref="J56:M56"/>
    <mergeCell ref="N56:P56"/>
    <mergeCell ref="Z60:AF60"/>
    <mergeCell ref="AT60:BE60"/>
    <mergeCell ref="B61:I61"/>
    <mergeCell ref="J61:M61"/>
    <mergeCell ref="N61:P61"/>
    <mergeCell ref="Q61:W61"/>
    <mergeCell ref="Z61:AF61"/>
    <mergeCell ref="AT61:BE61"/>
    <mergeCell ref="B60:C60"/>
    <mergeCell ref="D60:F60"/>
    <mergeCell ref="X95:Y95"/>
    <mergeCell ref="X91:Y91"/>
    <mergeCell ref="X92:Y92"/>
    <mergeCell ref="AJ92:AK92"/>
    <mergeCell ref="AV92:AW92"/>
    <mergeCell ref="X93:Y93"/>
    <mergeCell ref="AJ93:AK93"/>
    <mergeCell ref="AV93:AW93"/>
    <mergeCell ref="B63:P63"/>
    <mergeCell ref="Q63:W63"/>
    <mergeCell ref="AT63:BE63"/>
    <mergeCell ref="B64:P64"/>
    <mergeCell ref="Q64:W64"/>
    <mergeCell ref="X94:Y94"/>
    <mergeCell ref="AJ94:AK94"/>
    <mergeCell ref="AV94:AW94"/>
  </mergeCells>
  <dataValidations count="10">
    <dataValidation type="whole" operator="lessThan" allowBlank="1" showInputMessage="1" showErrorMessage="1" sqref="V51:BF51 DX39:EE50 CZ39:DG50 CV50:CY50 DL39:DS50 DH50:DK50 DT50:DW50 BH51:CR51 AI63:AL65 AX39:BF50 CV16:IV16 D32:J35 AL39:AS50 A51 A36:U36 C33:C35 A33:A35 AH50:AK50 V33:BF36 Z39:AG50 AT50:AW50 B39:J50 K39:U39 A53:BF53 B55:AF64 BH39:BH50 V16:BF16 K50:Y50 C16:J16 A16 AM63:BE63 CV53:IV53 CV33:IV36 CT60:CT61 CT63 CK39:CR50 CV51:IV51 BM39:BT50 BI50:BL50 BY39:CF50 BU50:BX50 CG50:CJ50 CT33:CT36 CT53 CT16 AM60:BE61 CT39:CT51 BH16:CR16 BH53:CR53 BH33:CR36">
      <formula1>-5</formula1>
    </dataValidation>
    <dataValidation type="list" allowBlank="1" showInputMessage="1" showErrorMessage="1" sqref="K27:BE27 CV27:EE27 BI27:CR27 CT27">
      <formula1>"Perumahan,Perkantoran,Pertokoan,Industri,Tanah kosong,Campuran,Taman / penghijauan,'-"</formula1>
    </dataValidation>
    <dataValidation type="list" allowBlank="1" showInputMessage="1" showErrorMessage="1" sqref="V28:BE28 CV28:EE28 BI28:CR28 CT28">
      <formula1>"Tanah matang,Tanah kosong,Persawahan,Pertanian / kebun,Rawa - rawa,'-"</formula1>
    </dataValidation>
    <dataValidation type="list" allowBlank="1" showInputMessage="1" showErrorMessage="1" sqref="V29:BE29 CV29:EE29 BI29:CR29 CT29">
      <formula1>"Datar,Bergelombang,Datar &amp; bergelombang,Datar &amp; curam,'-"</formula1>
    </dataValidation>
    <dataValidation type="list" allowBlank="1" showInputMessage="1" showErrorMessage="1" sqref="K25:BE25 CV25:EE25 BI25:CR25 CT25">
      <formula1>"Segi empat,Persegi panjang,Trapesium,Tidak beraturan,'-"</formula1>
    </dataValidation>
    <dataValidation type="list" allowBlank="1" showInputMessage="1" showErrorMessage="1" sqref="V19:BE19 CV19:EE19 BI19:CR19 CT19">
      <formula1>"'-,SHM,SHGB,SHMASRS,SHS,SHPL,SHGU,GIRIK,AJB"</formula1>
    </dataValidation>
    <dataValidation type="list" allowBlank="1" showInputMessage="1" showErrorMessage="1" sqref="V17:BE17 CV17:EE17 BI17:CR17 CT17">
      <formula1>"Saat ini,Terjual,'-"</formula1>
    </dataValidation>
    <dataValidation type="list" allowBlank="1" showInputMessage="1" showErrorMessage="1" sqref="AH11:BE11 CV11 DH11:EE11 BI11 V11 BU11:CR11 CT11">
      <formula1>$H$71:$H$85</formula1>
    </dataValidation>
    <dataValidation type="list" allowBlank="1" showInputMessage="1" showErrorMessage="1" sqref="AH9:BE9 CV9 DH9:EE9 BI9 V9 BU9:CR9 CT9">
      <formula1>"Pemilik,Agent / broker,Ktr. Pemasaran,Perantara,On the spot, Ktr. Kel. / Desa,'-"</formula1>
    </dataValidation>
    <dataValidation type="list" allowBlank="1" showInputMessage="1" showErrorMessage="1" sqref="V26:BE26 CV26:EE26 BI26:CR26 CT26">
      <formula1>"Tengah,Sudut / Hook,Tusuk sate,Jalan buntu,'-"</formula1>
    </dataValidation>
  </dataValidations>
  <pageMargins left="0.59055118110236227" right="0" top="0.59055118110236227" bottom="0" header="0.74803149606299213" footer="0"/>
  <pageSetup paperSize="9" scale="9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B2:CT96"/>
  <sheetViews>
    <sheetView showGridLines="0" topLeftCell="A82" zoomScaleNormal="100" workbookViewId="0">
      <selection activeCell="V14" sqref="V14:AG14"/>
    </sheetView>
  </sheetViews>
  <sheetFormatPr defaultColWidth="1.7109375" defaultRowHeight="14.1" customHeight="1"/>
  <cols>
    <col min="1" max="2" width="2.7109375" style="25" customWidth="1"/>
    <col min="3" max="3" width="1.7109375" style="25" customWidth="1"/>
    <col min="4" max="16" width="1.7109375" style="25"/>
    <col min="17" max="18" width="1.7109375" style="25" customWidth="1"/>
    <col min="19" max="23" width="1.7109375" style="25"/>
    <col min="24" max="24" width="1.7109375" style="25" customWidth="1"/>
    <col min="25" max="62" width="1.7109375" style="25"/>
    <col min="63" max="63" width="1.7109375" style="25" customWidth="1"/>
    <col min="64" max="77" width="1.7109375" style="25"/>
    <col min="78" max="78" width="2.7109375" style="25" customWidth="1"/>
    <col min="79" max="90" width="1.7109375" style="25"/>
    <col min="91" max="92" width="2.7109375" style="25" customWidth="1"/>
    <col min="93" max="95" width="2.7109375" style="285" hidden="1" customWidth="1"/>
    <col min="96" max="96" width="2.7109375" style="286" hidden="1" customWidth="1"/>
    <col min="97" max="97" width="2.7109375" style="287" hidden="1" customWidth="1"/>
    <col min="98" max="99" width="2.7109375" style="25" customWidth="1"/>
    <col min="100" max="16384" width="1.7109375" style="25"/>
  </cols>
  <sheetData>
    <row r="2" spans="2:97" ht="18" customHeight="1">
      <c r="B2" s="1687" t="s">
        <v>2438</v>
      </c>
      <c r="C2" s="1688"/>
      <c r="D2" s="1688"/>
      <c r="E2" s="1688"/>
      <c r="F2" s="1688"/>
      <c r="G2" s="1688"/>
      <c r="H2" s="1688"/>
      <c r="I2" s="1688"/>
      <c r="J2" s="1688"/>
      <c r="K2" s="1688"/>
      <c r="L2" s="1688"/>
      <c r="M2" s="1688"/>
      <c r="N2" s="1688"/>
      <c r="O2" s="1688"/>
      <c r="P2" s="1688"/>
      <c r="Q2" s="1688"/>
      <c r="R2" s="1688"/>
      <c r="S2" s="1688"/>
      <c r="T2" s="1688"/>
      <c r="U2" s="1688"/>
      <c r="V2" s="1688"/>
      <c r="W2" s="1688"/>
      <c r="X2" s="1688"/>
      <c r="Y2" s="1688"/>
      <c r="Z2" s="1688"/>
      <c r="AA2" s="1688"/>
      <c r="AB2" s="1688"/>
      <c r="AC2" s="1688"/>
      <c r="AD2" s="1688"/>
      <c r="AE2" s="1688"/>
      <c r="AF2" s="1688"/>
      <c r="AG2" s="1688"/>
      <c r="AH2" s="1688"/>
      <c r="AI2" s="1688"/>
      <c r="AJ2" s="1688"/>
      <c r="AK2" s="1688"/>
      <c r="AL2" s="1688"/>
      <c r="AM2" s="1688"/>
      <c r="AN2" s="1688"/>
      <c r="AO2" s="1688"/>
      <c r="AP2" s="1688"/>
      <c r="AQ2" s="1688"/>
      <c r="AR2" s="1688"/>
      <c r="AS2" s="1688"/>
      <c r="AT2" s="1688"/>
      <c r="AU2" s="1688"/>
      <c r="AV2" s="1688"/>
      <c r="AW2" s="1688"/>
      <c r="AX2" s="1688"/>
      <c r="AY2" s="1688"/>
      <c r="AZ2" s="1688"/>
      <c r="BA2" s="1688"/>
      <c r="BB2" s="1688"/>
      <c r="BC2" s="1688"/>
      <c r="BD2" s="1688"/>
      <c r="BE2" s="1688"/>
      <c r="BF2" s="1688"/>
      <c r="BG2" s="1688"/>
      <c r="BH2" s="1688"/>
      <c r="BI2" s="1688"/>
      <c r="BJ2" s="1688"/>
      <c r="BK2" s="1688"/>
      <c r="BL2" s="1688"/>
      <c r="BM2" s="1688"/>
      <c r="BN2" s="1688"/>
      <c r="BO2" s="1688"/>
      <c r="BP2" s="1688"/>
      <c r="BQ2" s="1688"/>
      <c r="BR2" s="1688"/>
      <c r="BS2" s="1688"/>
      <c r="BT2" s="1688"/>
      <c r="BU2" s="1688"/>
      <c r="BV2" s="1688"/>
      <c r="BW2" s="1688"/>
      <c r="BX2" s="1688"/>
      <c r="BY2" s="1688"/>
      <c r="BZ2" s="1688"/>
      <c r="CA2" s="1688"/>
      <c r="CB2" s="1688"/>
      <c r="CC2" s="1688"/>
      <c r="CD2" s="1688"/>
      <c r="CE2" s="1688"/>
      <c r="CF2" s="1688"/>
      <c r="CG2" s="1688"/>
      <c r="CH2" s="1688"/>
      <c r="CI2" s="1688"/>
      <c r="CJ2" s="1688"/>
      <c r="CK2" s="1688"/>
      <c r="CL2" s="1688"/>
      <c r="CM2" s="1689"/>
    </row>
    <row r="3" spans="2:97" ht="18" customHeight="1" thickBot="1">
      <c r="B3" s="1690"/>
      <c r="C3" s="1691"/>
      <c r="D3" s="1691"/>
      <c r="E3" s="1691"/>
      <c r="F3" s="1691"/>
      <c r="G3" s="1691"/>
      <c r="H3" s="1691"/>
      <c r="I3" s="1691"/>
      <c r="J3" s="1691"/>
      <c r="K3" s="1691"/>
      <c r="L3" s="1691"/>
      <c r="M3" s="1691"/>
      <c r="N3" s="1691"/>
      <c r="O3" s="1691"/>
      <c r="P3" s="1691"/>
      <c r="Q3" s="1691"/>
      <c r="R3" s="1691"/>
      <c r="S3" s="1691"/>
      <c r="T3" s="1691"/>
      <c r="U3" s="1691"/>
      <c r="V3" s="1691"/>
      <c r="W3" s="1691"/>
      <c r="X3" s="1691"/>
      <c r="Y3" s="1691"/>
      <c r="Z3" s="1691"/>
      <c r="AA3" s="1691"/>
      <c r="AB3" s="1691"/>
      <c r="AC3" s="1691"/>
      <c r="AD3" s="1691"/>
      <c r="AE3" s="1691"/>
      <c r="AF3" s="1691"/>
      <c r="AG3" s="1691"/>
      <c r="AH3" s="1691"/>
      <c r="AI3" s="1691"/>
      <c r="AJ3" s="1691"/>
      <c r="AK3" s="1691"/>
      <c r="AL3" s="1691"/>
      <c r="AM3" s="1691"/>
      <c r="AN3" s="1691"/>
      <c r="AO3" s="1691"/>
      <c r="AP3" s="1691"/>
      <c r="AQ3" s="1691"/>
      <c r="AR3" s="1691"/>
      <c r="AS3" s="1691"/>
      <c r="AT3" s="1691"/>
      <c r="AU3" s="1691"/>
      <c r="AV3" s="1691"/>
      <c r="AW3" s="1691"/>
      <c r="AX3" s="1691"/>
      <c r="AY3" s="1691"/>
      <c r="AZ3" s="1691"/>
      <c r="BA3" s="1691"/>
      <c r="BB3" s="1691"/>
      <c r="BC3" s="1691"/>
      <c r="BD3" s="1691"/>
      <c r="BE3" s="1691"/>
      <c r="BF3" s="1691"/>
      <c r="BG3" s="1691"/>
      <c r="BH3" s="1691"/>
      <c r="BI3" s="1691"/>
      <c r="BJ3" s="1691"/>
      <c r="BK3" s="1691"/>
      <c r="BL3" s="1691"/>
      <c r="BM3" s="1691"/>
      <c r="BN3" s="1691"/>
      <c r="BO3" s="1691"/>
      <c r="BP3" s="1691"/>
      <c r="BQ3" s="1691"/>
      <c r="BR3" s="1691"/>
      <c r="BS3" s="1691"/>
      <c r="BT3" s="1691"/>
      <c r="BU3" s="1691"/>
      <c r="BV3" s="1691"/>
      <c r="BW3" s="1691"/>
      <c r="BX3" s="1691"/>
      <c r="BY3" s="1691"/>
      <c r="BZ3" s="1691"/>
      <c r="CA3" s="1691"/>
      <c r="CB3" s="1691"/>
      <c r="CC3" s="1691"/>
      <c r="CD3" s="1691"/>
      <c r="CE3" s="1691"/>
      <c r="CF3" s="1691"/>
      <c r="CG3" s="1691"/>
      <c r="CH3" s="1691"/>
      <c r="CI3" s="1691"/>
      <c r="CJ3" s="1691"/>
      <c r="CK3" s="1691"/>
      <c r="CL3" s="1691"/>
      <c r="CM3" s="1692"/>
    </row>
    <row r="4" spans="2:97" ht="6" customHeight="1" thickTop="1" thickBot="1">
      <c r="B4" s="26"/>
      <c r="C4" s="27"/>
      <c r="D4" s="27"/>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c r="BE4" s="27"/>
      <c r="BF4" s="27"/>
      <c r="BG4" s="27"/>
      <c r="BH4" s="27"/>
      <c r="BI4" s="27"/>
      <c r="BJ4" s="27"/>
      <c r="BK4" s="27"/>
      <c r="BL4" s="27"/>
      <c r="BM4" s="27"/>
      <c r="BN4" s="27"/>
      <c r="BO4" s="27"/>
      <c r="BP4" s="27"/>
      <c r="BQ4" s="27"/>
      <c r="BR4" s="27"/>
      <c r="BS4" s="27"/>
      <c r="BT4" s="27"/>
      <c r="BU4" s="27"/>
      <c r="BV4" s="27"/>
      <c r="BW4" s="27"/>
      <c r="BX4" s="27"/>
      <c r="BY4" s="27"/>
      <c r="BZ4" s="27"/>
      <c r="CA4" s="27"/>
      <c r="CB4" s="27"/>
      <c r="CC4" s="27"/>
      <c r="CD4" s="27"/>
      <c r="CE4" s="27"/>
      <c r="CF4" s="27"/>
      <c r="CG4" s="27"/>
      <c r="CH4" s="27"/>
      <c r="CI4" s="27"/>
      <c r="CJ4" s="27"/>
      <c r="CK4" s="27"/>
      <c r="CL4" s="27"/>
      <c r="CM4" s="28"/>
    </row>
    <row r="5" spans="2:97" s="280" customFormat="1" ht="20.100000000000001" customHeight="1">
      <c r="B5" s="281"/>
      <c r="C5" s="282" t="s">
        <v>21</v>
      </c>
      <c r="D5" s="282"/>
      <c r="E5" s="282"/>
      <c r="F5" s="282"/>
      <c r="G5" s="282"/>
      <c r="H5" s="282"/>
      <c r="I5" s="282"/>
      <c r="J5" s="282"/>
      <c r="M5" s="283" t="s">
        <v>5</v>
      </c>
      <c r="N5" s="1693" t="s">
        <v>6</v>
      </c>
      <c r="O5" s="1694"/>
      <c r="P5" s="1694"/>
      <c r="Q5" s="1694"/>
      <c r="R5" s="1694"/>
      <c r="S5" s="1694"/>
      <c r="T5" s="1694"/>
      <c r="U5" s="1694"/>
      <c r="V5" s="1694"/>
      <c r="W5" s="1694"/>
      <c r="X5" s="1694"/>
      <c r="Y5" s="1694"/>
      <c r="Z5" s="1694"/>
      <c r="AA5" s="1694"/>
      <c r="AB5" s="1694"/>
      <c r="AC5" s="1694"/>
      <c r="AD5" s="1694"/>
      <c r="AE5" s="1694"/>
      <c r="AF5" s="1694"/>
      <c r="AG5" s="1694"/>
      <c r="AH5" s="1694"/>
      <c r="AI5" s="1694"/>
      <c r="AJ5" s="1694"/>
      <c r="AK5" s="1694"/>
      <c r="AL5" s="1694"/>
      <c r="AM5" s="1694"/>
      <c r="AN5" s="1694"/>
      <c r="AO5" s="1694"/>
      <c r="AP5" s="1694"/>
      <c r="AQ5" s="1694"/>
      <c r="AR5" s="1694"/>
      <c r="AS5" s="1694"/>
      <c r="AT5" s="282"/>
      <c r="AU5" s="282"/>
      <c r="AV5" s="282" t="s">
        <v>635</v>
      </c>
      <c r="AW5" s="282"/>
      <c r="AX5" s="282"/>
      <c r="AY5" s="282"/>
      <c r="AZ5" s="282"/>
      <c r="BB5" s="282"/>
      <c r="BD5" s="282"/>
      <c r="BF5" s="283" t="s">
        <v>5</v>
      </c>
      <c r="BG5" s="1693" t="s">
        <v>20</v>
      </c>
      <c r="BH5" s="1694"/>
      <c r="BI5" s="1694"/>
      <c r="BJ5" s="1694"/>
      <c r="BK5" s="1694"/>
      <c r="BL5" s="1694"/>
      <c r="BM5" s="1694"/>
      <c r="BN5" s="1694"/>
      <c r="BO5" s="1694"/>
      <c r="BP5" s="1694"/>
      <c r="BQ5" s="1694"/>
      <c r="BR5" s="1694"/>
      <c r="BS5" s="1694"/>
      <c r="BT5" s="1694"/>
      <c r="BU5" s="1694"/>
      <c r="BV5" s="1694"/>
      <c r="BW5" s="1694"/>
      <c r="BX5" s="1694"/>
      <c r="BY5" s="1694"/>
      <c r="BZ5" s="1694"/>
      <c r="CA5" s="1694"/>
      <c r="CB5" s="1694"/>
      <c r="CC5" s="1694"/>
      <c r="CD5" s="1694"/>
      <c r="CE5" s="1694"/>
      <c r="CF5" s="1694"/>
      <c r="CG5" s="1694"/>
      <c r="CH5" s="1694"/>
      <c r="CI5" s="1694"/>
      <c r="CJ5" s="1694"/>
      <c r="CK5" s="1694"/>
      <c r="CL5" s="1694"/>
      <c r="CM5" s="284"/>
      <c r="CO5" s="285" t="e">
        <f>VLOOKUP(N5,SOURCE!$I$4:$J$37,2,FALSE)</f>
        <v>#N/A</v>
      </c>
      <c r="CP5" s="285"/>
      <c r="CQ5" s="285"/>
      <c r="CR5" s="288"/>
      <c r="CS5" s="289"/>
    </row>
    <row r="6" spans="2:97" s="43" customFormat="1" ht="8.1" customHeight="1">
      <c r="B6" s="44"/>
      <c r="C6" s="45"/>
      <c r="D6" s="45"/>
      <c r="E6" s="45"/>
      <c r="F6" s="45"/>
      <c r="G6" s="45"/>
      <c r="H6" s="45"/>
      <c r="I6" s="45"/>
      <c r="J6" s="45"/>
      <c r="K6" s="45"/>
      <c r="L6" s="45"/>
      <c r="M6" s="46"/>
      <c r="N6" s="45"/>
      <c r="O6" s="45"/>
      <c r="P6" s="46"/>
      <c r="Q6" s="45"/>
      <c r="R6" s="45"/>
      <c r="S6" s="46"/>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5"/>
      <c r="AV6" s="45"/>
      <c r="AW6" s="45"/>
      <c r="AX6" s="45"/>
      <c r="AY6" s="29"/>
      <c r="AZ6" s="29"/>
      <c r="BA6" s="29"/>
      <c r="BB6" s="29"/>
      <c r="BC6" s="45"/>
      <c r="BD6" s="45"/>
      <c r="BE6" s="45"/>
      <c r="BF6" s="45"/>
      <c r="BG6" s="45"/>
      <c r="BH6" s="45"/>
      <c r="BI6" s="45"/>
      <c r="BJ6" s="45"/>
      <c r="BK6" s="45"/>
      <c r="BL6" s="45"/>
      <c r="BM6" s="45"/>
      <c r="BN6" s="45"/>
      <c r="BO6" s="45"/>
      <c r="BP6" s="45"/>
      <c r="BQ6" s="45"/>
      <c r="BR6" s="45"/>
      <c r="BS6" s="45"/>
      <c r="BT6" s="45"/>
      <c r="BU6" s="45"/>
      <c r="BV6" s="45"/>
      <c r="BW6" s="45"/>
      <c r="BX6" s="45"/>
      <c r="BY6" s="45"/>
      <c r="BZ6" s="45"/>
      <c r="CA6" s="45"/>
      <c r="CB6" s="45"/>
      <c r="CC6" s="45"/>
      <c r="CD6" s="45"/>
      <c r="CE6" s="45"/>
      <c r="CF6" s="45"/>
      <c r="CG6" s="45"/>
      <c r="CH6" s="45"/>
      <c r="CI6" s="45"/>
      <c r="CJ6" s="29"/>
      <c r="CK6" s="29"/>
      <c r="CL6" s="29"/>
      <c r="CM6" s="47"/>
      <c r="CO6" s="285"/>
      <c r="CP6" s="285"/>
      <c r="CQ6" s="285"/>
      <c r="CR6" s="286"/>
      <c r="CS6" s="289"/>
    </row>
    <row r="7" spans="2:97" ht="18" customHeight="1">
      <c r="B7" s="1715" t="s">
        <v>1275</v>
      </c>
      <c r="C7" s="1716"/>
      <c r="D7" s="1716"/>
      <c r="E7" s="1716"/>
      <c r="F7" s="1716"/>
      <c r="G7" s="1716"/>
      <c r="H7" s="1716"/>
      <c r="I7" s="1716"/>
      <c r="J7" s="1716"/>
      <c r="K7" s="1716"/>
      <c r="L7" s="1716"/>
      <c r="M7" s="1716"/>
      <c r="N7" s="1716"/>
      <c r="O7" s="1716"/>
      <c r="P7" s="1716"/>
      <c r="Q7" s="1716"/>
      <c r="R7" s="1716"/>
      <c r="S7" s="1716"/>
      <c r="T7" s="1716"/>
      <c r="U7" s="1716"/>
      <c r="V7" s="1716"/>
      <c r="W7" s="1716"/>
      <c r="X7" s="1716"/>
      <c r="Y7" s="1716"/>
      <c r="Z7" s="1716"/>
      <c r="AA7" s="1716"/>
      <c r="AB7" s="1716"/>
      <c r="AC7" s="1716"/>
      <c r="AD7" s="1716"/>
      <c r="AE7" s="1716"/>
      <c r="AF7" s="1716"/>
      <c r="AG7" s="1716"/>
      <c r="AH7" s="1716"/>
      <c r="AI7" s="1716"/>
      <c r="AJ7" s="1716"/>
      <c r="AK7" s="1716"/>
      <c r="AL7" s="1716"/>
      <c r="AM7" s="1716"/>
      <c r="AN7" s="1716"/>
      <c r="AO7" s="1716"/>
      <c r="AP7" s="1716"/>
      <c r="AQ7" s="1716"/>
      <c r="AR7" s="1716"/>
      <c r="AS7" s="1716"/>
      <c r="AT7" s="1716"/>
      <c r="AU7" s="1716"/>
      <c r="AV7" s="1716"/>
      <c r="AW7" s="1716"/>
      <c r="AX7" s="1716"/>
      <c r="AY7" s="1716"/>
      <c r="AZ7" s="1716"/>
      <c r="BA7" s="1716"/>
      <c r="BB7" s="1716"/>
      <c r="BC7" s="1716"/>
      <c r="BD7" s="1716"/>
      <c r="BE7" s="1716"/>
      <c r="BF7" s="1716"/>
      <c r="BG7" s="1716"/>
      <c r="BH7" s="1716"/>
      <c r="BI7" s="1716"/>
      <c r="BJ7" s="1716"/>
      <c r="BK7" s="1716"/>
      <c r="BL7" s="1716"/>
      <c r="BM7" s="1716"/>
      <c r="BN7" s="1716"/>
      <c r="BO7" s="1716"/>
      <c r="BP7" s="1716"/>
      <c r="BQ7" s="1716"/>
      <c r="BR7" s="1716"/>
      <c r="BS7" s="1716"/>
      <c r="BT7" s="1716"/>
      <c r="BU7" s="1716"/>
      <c r="BV7" s="1716"/>
      <c r="BW7" s="1716"/>
      <c r="BX7" s="1716"/>
      <c r="BY7" s="1716"/>
      <c r="BZ7" s="1716"/>
      <c r="CA7" s="1716"/>
      <c r="CB7" s="1716"/>
      <c r="CC7" s="1716"/>
      <c r="CD7" s="1716"/>
      <c r="CE7" s="1716"/>
      <c r="CF7" s="1716"/>
      <c r="CG7" s="1716"/>
      <c r="CH7" s="1716"/>
      <c r="CI7" s="1716"/>
      <c r="CJ7" s="1716"/>
      <c r="CK7" s="1716"/>
      <c r="CL7" s="1716"/>
      <c r="CM7" s="1717"/>
    </row>
    <row r="8" spans="2:97" ht="18" customHeight="1" thickBot="1">
      <c r="B8" s="1718"/>
      <c r="C8" s="1719"/>
      <c r="D8" s="1719"/>
      <c r="E8" s="1719"/>
      <c r="F8" s="1719"/>
      <c r="G8" s="1719"/>
      <c r="H8" s="1719"/>
      <c r="I8" s="1719"/>
      <c r="J8" s="1719"/>
      <c r="K8" s="1719"/>
      <c r="L8" s="1719"/>
      <c r="M8" s="1719"/>
      <c r="N8" s="1719"/>
      <c r="O8" s="1719"/>
      <c r="P8" s="1719"/>
      <c r="Q8" s="1719"/>
      <c r="R8" s="1719"/>
      <c r="S8" s="1719"/>
      <c r="T8" s="1719"/>
      <c r="U8" s="1719"/>
      <c r="V8" s="1719"/>
      <c r="W8" s="1719"/>
      <c r="X8" s="1719"/>
      <c r="Y8" s="1719"/>
      <c r="Z8" s="1719"/>
      <c r="AA8" s="1719"/>
      <c r="AB8" s="1719"/>
      <c r="AC8" s="1719"/>
      <c r="AD8" s="1719"/>
      <c r="AE8" s="1719"/>
      <c r="AF8" s="1719"/>
      <c r="AG8" s="1719"/>
      <c r="AH8" s="1719"/>
      <c r="AI8" s="1719"/>
      <c r="AJ8" s="1719"/>
      <c r="AK8" s="1719"/>
      <c r="AL8" s="1719"/>
      <c r="AM8" s="1719"/>
      <c r="AN8" s="1719"/>
      <c r="AO8" s="1719"/>
      <c r="AP8" s="1719"/>
      <c r="AQ8" s="1719"/>
      <c r="AR8" s="1719"/>
      <c r="AS8" s="1719"/>
      <c r="AT8" s="1719"/>
      <c r="AU8" s="1719"/>
      <c r="AV8" s="1719"/>
      <c r="AW8" s="1719"/>
      <c r="AX8" s="1719"/>
      <c r="AY8" s="1719"/>
      <c r="AZ8" s="1719"/>
      <c r="BA8" s="1719"/>
      <c r="BB8" s="1719"/>
      <c r="BC8" s="1719"/>
      <c r="BD8" s="1719"/>
      <c r="BE8" s="1719"/>
      <c r="BF8" s="1719"/>
      <c r="BG8" s="1719"/>
      <c r="BH8" s="1719"/>
      <c r="BI8" s="1719"/>
      <c r="BJ8" s="1719"/>
      <c r="BK8" s="1719"/>
      <c r="BL8" s="1719"/>
      <c r="BM8" s="1719"/>
      <c r="BN8" s="1719"/>
      <c r="BO8" s="1719"/>
      <c r="BP8" s="1719"/>
      <c r="BQ8" s="1719"/>
      <c r="BR8" s="1719"/>
      <c r="BS8" s="1719"/>
      <c r="BT8" s="1719"/>
      <c r="BU8" s="1719"/>
      <c r="BV8" s="1719"/>
      <c r="BW8" s="1719"/>
      <c r="BX8" s="1719"/>
      <c r="BY8" s="1719"/>
      <c r="BZ8" s="1719"/>
      <c r="CA8" s="1719"/>
      <c r="CB8" s="1719"/>
      <c r="CC8" s="1719"/>
      <c r="CD8" s="1719"/>
      <c r="CE8" s="1719"/>
      <c r="CF8" s="1719"/>
      <c r="CG8" s="1719"/>
      <c r="CH8" s="1719"/>
      <c r="CI8" s="1719"/>
      <c r="CJ8" s="1719"/>
      <c r="CK8" s="1719"/>
      <c r="CL8" s="1719"/>
      <c r="CM8" s="1720"/>
    </row>
    <row r="9" spans="2:97" ht="6" customHeight="1" thickTop="1">
      <c r="B9" s="37"/>
      <c r="C9" s="38"/>
      <c r="D9" s="38"/>
      <c r="E9" s="38"/>
      <c r="F9" s="38"/>
      <c r="G9" s="38"/>
      <c r="H9" s="38"/>
      <c r="I9" s="38"/>
      <c r="J9" s="38"/>
      <c r="K9" s="38"/>
      <c r="L9" s="38"/>
      <c r="M9" s="38"/>
      <c r="N9" s="38"/>
      <c r="O9" s="38"/>
      <c r="P9" s="38"/>
      <c r="Q9" s="38"/>
      <c r="R9" s="38"/>
      <c r="S9" s="38"/>
      <c r="T9" s="39"/>
      <c r="U9" s="38"/>
      <c r="V9" s="38"/>
      <c r="W9" s="39"/>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9"/>
      <c r="BA9" s="38"/>
      <c r="BB9" s="38"/>
      <c r="BC9" s="39"/>
      <c r="BD9" s="38"/>
      <c r="BE9" s="38"/>
      <c r="BF9" s="38"/>
      <c r="BG9" s="38"/>
      <c r="BH9" s="38"/>
      <c r="BI9" s="38"/>
      <c r="BJ9" s="38"/>
      <c r="BK9" s="38"/>
      <c r="BL9" s="38"/>
      <c r="BM9" s="38"/>
      <c r="BN9" s="38"/>
      <c r="BO9" s="38"/>
      <c r="BP9" s="38"/>
      <c r="BQ9" s="38"/>
      <c r="BR9" s="38"/>
      <c r="BS9" s="38"/>
      <c r="BT9" s="38"/>
      <c r="BU9" s="38"/>
      <c r="BV9" s="38"/>
      <c r="BW9" s="38"/>
      <c r="BX9" s="38"/>
      <c r="BY9" s="38"/>
      <c r="BZ9" s="38"/>
      <c r="CA9" s="38"/>
      <c r="CB9" s="38"/>
      <c r="CC9" s="38"/>
      <c r="CD9" s="38"/>
      <c r="CE9" s="38"/>
      <c r="CF9" s="38"/>
      <c r="CG9" s="38"/>
      <c r="CH9" s="38"/>
      <c r="CI9" s="38"/>
      <c r="CJ9" s="38"/>
      <c r="CK9" s="38"/>
      <c r="CL9" s="38"/>
      <c r="CM9" s="42"/>
      <c r="CQ9" s="293"/>
      <c r="CS9" s="290"/>
    </row>
    <row r="10" spans="2:97" ht="14.1" customHeight="1">
      <c r="B10" s="37"/>
      <c r="C10" s="1721" t="s">
        <v>1710</v>
      </c>
      <c r="D10" s="1721"/>
      <c r="E10" s="1721"/>
      <c r="F10" s="1721"/>
      <c r="G10" s="1721"/>
      <c r="H10" s="1721"/>
      <c r="I10" s="1721"/>
      <c r="J10" s="1721"/>
      <c r="K10" s="1721"/>
      <c r="L10" s="1721"/>
      <c r="M10" s="1721"/>
      <c r="N10" s="1721"/>
      <c r="O10" s="1721"/>
      <c r="P10" s="1721"/>
      <c r="Q10" s="1721"/>
      <c r="R10" s="1721"/>
      <c r="S10" s="1721"/>
      <c r="T10" s="1721"/>
      <c r="U10" s="1721"/>
      <c r="V10" s="1721"/>
      <c r="W10" s="1721"/>
      <c r="X10" s="1721"/>
      <c r="Y10" s="1721"/>
      <c r="Z10" s="1721"/>
      <c r="AA10" s="1721"/>
      <c r="AB10" s="1721"/>
      <c r="AC10" s="1721"/>
      <c r="AD10" s="1721"/>
      <c r="AE10" s="1721"/>
      <c r="AF10" s="1721"/>
      <c r="AG10" s="1721"/>
      <c r="AH10" s="1721"/>
      <c r="AI10" s="1721"/>
      <c r="AJ10" s="40"/>
      <c r="AK10" s="41"/>
      <c r="AL10" s="38"/>
      <c r="AM10" s="38"/>
      <c r="AN10" s="38"/>
      <c r="AO10" s="38"/>
      <c r="AP10" s="38"/>
      <c r="AQ10" s="38"/>
      <c r="AR10" s="38"/>
      <c r="AS10" s="38"/>
      <c r="AT10" s="38"/>
      <c r="AU10" s="38"/>
      <c r="AV10" s="38"/>
      <c r="AW10" s="38"/>
      <c r="AX10" s="38"/>
      <c r="AY10" s="38"/>
      <c r="AZ10" s="39"/>
      <c r="BA10" s="38"/>
      <c r="BB10" s="38"/>
      <c r="BC10" s="39"/>
      <c r="BD10" s="40"/>
      <c r="BE10" s="41"/>
      <c r="BF10" s="38"/>
      <c r="BG10" s="38"/>
      <c r="BH10" s="38"/>
      <c r="BI10" s="38"/>
      <c r="BJ10" s="38"/>
      <c r="BK10" s="38"/>
      <c r="BL10" s="38"/>
      <c r="BM10" s="38"/>
      <c r="BN10" s="38"/>
      <c r="BO10" s="38"/>
      <c r="BP10" s="38"/>
      <c r="BQ10" s="38"/>
      <c r="BR10" s="38"/>
      <c r="BS10" s="38"/>
      <c r="BT10" s="38"/>
      <c r="BU10" s="38"/>
      <c r="BV10" s="38"/>
      <c r="BW10" s="38"/>
      <c r="BX10" s="38"/>
      <c r="BY10" s="38"/>
      <c r="BZ10" s="38"/>
      <c r="CA10" s="38"/>
      <c r="CB10" s="38"/>
      <c r="CC10" s="38"/>
      <c r="CD10" s="38"/>
      <c r="CE10" s="38"/>
      <c r="CF10" s="38"/>
      <c r="CG10" s="38"/>
      <c r="CH10" s="38"/>
      <c r="CI10" s="38"/>
      <c r="CJ10" s="38"/>
      <c r="CK10" s="38"/>
      <c r="CL10" s="38"/>
      <c r="CM10" s="42"/>
      <c r="CQ10" s="293"/>
      <c r="CS10" s="290"/>
    </row>
    <row r="11" spans="2:97" ht="15.95" customHeight="1">
      <c r="B11" s="26"/>
      <c r="C11" s="1722"/>
      <c r="D11" s="1722"/>
      <c r="E11" s="1722"/>
      <c r="F11" s="1722"/>
      <c r="G11" s="1722"/>
      <c r="H11" s="1722"/>
      <c r="I11" s="1722"/>
      <c r="J11" s="1722"/>
      <c r="K11" s="1722"/>
      <c r="L11" s="1722"/>
      <c r="M11" s="1722"/>
      <c r="N11" s="1722"/>
      <c r="O11" s="1722"/>
      <c r="P11" s="1722"/>
      <c r="Q11" s="1722"/>
      <c r="R11" s="1722"/>
      <c r="S11" s="1722"/>
      <c r="T11" s="1722"/>
      <c r="U11" s="1722"/>
      <c r="V11" s="1722"/>
      <c r="W11" s="1722"/>
      <c r="X11" s="1722"/>
      <c r="Y11" s="1722"/>
      <c r="Z11" s="1722"/>
      <c r="AA11" s="1722"/>
      <c r="AB11" s="1722"/>
      <c r="AC11" s="1722"/>
      <c r="AD11" s="1722"/>
      <c r="AE11" s="1722"/>
      <c r="AF11" s="1722"/>
      <c r="AG11" s="1722"/>
      <c r="AH11" s="1722"/>
      <c r="AI11" s="1722"/>
      <c r="AJ11" s="30"/>
      <c r="AK11" s="31"/>
      <c r="AT11" s="27"/>
      <c r="AU11" s="27"/>
      <c r="AV11" s="27"/>
      <c r="AW11" s="27"/>
      <c r="AX11" s="27"/>
      <c r="AY11" s="27"/>
      <c r="AZ11" s="27"/>
      <c r="BD11" s="30"/>
      <c r="BE11" s="31"/>
      <c r="BF11" s="49" t="s">
        <v>1696</v>
      </c>
      <c r="BG11" s="27"/>
      <c r="BH11" s="27"/>
      <c r="BI11" s="27"/>
      <c r="BJ11" s="27"/>
      <c r="BK11" s="27"/>
      <c r="BL11" s="27"/>
      <c r="BM11" s="27"/>
      <c r="BN11" s="27"/>
      <c r="BO11" s="27"/>
      <c r="BP11" s="27"/>
      <c r="BQ11" s="27"/>
      <c r="BR11" s="27"/>
      <c r="BS11" s="27"/>
      <c r="BT11" s="27"/>
      <c r="BU11" s="27"/>
      <c r="BV11" s="27"/>
      <c r="BW11" s="27"/>
      <c r="BX11" s="27"/>
      <c r="BY11" s="27"/>
      <c r="CA11" s="27"/>
      <c r="CB11" s="27"/>
      <c r="CC11" s="27"/>
      <c r="CD11" s="27"/>
      <c r="CE11" s="237" t="s">
        <v>1698</v>
      </c>
      <c r="CF11" s="27"/>
      <c r="CG11" s="27"/>
      <c r="CH11" s="27"/>
      <c r="CI11" s="27"/>
      <c r="CJ11" s="27"/>
      <c r="CK11" s="27"/>
      <c r="CL11" s="27"/>
      <c r="CM11" s="28"/>
    </row>
    <row r="12" spans="2:97" ht="6" customHeight="1">
      <c r="B12" s="26"/>
      <c r="C12" s="1722"/>
      <c r="D12" s="1722"/>
      <c r="E12" s="1722"/>
      <c r="F12" s="1722"/>
      <c r="G12" s="1722"/>
      <c r="H12" s="1722"/>
      <c r="I12" s="1722"/>
      <c r="J12" s="1722"/>
      <c r="K12" s="1722"/>
      <c r="L12" s="1722"/>
      <c r="M12" s="1722"/>
      <c r="N12" s="1722"/>
      <c r="O12" s="1722"/>
      <c r="P12" s="1722"/>
      <c r="Q12" s="1722"/>
      <c r="R12" s="1722"/>
      <c r="S12" s="1722"/>
      <c r="T12" s="1722"/>
      <c r="U12" s="1722"/>
      <c r="V12" s="1722"/>
      <c r="W12" s="1722"/>
      <c r="X12" s="1722"/>
      <c r="Y12" s="1722"/>
      <c r="Z12" s="1722"/>
      <c r="AA12" s="1722"/>
      <c r="AB12" s="1722"/>
      <c r="AC12" s="1722"/>
      <c r="AD12" s="1722"/>
      <c r="AE12" s="1722"/>
      <c r="AF12" s="1722"/>
      <c r="AG12" s="1722"/>
      <c r="AH12" s="1722"/>
      <c r="AI12" s="1722"/>
      <c r="AJ12" s="30"/>
      <c r="AK12" s="31"/>
      <c r="AS12" s="27"/>
      <c r="AT12" s="27"/>
      <c r="AU12" s="27"/>
      <c r="AV12" s="27"/>
      <c r="AW12" s="27"/>
      <c r="AX12" s="27"/>
      <c r="AY12" s="27"/>
      <c r="AZ12" s="27"/>
      <c r="BA12" s="27"/>
      <c r="BB12" s="27"/>
      <c r="BC12" s="27"/>
      <c r="BD12" s="30"/>
      <c r="BE12" s="31"/>
      <c r="BF12" s="27"/>
      <c r="BG12" s="27"/>
      <c r="BH12" s="27"/>
      <c r="BI12" s="27"/>
      <c r="BJ12" s="27"/>
      <c r="BK12" s="27"/>
      <c r="BL12" s="27"/>
      <c r="BM12" s="27"/>
      <c r="BN12" s="27"/>
      <c r="BO12" s="27"/>
      <c r="BP12" s="27"/>
      <c r="BQ12" s="27"/>
      <c r="BR12" s="27"/>
      <c r="BS12" s="27"/>
      <c r="BT12" s="27"/>
      <c r="BU12" s="27"/>
      <c r="BV12" s="27"/>
      <c r="BW12" s="27"/>
      <c r="BX12" s="27"/>
      <c r="BY12" s="27"/>
      <c r="BZ12" s="27"/>
      <c r="CA12" s="27"/>
      <c r="CB12" s="27"/>
      <c r="CC12" s="27"/>
      <c r="CD12" s="27"/>
      <c r="CE12" s="27"/>
      <c r="CF12" s="27"/>
      <c r="CG12" s="27"/>
      <c r="CH12" s="27"/>
      <c r="CI12" s="27"/>
      <c r="CJ12" s="27"/>
      <c r="CK12" s="27"/>
      <c r="CL12" s="27"/>
      <c r="CM12" s="28"/>
    </row>
    <row r="13" spans="2:97" ht="14.1" customHeight="1">
      <c r="B13" s="26"/>
      <c r="C13" s="1722"/>
      <c r="D13" s="1722"/>
      <c r="E13" s="1722"/>
      <c r="F13" s="1722"/>
      <c r="G13" s="1722"/>
      <c r="H13" s="1722"/>
      <c r="I13" s="1722"/>
      <c r="J13" s="1722"/>
      <c r="K13" s="1722"/>
      <c r="L13" s="1722"/>
      <c r="M13" s="1722"/>
      <c r="N13" s="1722"/>
      <c r="O13" s="1722"/>
      <c r="P13" s="1722"/>
      <c r="Q13" s="1722"/>
      <c r="R13" s="1722"/>
      <c r="S13" s="1722"/>
      <c r="T13" s="1722"/>
      <c r="U13" s="1722"/>
      <c r="V13" s="1722"/>
      <c r="W13" s="1722"/>
      <c r="X13" s="1722"/>
      <c r="Y13" s="1722"/>
      <c r="Z13" s="1722"/>
      <c r="AA13" s="1722"/>
      <c r="AB13" s="1722"/>
      <c r="AC13" s="1722"/>
      <c r="AD13" s="1722"/>
      <c r="AE13" s="1722"/>
      <c r="AF13" s="1722"/>
      <c r="AG13" s="1722"/>
      <c r="AH13" s="1722"/>
      <c r="AI13" s="1722"/>
      <c r="AJ13" s="30"/>
      <c r="AK13" s="31"/>
      <c r="AS13" s="27"/>
      <c r="AT13" s="27"/>
      <c r="AU13" s="27"/>
      <c r="AV13" s="27"/>
      <c r="AW13" s="27"/>
      <c r="AX13" s="27"/>
      <c r="AY13" s="27"/>
      <c r="AZ13" s="27"/>
      <c r="BA13" s="27"/>
      <c r="BB13" s="27"/>
      <c r="BC13" s="27"/>
      <c r="BD13" s="30"/>
      <c r="BE13" s="31"/>
      <c r="BF13" s="27"/>
      <c r="BG13" s="27"/>
      <c r="BH13" s="27"/>
      <c r="BI13" s="27"/>
      <c r="BJ13" s="27"/>
      <c r="BK13" s="27"/>
      <c r="BL13" s="27"/>
      <c r="BM13" s="27"/>
      <c r="BN13" s="27"/>
      <c r="BO13" s="27"/>
      <c r="BP13" s="27"/>
      <c r="BQ13" s="27"/>
      <c r="BR13" s="27"/>
      <c r="BS13" s="27"/>
      <c r="BT13" s="27"/>
      <c r="BU13" s="27"/>
      <c r="BV13" s="27"/>
      <c r="BW13" s="27"/>
      <c r="BX13" s="27"/>
      <c r="BY13" s="27"/>
      <c r="BZ13" s="27"/>
      <c r="CA13" s="27"/>
      <c r="CB13" s="27"/>
      <c r="CC13" s="27"/>
      <c r="CD13" s="27"/>
      <c r="CE13" s="27"/>
      <c r="CF13" s="27"/>
      <c r="CG13" s="27"/>
      <c r="CH13" s="27"/>
      <c r="CI13" s="27"/>
      <c r="CJ13" s="27"/>
      <c r="CK13" s="27"/>
      <c r="CL13" s="27"/>
      <c r="CM13" s="28"/>
    </row>
    <row r="14" spans="2:97" ht="14.1" customHeight="1">
      <c r="B14" s="26"/>
      <c r="C14" s="27"/>
      <c r="D14" s="27"/>
      <c r="E14" s="27"/>
      <c r="F14" s="27"/>
      <c r="G14" s="27"/>
      <c r="H14" s="27"/>
      <c r="I14" s="27"/>
      <c r="J14" s="27"/>
      <c r="K14" s="27"/>
      <c r="L14" s="27"/>
      <c r="M14" s="27"/>
      <c r="N14" s="27"/>
      <c r="O14" s="27"/>
      <c r="P14" s="27"/>
      <c r="AF14" s="238" t="s">
        <v>1282</v>
      </c>
      <c r="AJ14" s="30"/>
      <c r="AK14" s="31"/>
      <c r="AS14" s="27"/>
      <c r="AT14" s="27"/>
      <c r="AU14" s="27"/>
      <c r="AV14" s="27"/>
      <c r="AW14" s="27"/>
      <c r="AX14" s="27"/>
      <c r="AY14" s="27"/>
      <c r="AZ14" s="27"/>
      <c r="BA14" s="27"/>
      <c r="BB14" s="27"/>
      <c r="BC14" s="27"/>
      <c r="BD14" s="30"/>
      <c r="BE14" s="31"/>
      <c r="BF14" s="27"/>
      <c r="BG14" s="27"/>
      <c r="BH14" s="27"/>
      <c r="BI14" s="27"/>
      <c r="BJ14" s="27"/>
      <c r="BK14" s="27"/>
      <c r="BL14" s="27"/>
      <c r="BM14" s="27"/>
      <c r="BN14" s="27"/>
      <c r="BO14" s="27"/>
      <c r="BP14" s="27"/>
      <c r="BQ14" s="27"/>
      <c r="BR14" s="27"/>
      <c r="BS14" s="237" t="s">
        <v>1697</v>
      </c>
      <c r="BT14" s="27"/>
      <c r="BU14" s="27"/>
      <c r="BV14" s="27"/>
      <c r="BW14" s="27"/>
      <c r="BX14" s="27"/>
      <c r="BY14" s="27"/>
      <c r="BZ14" s="27"/>
      <c r="CA14" s="27"/>
      <c r="CB14" s="27"/>
      <c r="CC14" s="27"/>
      <c r="CD14" s="27"/>
      <c r="CE14" s="27"/>
      <c r="CF14" s="27"/>
      <c r="CG14" s="27"/>
      <c r="CH14" s="27"/>
      <c r="CI14" s="27"/>
      <c r="CJ14" s="27"/>
      <c r="CK14" s="27"/>
      <c r="CL14" s="27"/>
      <c r="CM14" s="28"/>
    </row>
    <row r="15" spans="2:97" ht="14.1" customHeight="1">
      <c r="B15" s="26"/>
      <c r="C15" s="27"/>
      <c r="D15" s="27"/>
      <c r="E15" s="27"/>
      <c r="F15" s="27"/>
      <c r="G15" s="27"/>
      <c r="H15" s="27"/>
      <c r="I15" s="27"/>
      <c r="J15" s="27"/>
      <c r="K15" s="27"/>
      <c r="L15" s="27"/>
      <c r="M15" s="27"/>
      <c r="N15" s="27"/>
      <c r="O15" s="27"/>
      <c r="P15" s="27"/>
      <c r="AJ15" s="30"/>
      <c r="AK15" s="31"/>
      <c r="AS15" s="27"/>
      <c r="AT15" s="27"/>
      <c r="AU15" s="27"/>
      <c r="AV15" s="27"/>
      <c r="AW15" s="27"/>
      <c r="AX15" s="27"/>
      <c r="AY15" s="27"/>
      <c r="AZ15" s="27"/>
      <c r="BA15" s="27"/>
      <c r="BB15" s="27"/>
      <c r="BC15" s="27"/>
      <c r="BD15" s="30"/>
      <c r="BE15" s="31"/>
      <c r="BF15" s="27"/>
      <c r="BG15" s="27"/>
      <c r="BH15" s="27"/>
      <c r="BI15" s="27"/>
      <c r="BJ15" s="27"/>
      <c r="BK15" s="27"/>
      <c r="BL15" s="27"/>
      <c r="BM15" s="27"/>
      <c r="BN15" s="27"/>
      <c r="BO15" s="27"/>
      <c r="BP15" s="27"/>
      <c r="BQ15" s="27"/>
      <c r="BR15" s="27"/>
      <c r="BS15" s="27"/>
      <c r="BT15" s="27"/>
      <c r="BU15" s="27"/>
      <c r="BV15" s="27"/>
      <c r="BW15" s="27"/>
      <c r="BX15" s="27"/>
      <c r="BY15" s="27"/>
      <c r="BZ15" s="27"/>
      <c r="CA15" s="27"/>
      <c r="CB15" s="27"/>
      <c r="CC15" s="27"/>
      <c r="CD15" s="27"/>
      <c r="CE15" s="27"/>
      <c r="CF15" s="27"/>
      <c r="CG15" s="27"/>
      <c r="CH15" s="27"/>
      <c r="CI15" s="27"/>
      <c r="CJ15" s="27"/>
      <c r="CK15" s="27"/>
      <c r="CL15" s="27"/>
      <c r="CM15" s="28"/>
    </row>
    <row r="16" spans="2:97" ht="14.1" customHeight="1">
      <c r="B16" s="26"/>
      <c r="C16" s="27"/>
      <c r="D16" s="27"/>
      <c r="E16" s="27"/>
      <c r="F16" s="27"/>
      <c r="G16" s="27"/>
      <c r="H16" s="27"/>
      <c r="I16" s="27"/>
      <c r="J16" s="27"/>
      <c r="K16" s="27"/>
      <c r="L16" s="27"/>
      <c r="M16" s="27"/>
      <c r="N16" s="27"/>
      <c r="O16" s="27"/>
      <c r="P16" s="27"/>
      <c r="AJ16" s="30"/>
      <c r="AK16" s="31"/>
      <c r="AS16" s="27"/>
      <c r="AT16" s="27"/>
      <c r="AU16" s="27"/>
      <c r="AV16" s="27"/>
      <c r="AW16" s="27"/>
      <c r="AX16" s="27"/>
      <c r="AY16" s="27"/>
      <c r="AZ16" s="27"/>
      <c r="BA16" s="27"/>
      <c r="BB16" s="27"/>
      <c r="BC16" s="27"/>
      <c r="BD16" s="30"/>
      <c r="BE16" s="31"/>
      <c r="BF16" s="27"/>
      <c r="BG16" s="27"/>
      <c r="BH16" s="237" t="s">
        <v>1699</v>
      </c>
      <c r="BI16" s="27"/>
      <c r="BJ16" s="27"/>
      <c r="BK16" s="27"/>
      <c r="BL16" s="27"/>
      <c r="BM16" s="27"/>
      <c r="BN16" s="27"/>
      <c r="BO16" s="27"/>
      <c r="BP16" s="27"/>
      <c r="BQ16" s="27"/>
      <c r="BR16" s="27"/>
      <c r="BS16" s="27"/>
      <c r="BT16" s="27"/>
      <c r="BU16" s="27"/>
      <c r="BV16" s="27"/>
      <c r="BW16" s="27"/>
      <c r="BX16" s="27"/>
      <c r="BY16" s="27"/>
      <c r="BZ16" s="27"/>
      <c r="CA16" s="27"/>
      <c r="CB16" s="27"/>
      <c r="CC16" s="27"/>
      <c r="CD16" s="27"/>
      <c r="CE16" s="27"/>
      <c r="CF16" s="27"/>
      <c r="CG16" s="27"/>
      <c r="CH16" s="27"/>
      <c r="CI16" s="27"/>
      <c r="CJ16" s="27"/>
      <c r="CK16" s="27"/>
      <c r="CL16" s="27"/>
      <c r="CM16" s="28"/>
    </row>
    <row r="17" spans="2:93" ht="14.1" customHeight="1">
      <c r="B17" s="26"/>
      <c r="C17" s="27"/>
      <c r="D17" s="27"/>
      <c r="E17" s="27"/>
      <c r="F17" s="27"/>
      <c r="G17" s="27"/>
      <c r="H17" s="27"/>
      <c r="I17" s="27"/>
      <c r="J17" s="27"/>
      <c r="K17" s="27"/>
      <c r="L17" s="27"/>
      <c r="M17" s="27"/>
      <c r="N17" s="27"/>
      <c r="O17" s="27"/>
      <c r="P17" s="27"/>
      <c r="AJ17" s="30"/>
      <c r="AK17" s="1732" t="s">
        <v>1700</v>
      </c>
      <c r="AL17" s="1733"/>
      <c r="AM17" s="1733"/>
      <c r="AN17" s="1733"/>
      <c r="AO17" s="1733"/>
      <c r="AP17" s="1733"/>
      <c r="AQ17" s="1733"/>
      <c r="AR17" s="1733"/>
      <c r="AS17" s="1733"/>
      <c r="AT17" s="1733"/>
      <c r="AU17" s="1733"/>
      <c r="AV17" s="1733"/>
      <c r="AW17" s="1733"/>
      <c r="AX17" s="1733"/>
      <c r="AY17" s="1733"/>
      <c r="AZ17" s="1733"/>
      <c r="BA17" s="1733"/>
      <c r="BB17" s="1733"/>
      <c r="BC17" s="1733"/>
      <c r="BD17" s="1734"/>
      <c r="BE17" s="31"/>
      <c r="BF17" s="27"/>
      <c r="BG17" s="27"/>
      <c r="BH17" s="27"/>
      <c r="BI17" s="27"/>
      <c r="BJ17" s="27"/>
      <c r="BK17" s="27"/>
      <c r="BL17" s="27"/>
      <c r="BM17" s="27"/>
      <c r="BN17" s="27"/>
      <c r="BO17" s="27"/>
      <c r="BP17" s="27"/>
      <c r="BQ17" s="27"/>
      <c r="BR17" s="27"/>
      <c r="BS17" s="27"/>
      <c r="BT17" s="27"/>
      <c r="BU17" s="27"/>
      <c r="BV17" s="27"/>
      <c r="BW17" s="27"/>
      <c r="BX17" s="27"/>
      <c r="BY17" s="27"/>
      <c r="BZ17" s="27"/>
      <c r="CA17" s="27"/>
      <c r="CB17" s="27"/>
      <c r="CC17" s="27"/>
      <c r="CD17" s="27"/>
      <c r="CE17" s="27"/>
      <c r="CF17" s="27"/>
      <c r="CG17" s="27"/>
      <c r="CH17" s="27"/>
      <c r="CI17" s="27"/>
      <c r="CJ17" s="27"/>
      <c r="CK17" s="27"/>
      <c r="CL17" s="27"/>
      <c r="CM17" s="28"/>
    </row>
    <row r="18" spans="2:93" ht="14.1" customHeight="1">
      <c r="B18" s="26"/>
      <c r="C18" s="27"/>
      <c r="D18" s="27"/>
      <c r="E18" s="27"/>
      <c r="F18" s="27"/>
      <c r="G18" s="27"/>
      <c r="H18" s="27"/>
      <c r="I18" s="27"/>
      <c r="J18" s="27"/>
      <c r="K18" s="27"/>
      <c r="L18" s="27"/>
      <c r="M18" s="27"/>
      <c r="N18" s="27"/>
      <c r="O18" s="27"/>
      <c r="P18" s="27"/>
      <c r="AJ18" s="30"/>
      <c r="AK18" s="1737" t="s">
        <v>1701</v>
      </c>
      <c r="AL18" s="1738"/>
      <c r="AM18" s="1738"/>
      <c r="AN18" s="1738"/>
      <c r="AO18" s="1738"/>
      <c r="AP18" s="1738"/>
      <c r="AQ18" s="1738"/>
      <c r="AR18" s="1738"/>
      <c r="AS18" s="1738"/>
      <c r="AT18" s="1738"/>
      <c r="AU18" s="1738"/>
      <c r="AV18" s="1738"/>
      <c r="AW18" s="1738"/>
      <c r="AX18" s="1738"/>
      <c r="AY18" s="1738"/>
      <c r="AZ18" s="1738"/>
      <c r="BA18" s="1738"/>
      <c r="BB18" s="1738"/>
      <c r="BC18" s="1738"/>
      <c r="BD18" s="1739"/>
      <c r="BE18" s="31"/>
      <c r="BF18" s="27"/>
      <c r="BG18" s="27"/>
      <c r="BH18" s="27"/>
      <c r="BI18" s="27"/>
      <c r="BJ18" s="27"/>
      <c r="BK18" s="27"/>
      <c r="BL18" s="27"/>
      <c r="BM18" s="27"/>
      <c r="BN18" s="27"/>
      <c r="BO18" s="27"/>
      <c r="BP18" s="27"/>
      <c r="BQ18" s="27"/>
      <c r="BR18" s="27"/>
      <c r="BS18" s="27"/>
      <c r="BT18" s="27"/>
      <c r="BU18" s="27"/>
      <c r="BV18" s="27"/>
      <c r="BW18" s="27"/>
      <c r="BX18" s="27"/>
      <c r="BY18" s="27"/>
      <c r="BZ18" s="27"/>
      <c r="CA18" s="27"/>
      <c r="CB18" s="27"/>
      <c r="CC18" s="27"/>
      <c r="CD18" s="27"/>
      <c r="CE18" s="27"/>
      <c r="CF18" s="27"/>
      <c r="CG18" s="27"/>
      <c r="CH18" s="27"/>
      <c r="CI18" s="27"/>
      <c r="CJ18" s="27"/>
      <c r="CK18" s="27"/>
      <c r="CL18" s="27"/>
      <c r="CM18" s="28"/>
    </row>
    <row r="19" spans="2:93" ht="14.1" customHeight="1">
      <c r="B19" s="26"/>
      <c r="C19" s="27"/>
      <c r="D19" s="27"/>
      <c r="E19" s="27"/>
      <c r="F19" s="27"/>
      <c r="G19" s="27"/>
      <c r="H19" s="27"/>
      <c r="I19" s="27"/>
      <c r="J19" s="27"/>
      <c r="K19" s="27"/>
      <c r="L19" s="27"/>
      <c r="M19" s="27"/>
      <c r="N19" s="27"/>
      <c r="O19" s="27"/>
      <c r="P19" s="27"/>
      <c r="AJ19" s="30"/>
      <c r="AK19" s="41"/>
      <c r="AL19" s="38"/>
      <c r="AM19" s="38"/>
      <c r="AN19" s="38"/>
      <c r="AO19" s="38"/>
      <c r="AP19" s="38"/>
      <c r="AQ19" s="38"/>
      <c r="AR19" s="38"/>
      <c r="AS19" s="38"/>
      <c r="AT19" s="38"/>
      <c r="AU19" s="38"/>
      <c r="AV19" s="38"/>
      <c r="AW19" s="38"/>
      <c r="AX19" s="38"/>
      <c r="AY19" s="38"/>
      <c r="AZ19" s="38"/>
      <c r="BA19" s="38"/>
      <c r="BB19" s="38"/>
      <c r="BC19" s="38"/>
      <c r="BD19" s="40"/>
      <c r="BE19" s="31"/>
      <c r="BF19" s="27"/>
      <c r="BG19" s="27"/>
      <c r="BH19" s="27"/>
      <c r="BI19" s="27"/>
      <c r="BJ19" s="27"/>
      <c r="BK19" s="27"/>
      <c r="BL19" s="27"/>
      <c r="BM19" s="27"/>
      <c r="BN19" s="27"/>
      <c r="BO19" s="27"/>
      <c r="BP19" s="27"/>
      <c r="BQ19" s="27"/>
      <c r="BR19" s="27"/>
      <c r="BS19" s="27"/>
      <c r="BT19" s="27"/>
      <c r="BU19" s="27"/>
      <c r="BV19" s="27"/>
      <c r="BW19" s="27"/>
      <c r="BX19" s="27"/>
      <c r="BY19" s="27"/>
      <c r="BZ19" s="27"/>
      <c r="CA19" s="27"/>
      <c r="CB19" s="27"/>
      <c r="CC19" s="27"/>
      <c r="CD19" s="27"/>
      <c r="CE19" s="27"/>
      <c r="CF19" s="27"/>
      <c r="CG19" s="27"/>
      <c r="CH19" s="27"/>
      <c r="CI19" s="27"/>
      <c r="CJ19" s="27"/>
      <c r="CK19" s="27"/>
      <c r="CL19" s="27"/>
      <c r="CM19" s="28"/>
    </row>
    <row r="20" spans="2:93" ht="14.1" customHeight="1">
      <c r="B20" s="26"/>
      <c r="C20" s="27"/>
      <c r="D20" s="27"/>
      <c r="E20" s="27"/>
      <c r="F20" s="27"/>
      <c r="G20" s="27"/>
      <c r="H20" s="27"/>
      <c r="I20" s="27"/>
      <c r="J20" s="27"/>
      <c r="K20" s="27"/>
      <c r="L20" s="27"/>
      <c r="M20" s="27"/>
      <c r="N20" s="27"/>
      <c r="O20" s="27"/>
      <c r="P20" s="27"/>
      <c r="AJ20" s="30"/>
      <c r="AK20" s="31"/>
      <c r="AS20" s="27"/>
      <c r="AT20" s="27"/>
      <c r="AU20" s="27"/>
      <c r="AV20" s="27"/>
      <c r="AW20" s="27"/>
      <c r="AX20" s="27"/>
      <c r="AY20" s="27"/>
      <c r="AZ20" s="27"/>
      <c r="BA20" s="27"/>
      <c r="BB20" s="27"/>
      <c r="BC20" s="27"/>
      <c r="BD20" s="30"/>
      <c r="BE20" s="31"/>
      <c r="BF20" s="27"/>
      <c r="BG20" s="27"/>
      <c r="BH20" s="27"/>
      <c r="BI20" s="27"/>
      <c r="BJ20" s="27"/>
      <c r="BK20" s="27"/>
      <c r="BL20" s="27"/>
      <c r="BM20" s="27"/>
      <c r="BN20" s="27"/>
      <c r="BO20" s="27"/>
      <c r="BP20" s="27"/>
      <c r="BQ20" s="27"/>
      <c r="BR20" s="27"/>
      <c r="BS20" s="27"/>
      <c r="BT20" s="27"/>
      <c r="BU20" s="27"/>
      <c r="BV20" s="27"/>
      <c r="BW20" s="27"/>
      <c r="BX20" s="27"/>
      <c r="BY20" s="27"/>
      <c r="BZ20" s="27"/>
      <c r="CA20" s="27"/>
      <c r="CB20" s="27"/>
      <c r="CC20" s="27"/>
      <c r="CD20" s="27"/>
      <c r="CE20" s="27"/>
      <c r="CF20" s="27"/>
      <c r="CG20" s="27"/>
      <c r="CH20" s="27"/>
      <c r="CI20" s="27"/>
      <c r="CJ20" s="27"/>
      <c r="CK20" s="27"/>
      <c r="CL20" s="27"/>
      <c r="CM20" s="28"/>
    </row>
    <row r="21" spans="2:93" ht="14.1" customHeight="1">
      <c r="B21" s="26"/>
      <c r="C21" s="27"/>
      <c r="D21" s="27"/>
      <c r="E21" s="27"/>
      <c r="F21" s="27"/>
      <c r="G21" s="27"/>
      <c r="H21" s="27"/>
      <c r="I21" s="27"/>
      <c r="J21" s="27"/>
      <c r="K21" s="27"/>
      <c r="L21" s="27"/>
      <c r="M21" s="27"/>
      <c r="N21" s="27"/>
      <c r="O21" s="27"/>
      <c r="P21" s="27"/>
      <c r="AJ21" s="30"/>
      <c r="AK21" s="31"/>
      <c r="AS21" s="27"/>
      <c r="AT21" s="27"/>
      <c r="AU21" s="27"/>
      <c r="AV21" s="27"/>
      <c r="AW21" s="27"/>
      <c r="AX21" s="27"/>
      <c r="AY21" s="27"/>
      <c r="AZ21" s="27"/>
      <c r="BA21" s="27"/>
      <c r="BB21" s="27"/>
      <c r="BC21" s="27"/>
      <c r="BD21" s="30"/>
      <c r="BE21" s="31"/>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7"/>
      <c r="CF21" s="27"/>
      <c r="CG21" s="27"/>
      <c r="CH21" s="27"/>
      <c r="CI21" s="27"/>
      <c r="CJ21" s="27"/>
      <c r="CK21" s="27"/>
      <c r="CL21" s="27"/>
      <c r="CM21" s="28"/>
    </row>
    <row r="22" spans="2:93" ht="14.1" customHeight="1">
      <c r="B22" s="26"/>
      <c r="C22" s="27"/>
      <c r="D22" s="27"/>
      <c r="E22" s="208" t="s">
        <v>1705</v>
      </c>
      <c r="H22" s="27"/>
      <c r="I22" s="27"/>
      <c r="J22" s="27"/>
      <c r="K22" s="27"/>
      <c r="L22" s="27"/>
      <c r="M22" s="27"/>
      <c r="N22" s="27"/>
      <c r="O22" s="27"/>
      <c r="P22" s="27"/>
      <c r="AJ22" s="30"/>
      <c r="AK22" s="31"/>
      <c r="AS22" s="27"/>
      <c r="AT22" s="27"/>
      <c r="AU22" s="27"/>
      <c r="AV22" s="27"/>
      <c r="AW22" s="27"/>
      <c r="AX22" s="27"/>
      <c r="AY22" s="27"/>
      <c r="AZ22" s="27"/>
      <c r="BA22" s="27"/>
      <c r="BB22" s="27"/>
      <c r="BC22" s="27"/>
      <c r="BD22" s="30"/>
      <c r="BE22" s="31"/>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c r="CE22" s="27"/>
      <c r="CF22" s="27"/>
      <c r="CG22" s="27"/>
      <c r="CH22" s="27"/>
      <c r="CI22" s="27"/>
      <c r="CJ22" s="27"/>
      <c r="CK22" s="27"/>
      <c r="CL22" s="27"/>
      <c r="CM22" s="28"/>
    </row>
    <row r="23" spans="2:93" ht="14.1" customHeight="1">
      <c r="B23" s="26"/>
      <c r="C23" s="27"/>
      <c r="D23" s="27"/>
      <c r="E23" s="27"/>
      <c r="F23" s="27"/>
      <c r="G23" s="27"/>
      <c r="H23" s="27"/>
      <c r="I23" s="27"/>
      <c r="J23" s="27"/>
      <c r="K23" s="27"/>
      <c r="L23" s="27"/>
      <c r="M23" s="27"/>
      <c r="N23" s="27"/>
      <c r="O23" s="27"/>
      <c r="P23" s="27"/>
      <c r="Q23" s="208" t="s">
        <v>1706</v>
      </c>
      <c r="AJ23" s="30"/>
      <c r="AK23" s="31"/>
      <c r="AS23" s="27"/>
      <c r="AT23" s="27"/>
      <c r="AU23" s="27"/>
      <c r="AV23" s="27"/>
      <c r="AW23" s="27"/>
      <c r="AX23" s="27"/>
      <c r="AY23" s="27"/>
      <c r="AZ23" s="27"/>
      <c r="BA23" s="27"/>
      <c r="BB23" s="27"/>
      <c r="BC23" s="27"/>
      <c r="BD23" s="30"/>
      <c r="BE23" s="31"/>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D23" s="27"/>
      <c r="CE23" s="27"/>
      <c r="CF23" s="27"/>
      <c r="CG23" s="27"/>
      <c r="CH23" s="27"/>
      <c r="CI23" s="27"/>
      <c r="CJ23" s="27"/>
      <c r="CK23" s="27"/>
      <c r="CL23" s="27"/>
      <c r="CM23" s="28"/>
    </row>
    <row r="24" spans="2:93" ht="14.1" customHeight="1">
      <c r="B24" s="26"/>
      <c r="C24" s="27"/>
      <c r="D24" s="27"/>
      <c r="E24" s="27"/>
      <c r="F24" s="27"/>
      <c r="G24" s="27"/>
      <c r="H24" s="27"/>
      <c r="I24" s="27"/>
      <c r="J24" s="27"/>
      <c r="K24" s="27"/>
      <c r="L24" s="27"/>
      <c r="M24" s="27"/>
      <c r="N24" s="27"/>
      <c r="O24" s="27"/>
      <c r="P24" s="27"/>
      <c r="AA24" s="208" t="s">
        <v>1707</v>
      </c>
      <c r="AJ24" s="30"/>
      <c r="AK24" s="31"/>
      <c r="AS24" s="27"/>
      <c r="AT24" s="27"/>
      <c r="AU24" s="27"/>
      <c r="AV24" s="27"/>
      <c r="AW24" s="27"/>
      <c r="AX24" s="27"/>
      <c r="AY24" s="27"/>
      <c r="AZ24" s="27"/>
      <c r="BA24" s="27"/>
      <c r="BB24" s="27"/>
      <c r="BC24" s="27"/>
      <c r="BD24" s="30"/>
      <c r="BE24" s="31"/>
      <c r="BF24" s="27"/>
      <c r="BG24" s="27"/>
      <c r="BH24" s="27"/>
      <c r="BI24" s="27"/>
      <c r="BJ24" s="27"/>
      <c r="BK24" s="27"/>
      <c r="BL24" s="27"/>
      <c r="BM24" s="27"/>
      <c r="BN24" s="27"/>
      <c r="BO24" s="27"/>
      <c r="BP24" s="27"/>
      <c r="BQ24" s="27"/>
      <c r="BR24" s="27"/>
      <c r="BS24" s="27"/>
      <c r="BT24" s="27"/>
      <c r="BU24" s="27"/>
      <c r="BV24" s="27"/>
      <c r="BW24" s="27"/>
      <c r="BX24" s="27"/>
      <c r="BY24" s="27"/>
      <c r="BZ24" s="27"/>
      <c r="CA24" s="27"/>
      <c r="CB24" s="27"/>
      <c r="CC24" s="27"/>
      <c r="CD24" s="27"/>
      <c r="CE24" s="27"/>
      <c r="CF24" s="27"/>
      <c r="CG24" s="27"/>
      <c r="CH24" s="27"/>
      <c r="CI24" s="27"/>
      <c r="CJ24" s="27"/>
      <c r="CK24" s="27"/>
      <c r="CL24" s="27"/>
      <c r="CM24" s="28"/>
    </row>
    <row r="25" spans="2:93" ht="14.1" customHeight="1">
      <c r="B25" s="26"/>
      <c r="C25" s="27"/>
      <c r="D25" s="27"/>
      <c r="E25" s="27"/>
      <c r="F25" s="27"/>
      <c r="G25" s="27"/>
      <c r="H25" s="27"/>
      <c r="I25" s="27"/>
      <c r="J25" s="27"/>
      <c r="K25" s="27"/>
      <c r="L25" s="27"/>
      <c r="M25" s="27"/>
      <c r="N25" s="27"/>
      <c r="O25" s="27"/>
      <c r="P25" s="27"/>
      <c r="AJ25" s="30"/>
      <c r="AK25" s="1728" t="s">
        <v>1283</v>
      </c>
      <c r="AL25" s="1729"/>
      <c r="AM25" s="1729"/>
      <c r="AN25" s="1729"/>
      <c r="AO25" s="1729"/>
      <c r="AP25" s="1729"/>
      <c r="AQ25" s="1729"/>
      <c r="AR25" s="1729"/>
      <c r="AS25" s="1729"/>
      <c r="AT25" s="1729"/>
      <c r="AU25" s="1729"/>
      <c r="AV25" s="1729"/>
      <c r="AW25" s="1729"/>
      <c r="AX25" s="1729"/>
      <c r="AY25" s="1729"/>
      <c r="AZ25" s="1729"/>
      <c r="BA25" s="1729"/>
      <c r="BB25" s="1729"/>
      <c r="BC25" s="1729"/>
      <c r="BD25" s="1730"/>
      <c r="BE25" s="31"/>
      <c r="BG25" s="25" t="s">
        <v>1702</v>
      </c>
      <c r="BI25" s="27"/>
      <c r="BJ25" s="27"/>
      <c r="BK25" s="27"/>
      <c r="BL25" s="27"/>
      <c r="BM25" s="27"/>
      <c r="BN25" s="27"/>
      <c r="BO25" s="27"/>
      <c r="BP25" s="27"/>
      <c r="BQ25" s="27"/>
      <c r="BR25" s="25" t="s">
        <v>1703</v>
      </c>
      <c r="BT25" s="27"/>
      <c r="BU25" s="27"/>
      <c r="BV25" s="27"/>
      <c r="BW25" s="27"/>
      <c r="BX25" s="27"/>
      <c r="BY25" s="27"/>
      <c r="BZ25" s="27"/>
      <c r="CA25" s="27"/>
      <c r="CB25" s="27"/>
      <c r="CD25" s="25" t="s">
        <v>1704</v>
      </c>
      <c r="CF25" s="27"/>
      <c r="CG25" s="27"/>
      <c r="CH25" s="27"/>
      <c r="CI25" s="27"/>
      <c r="CJ25" s="27"/>
      <c r="CK25" s="27"/>
      <c r="CL25" s="27"/>
      <c r="CM25" s="28"/>
    </row>
    <row r="26" spans="2:93" ht="8.1" customHeight="1">
      <c r="B26" s="32"/>
      <c r="C26" s="33"/>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4"/>
      <c r="AK26" s="35"/>
      <c r="AL26" s="33"/>
      <c r="AM26" s="33"/>
      <c r="AN26" s="33"/>
      <c r="AO26" s="33"/>
      <c r="AP26" s="33"/>
      <c r="AQ26" s="33"/>
      <c r="AR26" s="33"/>
      <c r="AS26" s="33"/>
      <c r="AT26" s="33"/>
      <c r="AU26" s="33"/>
      <c r="AV26" s="33"/>
      <c r="AW26" s="33"/>
      <c r="AX26" s="33"/>
      <c r="AY26" s="33"/>
      <c r="AZ26" s="33"/>
      <c r="BA26" s="33"/>
      <c r="BB26" s="33"/>
      <c r="BC26" s="33"/>
      <c r="BD26" s="34"/>
      <c r="BE26" s="35"/>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6"/>
    </row>
    <row r="27" spans="2:93" ht="15.95" customHeight="1" thickBot="1">
      <c r="B27" s="275"/>
      <c r="C27" s="276"/>
      <c r="D27" s="277"/>
      <c r="E27" s="277"/>
      <c r="F27" s="277"/>
      <c r="G27" s="276"/>
      <c r="H27" s="277"/>
      <c r="I27" s="277"/>
      <c r="J27" s="277"/>
      <c r="K27" s="277"/>
      <c r="L27" s="277"/>
      <c r="M27" s="277"/>
      <c r="N27" s="277"/>
      <c r="O27" s="276"/>
      <c r="P27" s="278"/>
      <c r="Q27" s="278"/>
      <c r="R27" s="278"/>
      <c r="S27" s="278"/>
      <c r="T27" s="278"/>
      <c r="U27" s="278"/>
      <c r="V27" s="278"/>
      <c r="W27" s="278"/>
      <c r="X27" s="278"/>
      <c r="Y27" s="278"/>
      <c r="Z27" s="278"/>
      <c r="AA27" s="278"/>
      <c r="AB27" s="278"/>
      <c r="AC27" s="278"/>
      <c r="AD27" s="278"/>
      <c r="AE27" s="278"/>
      <c r="AF27" s="278"/>
      <c r="AG27" s="278"/>
      <c r="AH27" s="278"/>
      <c r="AI27" s="278"/>
      <c r="AJ27" s="278"/>
      <c r="AK27" s="278"/>
      <c r="AL27" s="278"/>
      <c r="AM27" s="278"/>
      <c r="AN27" s="278"/>
      <c r="AO27" s="278"/>
      <c r="AP27" s="278"/>
      <c r="AQ27" s="278"/>
      <c r="AR27" s="278"/>
      <c r="AS27" s="278"/>
      <c r="AT27" s="278"/>
      <c r="AU27" s="278"/>
      <c r="AV27" s="278"/>
      <c r="AW27" s="278"/>
      <c r="AX27" s="278"/>
      <c r="AY27" s="278"/>
      <c r="AZ27" s="278"/>
      <c r="BA27" s="278"/>
      <c r="BB27" s="278"/>
      <c r="BC27" s="278"/>
      <c r="BD27" s="278"/>
      <c r="BE27" s="278"/>
      <c r="BF27" s="278"/>
      <c r="BG27" s="278"/>
      <c r="BH27" s="278"/>
      <c r="BI27" s="278"/>
      <c r="BJ27" s="278"/>
      <c r="BK27" s="278"/>
      <c r="BL27" s="278"/>
      <c r="BM27" s="278"/>
      <c r="BN27" s="278"/>
      <c r="BO27" s="278"/>
      <c r="BP27" s="278"/>
      <c r="BQ27" s="278"/>
      <c r="BR27" s="278"/>
      <c r="BS27" s="278"/>
      <c r="BT27" s="278"/>
      <c r="BU27" s="278"/>
      <c r="BV27" s="278"/>
      <c r="BW27" s="278"/>
      <c r="BX27" s="278"/>
      <c r="BY27" s="278"/>
      <c r="BZ27" s="278"/>
      <c r="CA27" s="278"/>
      <c r="CB27" s="278"/>
      <c r="CC27" s="278"/>
      <c r="CD27" s="278"/>
      <c r="CE27" s="278"/>
      <c r="CF27" s="278"/>
      <c r="CG27" s="278"/>
      <c r="CH27" s="278"/>
      <c r="CI27" s="278"/>
      <c r="CJ27" s="278"/>
      <c r="CK27" s="278"/>
      <c r="CL27" s="278"/>
      <c r="CM27" s="279"/>
    </row>
    <row r="28" spans="2:93" ht="15.95" customHeight="1" thickTop="1" thickBot="1">
      <c r="B28" s="270"/>
      <c r="C28" s="273"/>
      <c r="D28" s="274"/>
      <c r="E28" s="274"/>
      <c r="F28" s="274"/>
      <c r="G28" s="273"/>
      <c r="H28" s="274"/>
      <c r="I28" s="274"/>
      <c r="J28" s="274"/>
      <c r="K28" s="274"/>
      <c r="L28" s="274"/>
      <c r="M28" s="274"/>
      <c r="N28" s="274"/>
      <c r="O28" s="273"/>
      <c r="P28" s="271"/>
      <c r="Q28" s="271"/>
      <c r="R28" s="271"/>
      <c r="S28" s="271"/>
      <c r="T28" s="271"/>
      <c r="U28" s="271"/>
      <c r="V28" s="271"/>
      <c r="W28" s="271"/>
      <c r="X28" s="271"/>
      <c r="Y28" s="271"/>
      <c r="Z28" s="271"/>
      <c r="AA28" s="271"/>
      <c r="AB28" s="271"/>
      <c r="AC28" s="271"/>
      <c r="AD28" s="271"/>
      <c r="AE28" s="271"/>
      <c r="AF28" s="271"/>
      <c r="AG28" s="271"/>
      <c r="AH28" s="271"/>
      <c r="AI28" s="271"/>
      <c r="AJ28" s="271"/>
      <c r="AK28" s="271"/>
      <c r="AL28" s="271"/>
      <c r="AM28" s="271"/>
      <c r="AN28" s="271"/>
      <c r="AO28" s="271"/>
      <c r="AP28" s="271"/>
      <c r="AQ28" s="271"/>
      <c r="AR28" s="271"/>
      <c r="AS28" s="271"/>
      <c r="AT28" s="271"/>
      <c r="AU28" s="271"/>
      <c r="AV28" s="271"/>
      <c r="AW28" s="271"/>
      <c r="AX28" s="271"/>
      <c r="AY28" s="271"/>
      <c r="AZ28" s="271"/>
      <c r="BA28" s="271"/>
      <c r="BB28" s="271"/>
      <c r="BC28" s="271"/>
      <c r="BD28" s="271"/>
      <c r="BE28" s="271"/>
      <c r="BF28" s="271"/>
      <c r="BG28" s="271"/>
      <c r="BH28" s="271"/>
      <c r="BI28" s="271"/>
      <c r="BJ28" s="271"/>
      <c r="BK28" s="271"/>
      <c r="BL28" s="271"/>
      <c r="BM28" s="271"/>
      <c r="BN28" s="271"/>
      <c r="BO28" s="271"/>
      <c r="BP28" s="271"/>
      <c r="BQ28" s="271"/>
      <c r="BR28" s="271"/>
      <c r="BS28" s="271"/>
      <c r="BT28" s="271"/>
      <c r="BU28" s="271"/>
      <c r="BV28" s="271"/>
      <c r="BW28" s="271"/>
      <c r="BX28" s="271"/>
      <c r="BY28" s="271"/>
      <c r="BZ28" s="271"/>
      <c r="CA28" s="271"/>
      <c r="CB28" s="271"/>
      <c r="CC28" s="271"/>
      <c r="CD28" s="271"/>
      <c r="CE28" s="271"/>
      <c r="CF28" s="271"/>
      <c r="CG28" s="271"/>
      <c r="CH28" s="271"/>
      <c r="CI28" s="271"/>
      <c r="CJ28" s="271"/>
      <c r="CK28" s="271"/>
      <c r="CL28" s="271"/>
      <c r="CM28" s="272"/>
    </row>
    <row r="29" spans="2:93" ht="15.95" customHeight="1">
      <c r="B29" s="26"/>
      <c r="C29" s="229" t="s">
        <v>1509</v>
      </c>
      <c r="E29" s="227"/>
      <c r="F29" s="227"/>
      <c r="G29" s="227"/>
      <c r="H29" s="227"/>
      <c r="I29" s="227"/>
      <c r="J29" s="227"/>
      <c r="K29" s="296"/>
      <c r="L29" s="296"/>
      <c r="M29" s="296"/>
      <c r="N29" s="296"/>
      <c r="O29" s="296"/>
      <c r="P29" s="296"/>
      <c r="Q29" s="296"/>
      <c r="R29" s="296"/>
      <c r="S29" s="296"/>
      <c r="T29" s="296"/>
      <c r="U29" s="296"/>
      <c r="V29" s="296"/>
      <c r="W29" s="296"/>
      <c r="X29" s="296"/>
      <c r="Y29" s="296"/>
      <c r="Z29" s="296"/>
      <c r="AA29" s="296"/>
      <c r="AB29" s="296"/>
      <c r="AC29" s="296"/>
      <c r="AD29" s="296"/>
      <c r="AE29" s="296"/>
      <c r="AF29" s="296"/>
      <c r="AG29" s="296"/>
      <c r="AH29" s="296"/>
      <c r="AI29" s="296"/>
      <c r="AJ29" s="296"/>
      <c r="AK29" s="296"/>
      <c r="AM29" s="1723" t="s">
        <v>1756</v>
      </c>
      <c r="AN29" s="1724"/>
      <c r="AO29" s="1724"/>
      <c r="AP29" s="1724"/>
      <c r="AQ29" s="1724"/>
      <c r="AR29" s="1724"/>
      <c r="AS29" s="1724"/>
      <c r="AT29" s="1724"/>
      <c r="AU29" s="1724"/>
      <c r="AV29" s="1724"/>
      <c r="AW29" s="1724"/>
      <c r="AX29" s="1724"/>
      <c r="AY29" s="1724"/>
      <c r="AZ29" s="1724"/>
      <c r="BA29" s="1724"/>
      <c r="BB29" s="1724"/>
      <c r="BC29" s="1724"/>
      <c r="BD29" s="1724"/>
      <c r="BE29" s="1724"/>
      <c r="BF29" s="1724"/>
      <c r="BH29" s="1704" t="s">
        <v>1694</v>
      </c>
      <c r="BI29" s="1705"/>
      <c r="BJ29" s="1705"/>
      <c r="BK29" s="1705"/>
      <c r="BL29" s="1705"/>
      <c r="BM29" s="1705"/>
      <c r="BN29" s="1705"/>
      <c r="BO29" s="1705"/>
      <c r="BP29" s="1705"/>
      <c r="BQ29" s="1705"/>
      <c r="BR29" s="1705"/>
      <c r="BS29" s="59"/>
      <c r="BT29" s="59"/>
      <c r="BU29" s="59"/>
      <c r="BV29" s="59"/>
      <c r="BW29" s="59"/>
      <c r="BX29" s="59"/>
      <c r="BY29" s="59"/>
      <c r="BZ29" s="59"/>
      <c r="CA29" s="59"/>
      <c r="CB29" s="59"/>
      <c r="CC29" s="59"/>
      <c r="CD29" s="59"/>
      <c r="CE29" s="59"/>
      <c r="CF29" s="59"/>
      <c r="CG29" s="59"/>
      <c r="CH29" s="59"/>
      <c r="CI29" s="58"/>
      <c r="CJ29" s="58"/>
      <c r="CK29" s="58"/>
      <c r="CL29" s="79"/>
      <c r="CM29" s="28"/>
    </row>
    <row r="30" spans="2:93" ht="3.95" customHeight="1">
      <c r="B30" s="26"/>
      <c r="K30" s="296"/>
      <c r="L30" s="296"/>
      <c r="M30" s="296"/>
      <c r="N30" s="296"/>
      <c r="O30" s="296"/>
      <c r="P30" s="296"/>
      <c r="Q30" s="296"/>
      <c r="R30" s="296"/>
      <c r="S30" s="296"/>
      <c r="T30" s="296"/>
      <c r="U30" s="296"/>
      <c r="V30" s="296"/>
      <c r="W30" s="296"/>
      <c r="X30" s="296"/>
      <c r="Y30" s="296"/>
      <c r="Z30" s="296"/>
      <c r="AA30" s="296"/>
      <c r="AB30" s="296"/>
      <c r="AC30" s="296"/>
      <c r="AD30" s="296"/>
      <c r="AE30" s="296"/>
      <c r="AF30" s="296"/>
      <c r="AG30" s="296"/>
      <c r="AH30" s="296"/>
      <c r="AI30" s="296"/>
      <c r="AJ30" s="296"/>
      <c r="AK30" s="296"/>
      <c r="AM30" s="1725"/>
      <c r="AN30" s="1726"/>
      <c r="AO30" s="1726"/>
      <c r="AP30" s="1726"/>
      <c r="AQ30" s="1726"/>
      <c r="AR30" s="1726"/>
      <c r="AS30" s="1726"/>
      <c r="AT30" s="1726"/>
      <c r="AU30" s="1726"/>
      <c r="AV30" s="1726"/>
      <c r="AW30" s="1726"/>
      <c r="AX30" s="1726"/>
      <c r="AY30" s="1726"/>
      <c r="AZ30" s="1726"/>
      <c r="BA30" s="1726"/>
      <c r="BB30" s="1726"/>
      <c r="BC30" s="1726"/>
      <c r="BD30" s="1726"/>
      <c r="BE30" s="1726"/>
      <c r="BF30" s="1726"/>
      <c r="BH30" s="232"/>
      <c r="BI30" s="27"/>
      <c r="BJ30" s="27"/>
      <c r="BK30" s="27"/>
      <c r="BL30" s="27"/>
      <c r="BM30" s="27"/>
      <c r="BN30" s="27"/>
      <c r="BO30" s="27"/>
      <c r="BP30" s="27"/>
      <c r="BQ30" s="27"/>
      <c r="BR30" s="27"/>
      <c r="BS30" s="27"/>
      <c r="BT30" s="27"/>
      <c r="BU30" s="27"/>
      <c r="BV30" s="27"/>
      <c r="BW30" s="27"/>
      <c r="BX30" s="27"/>
      <c r="BY30" s="27"/>
      <c r="BZ30" s="27"/>
      <c r="CA30" s="27"/>
      <c r="CB30" s="27"/>
      <c r="CC30" s="27"/>
      <c r="CD30" s="27"/>
      <c r="CE30" s="27"/>
      <c r="CF30" s="27"/>
      <c r="CG30" s="27"/>
      <c r="CH30" s="27"/>
      <c r="CI30" s="27"/>
      <c r="CJ30" s="27"/>
      <c r="CK30" s="27"/>
      <c r="CL30" s="60"/>
      <c r="CM30" s="28"/>
    </row>
    <row r="31" spans="2:93" ht="15.95" customHeight="1">
      <c r="B31" s="26"/>
      <c r="C31" s="1731">
        <v>1</v>
      </c>
      <c r="D31" s="1731"/>
      <c r="E31" s="1731"/>
      <c r="F31" s="1731"/>
      <c r="G31" s="1731"/>
      <c r="H31" s="1731"/>
      <c r="I31" s="1731"/>
      <c r="K31" s="234" t="s">
        <v>1246</v>
      </c>
      <c r="L31" s="296"/>
      <c r="M31" s="296"/>
      <c r="N31" s="296"/>
      <c r="O31" s="296"/>
      <c r="P31" s="296"/>
      <c r="Q31" s="296"/>
      <c r="R31" s="296"/>
      <c r="S31" s="235" t="s">
        <v>5</v>
      </c>
      <c r="AM31" s="1725"/>
      <c r="AN31" s="1726"/>
      <c r="AO31" s="1726"/>
      <c r="AP31" s="1726"/>
      <c r="AQ31" s="1726"/>
      <c r="AR31" s="1726"/>
      <c r="AS31" s="1726"/>
      <c r="AT31" s="1726"/>
      <c r="AU31" s="1726"/>
      <c r="AV31" s="1726"/>
      <c r="AW31" s="1726"/>
      <c r="AX31" s="1726"/>
      <c r="AY31" s="1726"/>
      <c r="AZ31" s="1726"/>
      <c r="BA31" s="1726"/>
      <c r="BB31" s="1726"/>
      <c r="BC31" s="1726"/>
      <c r="BD31" s="1726"/>
      <c r="BE31" s="1726"/>
      <c r="BF31" s="1726"/>
      <c r="BH31" s="232"/>
      <c r="BI31" s="1727" t="s">
        <v>1695</v>
      </c>
      <c r="BJ31" s="1727"/>
      <c r="BK31" s="1727"/>
      <c r="BL31" s="1727"/>
      <c r="BM31" s="1727"/>
      <c r="BN31" s="1727"/>
      <c r="BO31" s="1727"/>
      <c r="BP31" s="1727"/>
      <c r="BQ31" s="1727"/>
      <c r="BR31" s="1727"/>
      <c r="BS31" s="1727"/>
      <c r="BT31" s="1727"/>
      <c r="BU31" s="1727"/>
      <c r="BV31" s="1727"/>
      <c r="BW31" s="1727"/>
      <c r="BX31" s="1727"/>
      <c r="BY31" s="1727"/>
      <c r="BZ31" s="1727"/>
      <c r="CA31" s="1727"/>
      <c r="CB31" s="1727"/>
      <c r="CC31" s="1727"/>
      <c r="CD31" s="1727"/>
      <c r="CE31" s="1727"/>
      <c r="CF31" s="1727"/>
      <c r="CG31" s="1727"/>
      <c r="CH31" s="1727"/>
      <c r="CI31" s="1727"/>
      <c r="CJ31" s="1727"/>
      <c r="CK31" s="1727"/>
      <c r="CL31" s="60"/>
      <c r="CM31" s="28"/>
      <c r="CO31" s="285">
        <f>IF(R33="BANGUNAN GUDANG",1,0)</f>
        <v>0</v>
      </c>
    </row>
    <row r="32" spans="2:93" ht="3.95" customHeight="1" thickBot="1">
      <c r="B32" s="26"/>
      <c r="C32" s="1731"/>
      <c r="D32" s="1731"/>
      <c r="E32" s="1731"/>
      <c r="F32" s="1731"/>
      <c r="G32" s="1731"/>
      <c r="H32" s="1731"/>
      <c r="I32" s="1731"/>
      <c r="K32" s="296"/>
      <c r="L32" s="296"/>
      <c r="M32" s="296"/>
      <c r="N32" s="296"/>
      <c r="O32" s="296"/>
      <c r="P32" s="296"/>
      <c r="Q32" s="296"/>
      <c r="R32" s="296"/>
      <c r="S32" s="296"/>
      <c r="T32" s="296"/>
      <c r="U32" s="296"/>
      <c r="V32" s="296"/>
      <c r="W32" s="296"/>
      <c r="X32" s="296"/>
      <c r="Y32" s="296"/>
      <c r="Z32" s="296"/>
      <c r="AA32" s="296"/>
      <c r="AB32" s="296"/>
      <c r="AC32" s="296"/>
      <c r="AD32" s="296"/>
      <c r="AE32" s="296"/>
      <c r="AF32" s="296"/>
      <c r="AG32" s="296"/>
      <c r="AH32" s="296"/>
      <c r="AI32" s="296"/>
      <c r="AJ32" s="296"/>
      <c r="AK32" s="296"/>
      <c r="AM32" s="1725"/>
      <c r="AN32" s="1726"/>
      <c r="AO32" s="1726"/>
      <c r="AP32" s="1726"/>
      <c r="AQ32" s="1726"/>
      <c r="AR32" s="1726"/>
      <c r="AS32" s="1726"/>
      <c r="AT32" s="1726"/>
      <c r="AU32" s="1726"/>
      <c r="AV32" s="1726"/>
      <c r="AW32" s="1726"/>
      <c r="AX32" s="1726"/>
      <c r="AY32" s="1726"/>
      <c r="AZ32" s="1726"/>
      <c r="BA32" s="1726"/>
      <c r="BB32" s="1726"/>
      <c r="BC32" s="1726"/>
      <c r="BD32" s="1726"/>
      <c r="BE32" s="1726"/>
      <c r="BF32" s="1726"/>
      <c r="BH32" s="232"/>
      <c r="BI32" s="1727"/>
      <c r="BJ32" s="1727"/>
      <c r="BK32" s="1727"/>
      <c r="BL32" s="1727"/>
      <c r="BM32" s="1727"/>
      <c r="BN32" s="1727"/>
      <c r="BO32" s="1727"/>
      <c r="BP32" s="1727"/>
      <c r="BQ32" s="1727"/>
      <c r="BR32" s="1727"/>
      <c r="BS32" s="1727"/>
      <c r="BT32" s="1727"/>
      <c r="BU32" s="1727"/>
      <c r="BV32" s="1727"/>
      <c r="BW32" s="1727"/>
      <c r="BX32" s="1727"/>
      <c r="BY32" s="1727"/>
      <c r="BZ32" s="1727"/>
      <c r="CA32" s="1727"/>
      <c r="CB32" s="1727"/>
      <c r="CC32" s="1727"/>
      <c r="CD32" s="1727"/>
      <c r="CE32" s="1727"/>
      <c r="CF32" s="1727"/>
      <c r="CG32" s="1727"/>
      <c r="CH32" s="1727"/>
      <c r="CI32" s="1727"/>
      <c r="CJ32" s="1727"/>
      <c r="CK32" s="1727"/>
      <c r="CL32" s="60"/>
      <c r="CM32" s="28"/>
    </row>
    <row r="33" spans="2:93" ht="15.95" customHeight="1">
      <c r="B33" s="26"/>
      <c r="C33" s="1731"/>
      <c r="D33" s="1731"/>
      <c r="E33" s="1731"/>
      <c r="F33" s="1731"/>
      <c r="G33" s="1731"/>
      <c r="H33" s="1731"/>
      <c r="I33" s="1731"/>
      <c r="R33" s="1697" t="s">
        <v>1417</v>
      </c>
      <c r="S33" s="1698"/>
      <c r="T33" s="1698"/>
      <c r="U33" s="1698"/>
      <c r="V33" s="1698"/>
      <c r="W33" s="1698"/>
      <c r="X33" s="1698"/>
      <c r="Y33" s="1698"/>
      <c r="Z33" s="1698"/>
      <c r="AA33" s="1698"/>
      <c r="AB33" s="1698"/>
      <c r="AC33" s="1698"/>
      <c r="AD33" s="1698"/>
      <c r="AE33" s="1698"/>
      <c r="AF33" s="1698"/>
      <c r="AG33" s="1698"/>
      <c r="AH33" s="1698"/>
      <c r="AI33" s="1698"/>
      <c r="AJ33" s="1698"/>
      <c r="AK33" s="1698"/>
      <c r="AM33" s="1725"/>
      <c r="AN33" s="1726"/>
      <c r="AO33" s="1726"/>
      <c r="AP33" s="1726"/>
      <c r="AQ33" s="1726"/>
      <c r="AR33" s="1726"/>
      <c r="AS33" s="1726"/>
      <c r="AT33" s="1726"/>
      <c r="AU33" s="1726"/>
      <c r="AV33" s="1726"/>
      <c r="AW33" s="1726"/>
      <c r="AX33" s="1726"/>
      <c r="AY33" s="1726"/>
      <c r="AZ33" s="1726"/>
      <c r="BA33" s="1726"/>
      <c r="BB33" s="1726"/>
      <c r="BC33" s="1726"/>
      <c r="BD33" s="1726"/>
      <c r="BE33" s="1726"/>
      <c r="BF33" s="1726"/>
      <c r="BH33" s="232"/>
      <c r="CL33" s="60"/>
      <c r="CM33" s="28"/>
      <c r="CO33" s="285" t="str">
        <f>VLOOKUP(R33,SOURCE!$BA$5:$BB$12,2,FALSE)</f>
        <v>INDEKS_MATERIAL_RT_SDN</v>
      </c>
    </row>
    <row r="34" spans="2:93" ht="3.95" customHeight="1" thickBot="1">
      <c r="B34" s="26"/>
      <c r="C34" s="1731"/>
      <c r="D34" s="1731"/>
      <c r="E34" s="1731"/>
      <c r="F34" s="1731"/>
      <c r="G34" s="1731"/>
      <c r="H34" s="1731"/>
      <c r="I34" s="1731"/>
      <c r="K34" s="27"/>
      <c r="L34" s="27"/>
      <c r="AM34" s="1725"/>
      <c r="AN34" s="1726"/>
      <c r="AO34" s="1726"/>
      <c r="AP34" s="1726"/>
      <c r="AQ34" s="1726"/>
      <c r="AR34" s="1726"/>
      <c r="AS34" s="1726"/>
      <c r="AT34" s="1726"/>
      <c r="AU34" s="1726"/>
      <c r="AV34" s="1726"/>
      <c r="AW34" s="1726"/>
      <c r="AX34" s="1726"/>
      <c r="AY34" s="1726"/>
      <c r="AZ34" s="1726"/>
      <c r="BA34" s="1726"/>
      <c r="BB34" s="1726"/>
      <c r="BC34" s="1726"/>
      <c r="BD34" s="1726"/>
      <c r="BE34" s="1726"/>
      <c r="BF34" s="1726"/>
      <c r="BH34" s="232"/>
      <c r="CL34" s="60"/>
      <c r="CM34" s="28"/>
    </row>
    <row r="35" spans="2:93" ht="15.95" customHeight="1">
      <c r="B35" s="26"/>
      <c r="C35" s="1731"/>
      <c r="D35" s="1731"/>
      <c r="E35" s="1731"/>
      <c r="F35" s="1731"/>
      <c r="G35" s="1731"/>
      <c r="H35" s="1731"/>
      <c r="I35" s="1731"/>
      <c r="K35" s="48" t="s">
        <v>1194</v>
      </c>
      <c r="M35" s="52" t="s">
        <v>1506</v>
      </c>
      <c r="W35" s="53" t="s">
        <v>5</v>
      </c>
      <c r="X35" s="1702">
        <v>1</v>
      </c>
      <c r="Y35" s="1703"/>
      <c r="Z35" s="1703"/>
      <c r="AA35" s="1703"/>
      <c r="AB35" s="1703"/>
      <c r="AC35" s="1703"/>
      <c r="AD35" s="1703"/>
      <c r="AE35" s="1703"/>
      <c r="AF35" s="1703"/>
      <c r="AG35" s="1703"/>
      <c r="AH35" s="1703"/>
      <c r="AI35" s="1703"/>
      <c r="AJ35" s="1703"/>
      <c r="AK35" s="1703"/>
      <c r="AM35" s="1725"/>
      <c r="AN35" s="1726"/>
      <c r="AO35" s="1726"/>
      <c r="AP35" s="1726"/>
      <c r="AQ35" s="1726"/>
      <c r="AR35" s="1726"/>
      <c r="AS35" s="1726"/>
      <c r="AT35" s="1726"/>
      <c r="AU35" s="1726"/>
      <c r="AV35" s="1726"/>
      <c r="AW35" s="1726"/>
      <c r="AX35" s="1726"/>
      <c r="AY35" s="1726"/>
      <c r="AZ35" s="1726"/>
      <c r="BA35" s="1726"/>
      <c r="BB35" s="1726"/>
      <c r="BC35" s="1726"/>
      <c r="BD35" s="1726"/>
      <c r="BE35" s="1726"/>
      <c r="BF35" s="1726"/>
      <c r="BH35" s="232"/>
      <c r="BI35" s="236" t="s">
        <v>1194</v>
      </c>
      <c r="BJ35" s="51" t="s">
        <v>1390</v>
      </c>
      <c r="BK35" s="51"/>
      <c r="BL35" s="51"/>
      <c r="BM35" s="27"/>
      <c r="BN35" s="27"/>
      <c r="BO35" s="27"/>
      <c r="BP35" s="27"/>
      <c r="BQ35" s="27"/>
      <c r="BR35" s="27"/>
      <c r="BS35" s="27"/>
      <c r="BT35" s="27"/>
      <c r="BU35" s="53" t="s">
        <v>5</v>
      </c>
      <c r="BV35" s="27"/>
      <c r="BW35" s="27"/>
      <c r="BX35" s="27"/>
      <c r="BY35" s="27"/>
      <c r="BZ35" s="27"/>
      <c r="CA35" s="27"/>
      <c r="CB35" s="27"/>
      <c r="CC35" s="27"/>
      <c r="CD35" s="27"/>
      <c r="CE35" s="27"/>
      <c r="CF35" s="27"/>
      <c r="CG35" s="27"/>
      <c r="CH35" s="27"/>
      <c r="CI35" s="27"/>
      <c r="CJ35" s="27"/>
      <c r="CK35" s="27"/>
      <c r="CL35" s="60"/>
      <c r="CM35" s="28"/>
      <c r="CO35" s="294">
        <f>IF(R33="BANGUNAN RUMAH TINGGAL MEWAH",(VLOOKUP(X35,SOURCE!$EH$5:$EN$45,2)),IF(R33="BANGUNAN RUMAH TINGGAL MENENGAH",(VLOOKUP(X35,SOURCE!$EH$5:$EN$45,3)),IF(R33="BANGUNAN RUMAH TINGGAL SEDERHANA",(VLOOKUP(X35,SOURCE!$EH$5:$EN$45,4)),IF(R33="BANGUNAN GEDUNG MAKSIMAL 4 LANTAI",(VLOOKUP(X35,SOURCE!$EH$5:$EN$45,5)),IF(R33="BANGUNAN GEDUNG MAKSIMAL 8 LANTAI",(VLOOKUP(X35,SOURCE!$EH$5:$EN$45,6)),IF(R33="BANGUNAN GEDUNG MINIMAL 9 LANTAI",(VLOOKUP(X35,SOURCE!$EH$5:$EN$45,7)),1))))))</f>
        <v>1</v>
      </c>
    </row>
    <row r="36" spans="2:93" ht="3.95" customHeight="1" thickBot="1">
      <c r="B36" s="26"/>
      <c r="C36" s="230"/>
      <c r="D36" s="230"/>
      <c r="E36" s="230"/>
      <c r="F36" s="230"/>
      <c r="G36" s="230"/>
      <c r="H36" s="230"/>
      <c r="I36" s="230"/>
      <c r="K36" s="27"/>
      <c r="L36" s="27"/>
      <c r="AM36" s="1725"/>
      <c r="AN36" s="1726"/>
      <c r="AO36" s="1726"/>
      <c r="AP36" s="1726"/>
      <c r="AQ36" s="1726"/>
      <c r="AR36" s="1726"/>
      <c r="AS36" s="1726"/>
      <c r="AT36" s="1726"/>
      <c r="AU36" s="1726"/>
      <c r="AV36" s="1726"/>
      <c r="AW36" s="1726"/>
      <c r="AX36" s="1726"/>
      <c r="AY36" s="1726"/>
      <c r="AZ36" s="1726"/>
      <c r="BA36" s="1726"/>
      <c r="BB36" s="1726"/>
      <c r="BC36" s="1726"/>
      <c r="BD36" s="1726"/>
      <c r="BE36" s="1726"/>
      <c r="BF36" s="1726"/>
      <c r="BH36" s="232"/>
      <c r="BI36" s="27"/>
      <c r="BJ36" s="27"/>
      <c r="BK36" s="27"/>
      <c r="BL36" s="27"/>
      <c r="BM36" s="27"/>
      <c r="BN36" s="27"/>
      <c r="BO36" s="27"/>
      <c r="BP36" s="27"/>
      <c r="BQ36" s="27"/>
      <c r="BR36" s="27"/>
      <c r="BS36" s="27"/>
      <c r="BT36" s="27"/>
      <c r="BU36" s="27"/>
      <c r="BV36" s="27"/>
      <c r="BW36" s="27"/>
      <c r="BX36" s="27"/>
      <c r="BY36" s="27"/>
      <c r="BZ36" s="27"/>
      <c r="CA36" s="27"/>
      <c r="CB36" s="27"/>
      <c r="CC36" s="27"/>
      <c r="CD36" s="27"/>
      <c r="CE36" s="27"/>
      <c r="CF36" s="27"/>
      <c r="CG36" s="27"/>
      <c r="CH36" s="27"/>
      <c r="CI36" s="27"/>
      <c r="CJ36" s="27"/>
      <c r="CK36" s="27"/>
      <c r="CL36" s="60"/>
      <c r="CM36" s="28"/>
    </row>
    <row r="37" spans="2:93" ht="15.95" customHeight="1">
      <c r="B37" s="26"/>
      <c r="C37" s="231"/>
      <c r="D37" s="231"/>
      <c r="E37" s="231"/>
      <c r="F37" s="231"/>
      <c r="G37" s="231"/>
      <c r="H37" s="231"/>
      <c r="I37" s="231"/>
      <c r="K37" s="48" t="s">
        <v>1194</v>
      </c>
      <c r="M37" s="52" t="s">
        <v>1762</v>
      </c>
      <c r="N37" s="52"/>
      <c r="O37" s="52"/>
      <c r="P37" s="52"/>
      <c r="Q37" s="52"/>
      <c r="R37" s="52"/>
      <c r="W37" s="53" t="s">
        <v>5</v>
      </c>
      <c r="X37" s="1744">
        <v>2018</v>
      </c>
      <c r="Y37" s="1745"/>
      <c r="Z37" s="1745"/>
      <c r="AA37" s="1745"/>
      <c r="AB37" s="1745"/>
      <c r="AC37" s="1745"/>
      <c r="AM37" s="1725"/>
      <c r="AN37" s="1726"/>
      <c r="AO37" s="1726"/>
      <c r="AP37" s="1726"/>
      <c r="AQ37" s="1726"/>
      <c r="AR37" s="1726"/>
      <c r="AS37" s="1726"/>
      <c r="AT37" s="1726"/>
      <c r="AU37" s="1726"/>
      <c r="AV37" s="1726"/>
      <c r="AW37" s="1726"/>
      <c r="AX37" s="1726"/>
      <c r="AY37" s="1726"/>
      <c r="AZ37" s="1726"/>
      <c r="BA37" s="1726"/>
      <c r="BB37" s="1726"/>
      <c r="BC37" s="1726"/>
      <c r="BD37" s="1726"/>
      <c r="BE37" s="1726"/>
      <c r="BF37" s="1726"/>
      <c r="BH37" s="232"/>
      <c r="BI37" s="27"/>
      <c r="BJ37" s="1697" t="s">
        <v>1282</v>
      </c>
      <c r="BK37" s="1698"/>
      <c r="BL37" s="1698"/>
      <c r="BM37" s="1698"/>
      <c r="BN37" s="1698"/>
      <c r="BO37" s="1698"/>
      <c r="BP37" s="1698"/>
      <c r="BQ37" s="1698"/>
      <c r="BR37" s="1698"/>
      <c r="BS37" s="1698"/>
      <c r="BT37" s="1698"/>
      <c r="BU37" s="1698"/>
      <c r="BV37" s="1698"/>
      <c r="BW37" s="1698"/>
      <c r="BX37" s="1698"/>
      <c r="BY37" s="1698"/>
      <c r="BZ37" s="1698"/>
      <c r="CA37" s="1698"/>
      <c r="CB37" s="1698"/>
      <c r="CC37" s="1698"/>
      <c r="CD37" s="1698"/>
      <c r="CE37" s="1698"/>
      <c r="CF37" s="1698"/>
      <c r="CG37" s="1698"/>
      <c r="CH37" s="1698"/>
      <c r="CI37" s="1698"/>
      <c r="CJ37" s="1698"/>
      <c r="CK37" s="1698"/>
      <c r="CL37" s="60"/>
      <c r="CM37" s="28"/>
      <c r="CO37" s="285" t="str">
        <f>VLOOKUP(BJ37,SOURCE!AU:AV,2,FALSE)</f>
        <v>UEKO_BGN_RUMAH_TINGGAL</v>
      </c>
    </row>
    <row r="38" spans="2:93" ht="3.95" customHeight="1" thickBot="1">
      <c r="B38" s="26"/>
      <c r="C38" s="52"/>
      <c r="D38" s="52"/>
      <c r="E38" s="52"/>
      <c r="F38" s="53"/>
      <c r="G38" s="52"/>
      <c r="H38" s="52"/>
      <c r="I38" s="52"/>
      <c r="K38" s="296"/>
      <c r="L38" s="296"/>
      <c r="M38" s="296"/>
      <c r="N38" s="296"/>
      <c r="O38" s="296"/>
      <c r="P38" s="296"/>
      <c r="Q38" s="296"/>
      <c r="R38" s="296"/>
      <c r="S38" s="296"/>
      <c r="T38" s="296"/>
      <c r="U38" s="296"/>
      <c r="V38" s="296"/>
      <c r="W38" s="296"/>
      <c r="X38" s="296"/>
      <c r="Y38" s="296"/>
      <c r="Z38" s="296"/>
      <c r="AA38" s="296"/>
      <c r="AB38" s="296"/>
      <c r="AC38" s="296"/>
      <c r="AD38" s="296"/>
      <c r="AE38" s="296"/>
      <c r="AF38" s="296"/>
      <c r="AG38" s="296"/>
      <c r="AH38" s="296"/>
      <c r="AI38" s="296"/>
      <c r="AJ38" s="296"/>
      <c r="AK38" s="296"/>
      <c r="AM38" s="1725"/>
      <c r="AN38" s="1726"/>
      <c r="AO38" s="1726"/>
      <c r="AP38" s="1726"/>
      <c r="AQ38" s="1726"/>
      <c r="AR38" s="1726"/>
      <c r="AS38" s="1726"/>
      <c r="AT38" s="1726"/>
      <c r="AU38" s="1726"/>
      <c r="AV38" s="1726"/>
      <c r="AW38" s="1726"/>
      <c r="AX38" s="1726"/>
      <c r="AY38" s="1726"/>
      <c r="AZ38" s="1726"/>
      <c r="BA38" s="1726"/>
      <c r="BB38" s="1726"/>
      <c r="BC38" s="1726"/>
      <c r="BD38" s="1726"/>
      <c r="BE38" s="1726"/>
      <c r="BF38" s="1726"/>
      <c r="BH38" s="232"/>
      <c r="BI38" s="27"/>
      <c r="BJ38" s="27"/>
      <c r="BK38" s="27"/>
      <c r="BL38" s="27"/>
      <c r="BM38" s="27"/>
      <c r="BN38" s="27"/>
      <c r="BO38" s="27"/>
      <c r="BP38" s="27"/>
      <c r="BQ38" s="27"/>
      <c r="BR38" s="27"/>
      <c r="BS38" s="27"/>
      <c r="BT38" s="27"/>
      <c r="BU38" s="27"/>
      <c r="BV38" s="27"/>
      <c r="BW38" s="27"/>
      <c r="BX38" s="27"/>
      <c r="BY38" s="27"/>
      <c r="BZ38" s="27"/>
      <c r="CA38" s="27"/>
      <c r="CB38" s="27"/>
      <c r="CC38" s="27"/>
      <c r="CD38" s="27"/>
      <c r="CE38" s="27"/>
      <c r="CF38" s="27"/>
      <c r="CG38" s="27"/>
      <c r="CH38" s="27"/>
      <c r="CI38" s="27"/>
      <c r="CJ38" s="27"/>
      <c r="CK38" s="27"/>
      <c r="CL38" s="60"/>
      <c r="CM38" s="28"/>
    </row>
    <row r="39" spans="2:93" ht="15.95" customHeight="1">
      <c r="B39" s="26"/>
      <c r="C39" s="228"/>
      <c r="D39" s="228"/>
      <c r="E39" s="228"/>
      <c r="F39" s="228"/>
      <c r="G39" s="228"/>
      <c r="H39" s="228"/>
      <c r="I39" s="228"/>
      <c r="K39" s="48" t="s">
        <v>1194</v>
      </c>
      <c r="M39" s="52" t="s">
        <v>1519</v>
      </c>
      <c r="N39" s="52"/>
      <c r="O39" s="52"/>
      <c r="P39" s="52"/>
      <c r="Q39" s="52"/>
      <c r="R39" s="52"/>
      <c r="W39" s="53" t="s">
        <v>5</v>
      </c>
      <c r="X39" s="1740">
        <v>2010</v>
      </c>
      <c r="Y39" s="1741"/>
      <c r="Z39" s="1741"/>
      <c r="AA39" s="1741"/>
      <c r="AB39" s="1741"/>
      <c r="AC39" s="1741"/>
      <c r="AD39" s="296"/>
      <c r="AE39" s="296"/>
      <c r="AF39" s="296"/>
      <c r="AG39" s="296"/>
      <c r="AH39" s="296"/>
      <c r="AI39" s="296"/>
      <c r="AJ39" s="296"/>
      <c r="AK39" s="296"/>
      <c r="AM39" s="1725"/>
      <c r="AN39" s="1726"/>
      <c r="AO39" s="1726"/>
      <c r="AP39" s="1726"/>
      <c r="AQ39" s="1726"/>
      <c r="AR39" s="1726"/>
      <c r="AS39" s="1726"/>
      <c r="AT39" s="1726"/>
      <c r="AU39" s="1726"/>
      <c r="AV39" s="1726"/>
      <c r="AW39" s="1726"/>
      <c r="AX39" s="1726"/>
      <c r="AY39" s="1726"/>
      <c r="AZ39" s="1726"/>
      <c r="BA39" s="1726"/>
      <c r="BB39" s="1726"/>
      <c r="BC39" s="1726"/>
      <c r="BD39" s="1726"/>
      <c r="BE39" s="1726"/>
      <c r="BF39" s="1726"/>
      <c r="BH39" s="232"/>
      <c r="BI39" s="236" t="s">
        <v>1194</v>
      </c>
      <c r="BJ39" s="51" t="s">
        <v>1400</v>
      </c>
      <c r="BK39" s="27"/>
      <c r="BL39" s="27"/>
      <c r="BM39" s="27"/>
      <c r="BN39" s="27"/>
      <c r="BO39" s="27"/>
      <c r="BP39" s="27"/>
      <c r="BQ39" s="27"/>
      <c r="BR39" s="27"/>
      <c r="BS39" s="27"/>
      <c r="BT39" s="27"/>
      <c r="BU39" s="53" t="s">
        <v>5</v>
      </c>
      <c r="BV39" s="27"/>
      <c r="BW39" s="27"/>
      <c r="BX39" s="27"/>
      <c r="BY39" s="27"/>
      <c r="BZ39" s="27"/>
      <c r="CA39" s="27"/>
      <c r="CB39" s="27"/>
      <c r="CC39" s="27"/>
      <c r="CD39" s="27"/>
      <c r="CE39" s="27"/>
      <c r="CF39" s="27"/>
      <c r="CG39" s="27"/>
      <c r="CH39" s="27"/>
      <c r="CI39" s="27"/>
      <c r="CJ39" s="27"/>
      <c r="CK39" s="27"/>
      <c r="CL39" s="60"/>
      <c r="CM39" s="28"/>
    </row>
    <row r="40" spans="2:93" ht="3.95" customHeight="1" thickBot="1">
      <c r="B40" s="26"/>
      <c r="C40" s="52"/>
      <c r="D40" s="52"/>
      <c r="E40" s="52"/>
      <c r="F40" s="53"/>
      <c r="G40" s="52"/>
      <c r="H40" s="52"/>
      <c r="I40" s="52"/>
      <c r="K40" s="27"/>
      <c r="L40" s="27"/>
      <c r="AM40" s="1725"/>
      <c r="AN40" s="1726"/>
      <c r="AO40" s="1726"/>
      <c r="AP40" s="1726"/>
      <c r="AQ40" s="1726"/>
      <c r="AR40" s="1726"/>
      <c r="AS40" s="1726"/>
      <c r="AT40" s="1726"/>
      <c r="AU40" s="1726"/>
      <c r="AV40" s="1726"/>
      <c r="AW40" s="1726"/>
      <c r="AX40" s="1726"/>
      <c r="AY40" s="1726"/>
      <c r="AZ40" s="1726"/>
      <c r="BA40" s="1726"/>
      <c r="BB40" s="1726"/>
      <c r="BC40" s="1726"/>
      <c r="BD40" s="1726"/>
      <c r="BE40" s="1726"/>
      <c r="BF40" s="1726"/>
      <c r="BH40" s="232"/>
      <c r="BI40" s="27"/>
      <c r="BJ40" s="80"/>
      <c r="BK40" s="80"/>
      <c r="BL40" s="80"/>
      <c r="BM40" s="80"/>
      <c r="BN40" s="80"/>
      <c r="BO40" s="80"/>
      <c r="BP40" s="80"/>
      <c r="BQ40" s="80"/>
      <c r="BR40" s="27"/>
      <c r="BS40" s="27"/>
      <c r="BT40" s="27"/>
      <c r="BU40" s="80"/>
      <c r="BV40" s="80"/>
      <c r="BW40" s="80"/>
      <c r="BX40" s="80"/>
      <c r="BY40" s="80"/>
      <c r="BZ40" s="80"/>
      <c r="CA40" s="80"/>
      <c r="CB40" s="80"/>
      <c r="CC40" s="27"/>
      <c r="CD40" s="27"/>
      <c r="CE40" s="27"/>
      <c r="CF40" s="27"/>
      <c r="CG40" s="27"/>
      <c r="CH40" s="27"/>
      <c r="CI40" s="27"/>
      <c r="CJ40" s="27"/>
      <c r="CK40" s="27"/>
      <c r="CL40" s="60"/>
      <c r="CM40" s="28"/>
    </row>
    <row r="41" spans="2:93" ht="15.95" customHeight="1">
      <c r="B41" s="26"/>
      <c r="C41" s="228"/>
      <c r="D41" s="228"/>
      <c r="E41" s="228"/>
      <c r="F41" s="228"/>
      <c r="G41" s="228"/>
      <c r="H41" s="228"/>
      <c r="I41" s="228"/>
      <c r="K41" s="48" t="s">
        <v>1194</v>
      </c>
      <c r="L41" s="27"/>
      <c r="M41" s="25" t="s">
        <v>1517</v>
      </c>
      <c r="W41" s="53" t="s">
        <v>5</v>
      </c>
      <c r="X41" s="1742" t="s">
        <v>2465</v>
      </c>
      <c r="Y41" s="1743"/>
      <c r="Z41" s="1743"/>
      <c r="AA41" s="1743"/>
      <c r="AB41" s="1743"/>
      <c r="AC41" s="1743"/>
      <c r="AD41" s="1743"/>
      <c r="AE41" s="1743"/>
      <c r="AF41" s="1743"/>
      <c r="AG41" s="1743"/>
      <c r="AH41" s="1743"/>
      <c r="AI41" s="1743"/>
      <c r="AJ41" s="1743"/>
      <c r="AK41" s="1743"/>
      <c r="AM41" s="1725"/>
      <c r="AN41" s="1726"/>
      <c r="AO41" s="1726"/>
      <c r="AP41" s="1726"/>
      <c r="AQ41" s="1726"/>
      <c r="AR41" s="1726"/>
      <c r="AS41" s="1726"/>
      <c r="AT41" s="1726"/>
      <c r="AU41" s="1726"/>
      <c r="AV41" s="1726"/>
      <c r="AW41" s="1726"/>
      <c r="AX41" s="1726"/>
      <c r="AY41" s="1726"/>
      <c r="AZ41" s="1726"/>
      <c r="BA41" s="1726"/>
      <c r="BB41" s="1726"/>
      <c r="BC41" s="1726"/>
      <c r="BD41" s="1726"/>
      <c r="BE41" s="1726"/>
      <c r="BF41" s="1726"/>
      <c r="BH41" s="232"/>
      <c r="BI41" s="27"/>
      <c r="BJ41" s="1695" t="s">
        <v>1402</v>
      </c>
      <c r="BK41" s="1696"/>
      <c r="BL41" s="1696"/>
      <c r="BM41" s="1696"/>
      <c r="BN41" s="1696"/>
      <c r="BO41" s="1696"/>
      <c r="BP41" s="1696"/>
      <c r="BQ41" s="1696"/>
      <c r="BR41" s="1696"/>
      <c r="BS41" s="1696"/>
      <c r="BT41" s="1696"/>
      <c r="BU41" s="1696"/>
      <c r="BV41" s="1696"/>
      <c r="BW41" s="1696"/>
      <c r="BX41" s="1696"/>
      <c r="BY41" s="1696"/>
      <c r="BZ41" s="1696"/>
      <c r="CA41" s="1696"/>
      <c r="CB41" s="1696"/>
      <c r="CC41" s="1696"/>
      <c r="CD41" s="1696"/>
      <c r="CE41" s="1696"/>
      <c r="CF41" s="1696"/>
      <c r="CG41" s="1696"/>
      <c r="CH41" s="1696"/>
      <c r="CI41" s="1696"/>
      <c r="CJ41" s="1696"/>
      <c r="CK41" s="1696"/>
      <c r="CL41" s="60"/>
      <c r="CM41" s="28"/>
      <c r="CO41" s="295">
        <f>IFERROR((X37-X39),0)</f>
        <v>8</v>
      </c>
    </row>
    <row r="42" spans="2:93" ht="3.95" customHeight="1" thickBot="1">
      <c r="B42" s="26"/>
      <c r="C42" s="52"/>
      <c r="D42" s="52"/>
      <c r="E42" s="52"/>
      <c r="F42" s="53"/>
      <c r="G42" s="52"/>
      <c r="H42" s="52"/>
      <c r="I42" s="52"/>
      <c r="K42" s="27"/>
      <c r="L42" s="27"/>
      <c r="AM42" s="1725"/>
      <c r="AN42" s="1726"/>
      <c r="AO42" s="1726"/>
      <c r="AP42" s="1726"/>
      <c r="AQ42" s="1726"/>
      <c r="AR42" s="1726"/>
      <c r="AS42" s="1726"/>
      <c r="AT42" s="1726"/>
      <c r="AU42" s="1726"/>
      <c r="AV42" s="1726"/>
      <c r="AW42" s="1726"/>
      <c r="AX42" s="1726"/>
      <c r="AY42" s="1726"/>
      <c r="AZ42" s="1726"/>
      <c r="BA42" s="1726"/>
      <c r="BB42" s="1726"/>
      <c r="BC42" s="1726"/>
      <c r="BD42" s="1726"/>
      <c r="BE42" s="1726"/>
      <c r="BF42" s="1726"/>
      <c r="BH42" s="232"/>
      <c r="BI42" s="27"/>
      <c r="BJ42" s="27"/>
      <c r="BK42" s="27"/>
      <c r="BL42" s="27"/>
      <c r="BM42" s="27"/>
      <c r="BN42" s="27"/>
      <c r="BO42" s="27"/>
      <c r="BP42" s="27"/>
      <c r="BQ42" s="27"/>
      <c r="BR42" s="27"/>
      <c r="BS42" s="27"/>
      <c r="BT42" s="27"/>
      <c r="BU42" s="27"/>
      <c r="BV42" s="27"/>
      <c r="BW42" s="27"/>
      <c r="BX42" s="27"/>
      <c r="BY42" s="27"/>
      <c r="BZ42" s="27"/>
      <c r="CA42" s="27"/>
      <c r="CB42" s="27"/>
      <c r="CC42" s="27"/>
      <c r="CD42" s="27"/>
      <c r="CE42" s="27"/>
      <c r="CF42" s="27"/>
      <c r="CG42" s="27"/>
      <c r="CH42" s="27"/>
      <c r="CI42" s="27"/>
      <c r="CJ42" s="27"/>
      <c r="CK42" s="27"/>
      <c r="CL42" s="60"/>
      <c r="CM42" s="28"/>
    </row>
    <row r="43" spans="2:93" ht="15.95" customHeight="1">
      <c r="B43" s="26"/>
      <c r="C43" s="205"/>
      <c r="D43" s="205"/>
      <c r="E43" s="205"/>
      <c r="F43" s="205"/>
      <c r="G43" s="205"/>
      <c r="H43" s="205"/>
      <c r="I43" s="205"/>
      <c r="K43" s="48" t="s">
        <v>1194</v>
      </c>
      <c r="M43" s="52" t="s">
        <v>1518</v>
      </c>
      <c r="N43" s="52"/>
      <c r="O43" s="52"/>
      <c r="P43" s="52"/>
      <c r="Q43" s="52"/>
      <c r="W43" s="53" t="s">
        <v>5</v>
      </c>
      <c r="X43" s="1740">
        <v>2010</v>
      </c>
      <c r="Y43" s="1741"/>
      <c r="Z43" s="1741"/>
      <c r="AA43" s="1741"/>
      <c r="AB43" s="1741"/>
      <c r="AC43" s="1741"/>
      <c r="AM43" s="1725"/>
      <c r="AN43" s="1726"/>
      <c r="AO43" s="1726"/>
      <c r="AP43" s="1726"/>
      <c r="AQ43" s="1726"/>
      <c r="AR43" s="1726"/>
      <c r="AS43" s="1726"/>
      <c r="AT43" s="1726"/>
      <c r="AU43" s="1726"/>
      <c r="AV43" s="1726"/>
      <c r="AW43" s="1726"/>
      <c r="AX43" s="1726"/>
      <c r="AY43" s="1726"/>
      <c r="AZ43" s="1726"/>
      <c r="BA43" s="1726"/>
      <c r="BB43" s="1726"/>
      <c r="BC43" s="1726"/>
      <c r="BD43" s="1726"/>
      <c r="BE43" s="1726"/>
      <c r="BF43" s="1726"/>
      <c r="BH43" s="232"/>
      <c r="BI43" s="27"/>
      <c r="BJ43" s="1735" t="s">
        <v>1516</v>
      </c>
      <c r="BK43" s="1735"/>
      <c r="BL43" s="1735"/>
      <c r="BM43" s="1735"/>
      <c r="BN43" s="1735"/>
      <c r="BO43" s="1735"/>
      <c r="BP43" s="1735"/>
      <c r="BQ43" s="1735"/>
      <c r="BR43" s="27"/>
      <c r="BS43" s="27"/>
      <c r="BT43" s="27"/>
      <c r="BU43" s="27"/>
      <c r="BV43" s="1735" t="s">
        <v>1688</v>
      </c>
      <c r="BW43" s="1735"/>
      <c r="BX43" s="1735"/>
      <c r="BY43" s="1735"/>
      <c r="BZ43" s="1735"/>
      <c r="CA43" s="1735"/>
      <c r="CB43" s="1735"/>
      <c r="CC43" s="1735"/>
      <c r="CD43" s="245"/>
      <c r="CE43" s="27"/>
      <c r="CF43" s="27"/>
      <c r="CG43" s="27"/>
      <c r="CH43" s="27"/>
      <c r="CI43" s="27"/>
      <c r="CJ43" s="27"/>
      <c r="CK43" s="27"/>
      <c r="CL43" s="60"/>
      <c r="CM43" s="28"/>
      <c r="CO43" s="295">
        <f>IFERROR((X37-X39)-((X43-X39)/2),0)</f>
        <v>8</v>
      </c>
    </row>
    <row r="44" spans="2:93" ht="3.95" customHeight="1" thickBot="1">
      <c r="B44" s="26"/>
      <c r="C44" s="52"/>
      <c r="D44" s="52"/>
      <c r="E44" s="52"/>
      <c r="F44" s="53"/>
      <c r="G44" s="52"/>
      <c r="H44" s="52"/>
      <c r="I44" s="52"/>
      <c r="K44" s="27"/>
      <c r="L44" s="27"/>
      <c r="BH44" s="232"/>
      <c r="BI44" s="27"/>
      <c r="BJ44" s="1736"/>
      <c r="BK44" s="1736"/>
      <c r="BL44" s="1736"/>
      <c r="BM44" s="1736"/>
      <c r="BN44" s="1736"/>
      <c r="BO44" s="1736"/>
      <c r="BP44" s="1736"/>
      <c r="BQ44" s="1736"/>
      <c r="BR44" s="27"/>
      <c r="BS44" s="27"/>
      <c r="BT44" s="27"/>
      <c r="BU44" s="27"/>
      <c r="BV44" s="1736"/>
      <c r="BW44" s="1736"/>
      <c r="BX44" s="1736"/>
      <c r="BY44" s="1736"/>
      <c r="BZ44" s="1736"/>
      <c r="CA44" s="1736"/>
      <c r="CB44" s="1736"/>
      <c r="CC44" s="1736"/>
      <c r="CD44" s="27"/>
      <c r="CE44" s="27"/>
      <c r="CF44" s="27"/>
      <c r="CG44" s="27"/>
      <c r="CH44" s="27"/>
      <c r="CI44" s="27"/>
      <c r="CJ44" s="27"/>
      <c r="CK44" s="27"/>
      <c r="CL44" s="60"/>
      <c r="CM44" s="28"/>
    </row>
    <row r="45" spans="2:93" ht="15.95" customHeight="1">
      <c r="B45" s="26"/>
      <c r="C45" s="206"/>
      <c r="D45" s="206"/>
      <c r="E45" s="206"/>
      <c r="F45" s="206"/>
      <c r="G45" s="206"/>
      <c r="H45" s="206"/>
      <c r="I45" s="206"/>
      <c r="M45" s="297" t="s">
        <v>1733</v>
      </c>
      <c r="BH45" s="232"/>
      <c r="BI45" s="27"/>
      <c r="BJ45" s="1747">
        <f>IFERROR(VLOOKUP(BJ41,SOURCE!AX:AY,2,FALSE),0)</f>
        <v>20</v>
      </c>
      <c r="BK45" s="1748"/>
      <c r="BL45" s="1748"/>
      <c r="BM45" s="1748"/>
      <c r="BN45" s="1748"/>
      <c r="BO45" s="1748"/>
      <c r="BP45" s="1748"/>
      <c r="BQ45" s="1748"/>
      <c r="BR45" s="27"/>
      <c r="BS45" s="27"/>
      <c r="BT45" s="27"/>
      <c r="BU45" s="27"/>
      <c r="BV45" s="1750">
        <f>IF(BJ45=0,0,IF(X41="Tidak terinformasi",CO41,IF(X41="Renovasi Sebagian",CO43,IF(X41="Renovasi Total",CO45,0))))</f>
        <v>8</v>
      </c>
      <c r="BW45" s="1751"/>
      <c r="BX45" s="1751"/>
      <c r="BY45" s="1751"/>
      <c r="BZ45" s="1751"/>
      <c r="CA45" s="1751"/>
      <c r="CB45" s="1751"/>
      <c r="CC45" s="1751"/>
      <c r="CD45" s="27"/>
      <c r="CE45" s="27"/>
      <c r="CF45" s="27"/>
      <c r="CG45" s="27"/>
      <c r="CH45" s="27"/>
      <c r="CI45" s="27"/>
      <c r="CJ45" s="27"/>
      <c r="CK45" s="27"/>
      <c r="CL45" s="60"/>
      <c r="CM45" s="28"/>
      <c r="CO45" s="295">
        <f>IFERROR((X37-X43),0)</f>
        <v>8</v>
      </c>
    </row>
    <row r="46" spans="2:93" ht="6" customHeight="1">
      <c r="B46" s="26"/>
      <c r="C46" s="53"/>
      <c r="D46" s="52"/>
      <c r="E46" s="52"/>
      <c r="F46" s="52"/>
      <c r="G46" s="53"/>
      <c r="H46" s="52"/>
      <c r="I46" s="52"/>
      <c r="J46" s="52"/>
      <c r="K46" s="52"/>
      <c r="L46" s="52"/>
      <c r="M46" s="52"/>
      <c r="BH46" s="233"/>
      <c r="BI46" s="61"/>
      <c r="BJ46" s="61"/>
      <c r="BK46" s="61"/>
      <c r="BL46" s="61"/>
      <c r="BM46" s="61"/>
      <c r="BN46" s="61"/>
      <c r="BO46" s="61"/>
      <c r="BP46" s="61"/>
      <c r="BQ46" s="61"/>
      <c r="BR46" s="61"/>
      <c r="BS46" s="61"/>
      <c r="BT46" s="61"/>
      <c r="BU46" s="61"/>
      <c r="BV46" s="61"/>
      <c r="BW46" s="61"/>
      <c r="BX46" s="61"/>
      <c r="BY46" s="61"/>
      <c r="BZ46" s="61"/>
      <c r="CA46" s="61"/>
      <c r="CB46" s="61"/>
      <c r="CC46" s="61"/>
      <c r="CD46" s="61"/>
      <c r="CE46" s="61"/>
      <c r="CF46" s="61"/>
      <c r="CG46" s="61"/>
      <c r="CH46" s="61"/>
      <c r="CI46" s="61"/>
      <c r="CJ46" s="61"/>
      <c r="CK46" s="61"/>
      <c r="CL46" s="62"/>
      <c r="CM46" s="28"/>
    </row>
    <row r="47" spans="2:93" ht="9.9499999999999993" customHeight="1" thickBot="1">
      <c r="B47" s="26"/>
      <c r="C47" s="53"/>
      <c r="D47" s="52"/>
      <c r="E47" s="52"/>
      <c r="F47" s="52"/>
      <c r="G47" s="53"/>
      <c r="H47" s="52"/>
      <c r="I47" s="52"/>
      <c r="J47" s="52"/>
      <c r="K47" s="52"/>
      <c r="L47" s="52"/>
      <c r="M47" s="52"/>
      <c r="N47" s="52"/>
      <c r="O47" s="53"/>
      <c r="AE47" s="52"/>
      <c r="AF47" s="53"/>
      <c r="AG47" s="52"/>
      <c r="AH47" s="52"/>
      <c r="AI47" s="52"/>
      <c r="AJ47" s="52"/>
      <c r="AK47" s="52"/>
      <c r="AL47" s="52"/>
      <c r="AM47" s="52"/>
      <c r="AT47" s="27"/>
      <c r="AU47" s="27"/>
      <c r="AV47" s="27"/>
      <c r="AW47" s="27"/>
      <c r="AX47" s="27"/>
      <c r="AY47" s="27"/>
      <c r="AZ47" s="27"/>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c r="BZ47" s="27"/>
      <c r="CA47" s="27"/>
      <c r="CB47" s="27"/>
      <c r="CC47" s="27"/>
      <c r="CD47" s="27"/>
      <c r="CE47" s="27"/>
      <c r="CF47" s="27"/>
      <c r="CG47" s="27"/>
      <c r="CH47" s="27"/>
      <c r="CI47" s="27"/>
      <c r="CJ47" s="27"/>
      <c r="CK47" s="27"/>
      <c r="CL47" s="27"/>
      <c r="CM47" s="28"/>
    </row>
    <row r="48" spans="2:93" ht="20.100000000000001" customHeight="1" thickBot="1">
      <c r="B48" s="26"/>
      <c r="C48" s="1754" t="s">
        <v>1763</v>
      </c>
      <c r="D48" s="1754"/>
      <c r="E48" s="1754"/>
      <c r="F48" s="1754"/>
      <c r="G48" s="1754"/>
      <c r="H48" s="1754"/>
      <c r="I48" s="1754"/>
      <c r="J48" s="1754"/>
      <c r="K48" s="1754"/>
      <c r="L48" s="1754"/>
      <c r="M48" s="1754"/>
      <c r="N48" s="1754"/>
      <c r="O48" s="1754"/>
      <c r="P48" s="1754"/>
      <c r="Q48" s="1754"/>
      <c r="R48" s="1754"/>
      <c r="S48" s="1754"/>
      <c r="T48" s="1754"/>
      <c r="U48" s="1754"/>
      <c r="V48" s="1754"/>
      <c r="W48" s="1754"/>
      <c r="X48" s="1754"/>
      <c r="Y48" s="1754"/>
      <c r="Z48" s="1754"/>
      <c r="AA48" s="1754"/>
      <c r="AB48" s="1754"/>
      <c r="AC48" s="1754"/>
      <c r="AD48" s="1754"/>
      <c r="AE48" s="1754"/>
      <c r="AF48" s="1754"/>
      <c r="AG48" s="1754"/>
      <c r="AH48" s="1754"/>
      <c r="AI48" s="1754"/>
      <c r="AJ48" s="1754"/>
      <c r="AK48" s="1754"/>
      <c r="AL48" s="1754"/>
      <c r="AM48" s="1754"/>
      <c r="AN48" s="1754"/>
      <c r="AO48" s="1754"/>
      <c r="AP48" s="1754"/>
      <c r="AQ48" s="1754"/>
      <c r="AR48" s="1754"/>
      <c r="AS48" s="1754"/>
      <c r="AT48" s="1754"/>
      <c r="AU48" s="1754"/>
      <c r="AV48" s="1754"/>
      <c r="AW48" s="1754"/>
      <c r="AX48" s="1754"/>
      <c r="AY48" s="1754"/>
      <c r="AZ48" s="1754"/>
      <c r="BA48" s="1754"/>
      <c r="BB48" s="1754"/>
      <c r="BC48" s="1754"/>
      <c r="BD48" s="1754"/>
      <c r="BE48" s="1754"/>
      <c r="BF48" s="1754"/>
      <c r="BG48" s="1754"/>
      <c r="BH48" s="1754"/>
      <c r="BI48" s="1754"/>
      <c r="BJ48" s="1754"/>
      <c r="BK48" s="1754"/>
      <c r="BL48" s="1754"/>
      <c r="BM48" s="1754"/>
      <c r="BN48" s="1754"/>
      <c r="BO48" s="1754"/>
      <c r="BP48" s="1754"/>
      <c r="BQ48" s="1754"/>
      <c r="BR48" s="1754"/>
      <c r="BS48" s="1753" t="s">
        <v>1712</v>
      </c>
      <c r="BT48" s="1753"/>
      <c r="BU48" s="1753"/>
      <c r="BV48" s="1753"/>
      <c r="BW48" s="1753"/>
      <c r="BY48" s="1755" t="s">
        <v>1767</v>
      </c>
      <c r="BZ48" s="1755"/>
      <c r="CA48" s="1755"/>
      <c r="CB48" s="1755"/>
      <c r="CC48" s="1755"/>
      <c r="CD48" s="1755"/>
      <c r="CE48" s="1755"/>
      <c r="CF48" s="1755"/>
      <c r="CG48" s="1755"/>
      <c r="CH48" s="1755"/>
      <c r="CI48" s="1755"/>
      <c r="CJ48" s="1755"/>
      <c r="CK48" s="1755"/>
      <c r="CL48" s="1755"/>
      <c r="CM48" s="28"/>
    </row>
    <row r="49" spans="2:97" ht="42.75" customHeight="1" thickBot="1">
      <c r="B49" s="26"/>
      <c r="C49" s="1746" t="s">
        <v>1510</v>
      </c>
      <c r="D49" s="1746"/>
      <c r="E49" s="1746"/>
      <c r="F49" s="1746"/>
      <c r="G49" s="1746"/>
      <c r="H49" s="1746"/>
      <c r="I49" s="1746"/>
      <c r="J49" s="1746"/>
      <c r="K49" s="1759" t="str">
        <f>"Bangunan "&amp;'B1'!AA75&amp;""</f>
        <v>Bangunan Rumah Tinggal</v>
      </c>
      <c r="L49" s="1760"/>
      <c r="M49" s="1760"/>
      <c r="N49" s="1760"/>
      <c r="O49" s="1760"/>
      <c r="P49" s="1760"/>
      <c r="Q49" s="1760"/>
      <c r="R49" s="1760"/>
      <c r="S49" s="1760"/>
      <c r="T49" s="1760"/>
      <c r="U49" s="1760"/>
      <c r="V49" s="1760"/>
      <c r="W49" s="1760"/>
      <c r="X49" s="1760"/>
      <c r="Y49" s="1760"/>
      <c r="Z49" s="1760"/>
      <c r="AA49" s="1760"/>
      <c r="AB49" s="1760"/>
      <c r="AC49" s="1760"/>
      <c r="AD49" s="1760"/>
      <c r="AE49" s="1760"/>
      <c r="AF49" s="1760"/>
      <c r="AG49" s="1760"/>
      <c r="AH49" s="1760"/>
      <c r="AI49" s="1760"/>
      <c r="AJ49" s="1760"/>
      <c r="AK49" s="1760"/>
      <c r="AL49" s="1760"/>
      <c r="AM49" s="1760"/>
      <c r="AN49" s="1760"/>
      <c r="AO49" s="1760"/>
      <c r="AP49" s="1760"/>
      <c r="AQ49" s="1760"/>
      <c r="AR49" s="1760"/>
      <c r="AS49" s="1760"/>
      <c r="AT49" s="1760"/>
      <c r="AU49" s="1760"/>
      <c r="AV49" s="1760"/>
      <c r="AW49" s="1760"/>
      <c r="AX49" s="1760"/>
      <c r="AY49" s="1760"/>
      <c r="AZ49" s="1760"/>
      <c r="BA49" s="1760"/>
      <c r="BB49" s="1760"/>
      <c r="BC49" s="1760"/>
      <c r="BD49" s="1760"/>
      <c r="BE49" s="1760"/>
      <c r="BF49" s="1760"/>
      <c r="BG49" s="1760"/>
      <c r="BH49" s="1760"/>
      <c r="BI49" s="1760"/>
      <c r="BJ49" s="1760"/>
      <c r="BK49" s="1761"/>
      <c r="BL49" s="1749" t="s">
        <v>1513</v>
      </c>
      <c r="BM49" s="1749"/>
      <c r="BN49" s="1749"/>
      <c r="BO49" s="1749"/>
      <c r="BP49" s="1749"/>
      <c r="BQ49" s="1749"/>
      <c r="BR49" s="1749"/>
      <c r="BS49" s="1753"/>
      <c r="BT49" s="1753"/>
      <c r="BU49" s="1753"/>
      <c r="BV49" s="1753"/>
      <c r="BW49" s="1753"/>
      <c r="BY49" s="1756" t="s">
        <v>1711</v>
      </c>
      <c r="BZ49" s="1756"/>
      <c r="CA49" s="1756"/>
      <c r="CB49" s="1756"/>
      <c r="CC49" s="1756"/>
      <c r="CD49" s="1756"/>
      <c r="CE49" s="1756"/>
      <c r="CF49" s="1756" t="s">
        <v>1713</v>
      </c>
      <c r="CG49" s="1756"/>
      <c r="CH49" s="1756"/>
      <c r="CI49" s="1756"/>
      <c r="CJ49" s="1756"/>
      <c r="CK49" s="1756"/>
      <c r="CL49" s="1756"/>
      <c r="CM49" s="28"/>
    </row>
    <row r="50" spans="2:97" ht="15.95" customHeight="1" thickBot="1">
      <c r="B50" s="26"/>
      <c r="C50" s="1684" t="s">
        <v>1757</v>
      </c>
      <c r="D50" s="1684"/>
      <c r="E50" s="1684"/>
      <c r="F50" s="1684"/>
      <c r="G50" s="1684"/>
      <c r="H50" s="1684"/>
      <c r="I50" s="1684"/>
      <c r="J50" s="1684"/>
      <c r="K50" s="1712">
        <f>'B1'!AJ14</f>
        <v>249</v>
      </c>
      <c r="L50" s="1713"/>
      <c r="M50" s="1713"/>
      <c r="N50" s="1713"/>
      <c r="O50" s="1713"/>
      <c r="P50" s="1713"/>
      <c r="Q50" s="1713"/>
      <c r="R50" s="1713"/>
      <c r="S50" s="1713"/>
      <c r="T50" s="1713"/>
      <c r="U50" s="1713"/>
      <c r="V50" s="1713"/>
      <c r="W50" s="1713"/>
      <c r="X50" s="1713"/>
      <c r="Y50" s="1713"/>
      <c r="Z50" s="1713"/>
      <c r="AA50" s="1713"/>
      <c r="AB50" s="1713"/>
      <c r="AC50" s="1713"/>
      <c r="AD50" s="1713"/>
      <c r="AE50" s="1713"/>
      <c r="AF50" s="1713"/>
      <c r="AG50" s="1713"/>
      <c r="AH50" s="1713"/>
      <c r="AI50" s="1713"/>
      <c r="AJ50" s="1713"/>
      <c r="AK50" s="1713"/>
      <c r="AL50" s="1713"/>
      <c r="AM50" s="1713"/>
      <c r="AN50" s="1713"/>
      <c r="AO50" s="1713"/>
      <c r="AP50" s="1713"/>
      <c r="AQ50" s="1713"/>
      <c r="AR50" s="1713"/>
      <c r="AS50" s="1713"/>
      <c r="AT50" s="1713"/>
      <c r="AU50" s="1713"/>
      <c r="AV50" s="1713"/>
      <c r="AW50" s="1713"/>
      <c r="AX50" s="1713"/>
      <c r="AY50" s="1713"/>
      <c r="AZ50" s="1713"/>
      <c r="BA50" s="1713"/>
      <c r="BB50" s="1713"/>
      <c r="BC50" s="1713"/>
      <c r="BD50" s="1713"/>
      <c r="BE50" s="1713"/>
      <c r="BF50" s="1713"/>
      <c r="BG50" s="1713"/>
      <c r="BH50" s="1713"/>
      <c r="BI50" s="1713"/>
      <c r="BJ50" s="1713"/>
      <c r="BK50" s="1714"/>
      <c r="BL50" s="1681">
        <f>ROUND(SUM(K50:BK50),0)</f>
        <v>249</v>
      </c>
      <c r="BM50" s="1681"/>
      <c r="BN50" s="1681"/>
      <c r="BO50" s="1681"/>
      <c r="BP50" s="1681"/>
      <c r="BQ50" s="1681"/>
      <c r="BR50" s="1681"/>
      <c r="BS50" s="1752">
        <f>'B1'!AP14</f>
        <v>0</v>
      </c>
      <c r="BT50" s="1752"/>
      <c r="BU50" s="1752"/>
      <c r="BV50" s="1752"/>
      <c r="BW50" s="1752"/>
      <c r="BY50" s="1764">
        <f>+'B1'!AP14</f>
        <v>0</v>
      </c>
      <c r="BZ50" s="1764"/>
      <c r="CA50" s="1764"/>
      <c r="CB50" s="1764"/>
      <c r="CC50" s="1764"/>
      <c r="CD50" s="1764"/>
      <c r="CE50" s="1764"/>
      <c r="CF50" s="1763">
        <f>+'B1'!AS14</f>
        <v>0</v>
      </c>
      <c r="CG50" s="1763"/>
      <c r="CH50" s="1763"/>
      <c r="CI50" s="1763"/>
      <c r="CJ50" s="1763"/>
      <c r="CK50" s="1763"/>
      <c r="CL50" s="1763"/>
      <c r="CM50" s="28"/>
    </row>
    <row r="51" spans="2:97" ht="15.95" customHeight="1" thickBot="1">
      <c r="B51" s="26"/>
      <c r="C51" s="1684" t="s">
        <v>1758</v>
      </c>
      <c r="D51" s="1684"/>
      <c r="E51" s="1684"/>
      <c r="F51" s="1684"/>
      <c r="G51" s="1684"/>
      <c r="H51" s="1684"/>
      <c r="I51" s="1684"/>
      <c r="J51" s="1684"/>
      <c r="K51" s="1712">
        <f>'B1'!AJ15</f>
        <v>0</v>
      </c>
      <c r="L51" s="1713"/>
      <c r="M51" s="1713"/>
      <c r="N51" s="1713"/>
      <c r="O51" s="1713"/>
      <c r="P51" s="1713"/>
      <c r="Q51" s="1713"/>
      <c r="R51" s="1713"/>
      <c r="S51" s="1713"/>
      <c r="T51" s="1713"/>
      <c r="U51" s="1713"/>
      <c r="V51" s="1713"/>
      <c r="W51" s="1713"/>
      <c r="X51" s="1713"/>
      <c r="Y51" s="1713"/>
      <c r="Z51" s="1713"/>
      <c r="AA51" s="1713"/>
      <c r="AB51" s="1713"/>
      <c r="AC51" s="1713"/>
      <c r="AD51" s="1713"/>
      <c r="AE51" s="1713"/>
      <c r="AF51" s="1713"/>
      <c r="AG51" s="1713"/>
      <c r="AH51" s="1713"/>
      <c r="AI51" s="1713"/>
      <c r="AJ51" s="1713"/>
      <c r="AK51" s="1713"/>
      <c r="AL51" s="1713"/>
      <c r="AM51" s="1713"/>
      <c r="AN51" s="1713"/>
      <c r="AO51" s="1713"/>
      <c r="AP51" s="1713"/>
      <c r="AQ51" s="1713"/>
      <c r="AR51" s="1713"/>
      <c r="AS51" s="1713"/>
      <c r="AT51" s="1713"/>
      <c r="AU51" s="1713"/>
      <c r="AV51" s="1713"/>
      <c r="AW51" s="1713"/>
      <c r="AX51" s="1713"/>
      <c r="AY51" s="1713"/>
      <c r="AZ51" s="1713"/>
      <c r="BA51" s="1713"/>
      <c r="BB51" s="1713"/>
      <c r="BC51" s="1713"/>
      <c r="BD51" s="1713"/>
      <c r="BE51" s="1713"/>
      <c r="BF51" s="1713"/>
      <c r="BG51" s="1713"/>
      <c r="BH51" s="1713"/>
      <c r="BI51" s="1713"/>
      <c r="BJ51" s="1713"/>
      <c r="BK51" s="1714"/>
      <c r="BL51" s="1681">
        <f>ROUND(SUM(K51:BK51),0)</f>
        <v>0</v>
      </c>
      <c r="BM51" s="1681"/>
      <c r="BN51" s="1681"/>
      <c r="BO51" s="1681"/>
      <c r="BP51" s="1681"/>
      <c r="BQ51" s="1681"/>
      <c r="BR51" s="1681"/>
      <c r="BS51" s="1752">
        <f>'B1'!AP15</f>
        <v>0</v>
      </c>
      <c r="BT51" s="1752"/>
      <c r="BU51" s="1752"/>
      <c r="BV51" s="1752"/>
      <c r="BW51" s="1752"/>
      <c r="BY51" s="1763" t="s">
        <v>3</v>
      </c>
      <c r="BZ51" s="1763"/>
      <c r="CA51" s="1763"/>
      <c r="CB51" s="1763"/>
      <c r="CC51" s="1763"/>
      <c r="CD51" s="1763"/>
      <c r="CE51" s="1763"/>
      <c r="CF51" s="1763" t="s">
        <v>3</v>
      </c>
      <c r="CG51" s="1763"/>
      <c r="CH51" s="1763"/>
      <c r="CI51" s="1763"/>
      <c r="CJ51" s="1763"/>
      <c r="CK51" s="1763"/>
      <c r="CL51" s="1763"/>
      <c r="CM51" s="28"/>
    </row>
    <row r="52" spans="2:97" ht="15.95" customHeight="1" thickBot="1">
      <c r="B52" s="26"/>
      <c r="C52" s="1684" t="s">
        <v>1759</v>
      </c>
      <c r="D52" s="1684"/>
      <c r="E52" s="1684"/>
      <c r="F52" s="1684"/>
      <c r="G52" s="1684"/>
      <c r="H52" s="1684"/>
      <c r="I52" s="1684"/>
      <c r="J52" s="1684"/>
      <c r="K52" s="1712">
        <f>'B1'!AJ16</f>
        <v>0</v>
      </c>
      <c r="L52" s="1713"/>
      <c r="M52" s="1713"/>
      <c r="N52" s="1713"/>
      <c r="O52" s="1713"/>
      <c r="P52" s="1713"/>
      <c r="Q52" s="1713"/>
      <c r="R52" s="1713"/>
      <c r="S52" s="1713"/>
      <c r="T52" s="1713"/>
      <c r="U52" s="1713"/>
      <c r="V52" s="1713"/>
      <c r="W52" s="1713"/>
      <c r="X52" s="1713"/>
      <c r="Y52" s="1713"/>
      <c r="Z52" s="1713"/>
      <c r="AA52" s="1713"/>
      <c r="AB52" s="1713"/>
      <c r="AC52" s="1713"/>
      <c r="AD52" s="1713"/>
      <c r="AE52" s="1713"/>
      <c r="AF52" s="1713"/>
      <c r="AG52" s="1713"/>
      <c r="AH52" s="1713"/>
      <c r="AI52" s="1713"/>
      <c r="AJ52" s="1713"/>
      <c r="AK52" s="1713"/>
      <c r="AL52" s="1713"/>
      <c r="AM52" s="1713"/>
      <c r="AN52" s="1713"/>
      <c r="AO52" s="1713"/>
      <c r="AP52" s="1713"/>
      <c r="AQ52" s="1713"/>
      <c r="AR52" s="1713"/>
      <c r="AS52" s="1713"/>
      <c r="AT52" s="1713"/>
      <c r="AU52" s="1713"/>
      <c r="AV52" s="1713"/>
      <c r="AW52" s="1713"/>
      <c r="AX52" s="1713"/>
      <c r="AY52" s="1713"/>
      <c r="AZ52" s="1713"/>
      <c r="BA52" s="1713"/>
      <c r="BB52" s="1713"/>
      <c r="BC52" s="1713"/>
      <c r="BD52" s="1713"/>
      <c r="BE52" s="1713"/>
      <c r="BF52" s="1713"/>
      <c r="BG52" s="1713"/>
      <c r="BH52" s="1713"/>
      <c r="BI52" s="1713"/>
      <c r="BJ52" s="1713"/>
      <c r="BK52" s="1714"/>
      <c r="BL52" s="1681">
        <f>ROUND(SUM(K52:BK52),0)</f>
        <v>0</v>
      </c>
      <c r="BM52" s="1681"/>
      <c r="BN52" s="1681"/>
      <c r="BO52" s="1681"/>
      <c r="BP52" s="1681"/>
      <c r="BQ52" s="1681"/>
      <c r="BR52" s="1681"/>
      <c r="BS52" s="1752">
        <f>'B1'!AP16</f>
        <v>0</v>
      </c>
      <c r="BT52" s="1752"/>
      <c r="BU52" s="1752"/>
      <c r="BV52" s="1752"/>
      <c r="BW52" s="1752"/>
      <c r="BY52" s="1763" t="s">
        <v>3</v>
      </c>
      <c r="BZ52" s="1763"/>
      <c r="CA52" s="1763"/>
      <c r="CB52" s="1763"/>
      <c r="CC52" s="1763"/>
      <c r="CD52" s="1763"/>
      <c r="CE52" s="1763"/>
      <c r="CF52" s="1763" t="s">
        <v>3</v>
      </c>
      <c r="CG52" s="1763"/>
      <c r="CH52" s="1763"/>
      <c r="CI52" s="1763"/>
      <c r="CJ52" s="1763"/>
      <c r="CK52" s="1763"/>
      <c r="CL52" s="1763"/>
      <c r="CM52" s="28"/>
    </row>
    <row r="53" spans="2:97" ht="15.95" customHeight="1" thickBot="1">
      <c r="B53" s="26"/>
      <c r="C53" s="1684" t="s">
        <v>1760</v>
      </c>
      <c r="D53" s="1684"/>
      <c r="E53" s="1684"/>
      <c r="F53" s="1684"/>
      <c r="G53" s="1684"/>
      <c r="H53" s="1684"/>
      <c r="I53" s="1684"/>
      <c r="J53" s="1684"/>
      <c r="K53" s="1712">
        <f>'B1'!AJ17</f>
        <v>0</v>
      </c>
      <c r="L53" s="1713"/>
      <c r="M53" s="1713"/>
      <c r="N53" s="1713"/>
      <c r="O53" s="1713"/>
      <c r="P53" s="1713"/>
      <c r="Q53" s="1713"/>
      <c r="R53" s="1713"/>
      <c r="S53" s="1713"/>
      <c r="T53" s="1713"/>
      <c r="U53" s="1713"/>
      <c r="V53" s="1713"/>
      <c r="W53" s="1713"/>
      <c r="X53" s="1713"/>
      <c r="Y53" s="1713"/>
      <c r="Z53" s="1713"/>
      <c r="AA53" s="1713"/>
      <c r="AB53" s="1713"/>
      <c r="AC53" s="1713"/>
      <c r="AD53" s="1713"/>
      <c r="AE53" s="1713"/>
      <c r="AF53" s="1713"/>
      <c r="AG53" s="1713"/>
      <c r="AH53" s="1713"/>
      <c r="AI53" s="1713"/>
      <c r="AJ53" s="1713"/>
      <c r="AK53" s="1713"/>
      <c r="AL53" s="1713"/>
      <c r="AM53" s="1713"/>
      <c r="AN53" s="1713"/>
      <c r="AO53" s="1713"/>
      <c r="AP53" s="1713"/>
      <c r="AQ53" s="1713"/>
      <c r="AR53" s="1713"/>
      <c r="AS53" s="1713"/>
      <c r="AT53" s="1713"/>
      <c r="AU53" s="1713"/>
      <c r="AV53" s="1713"/>
      <c r="AW53" s="1713"/>
      <c r="AX53" s="1713"/>
      <c r="AY53" s="1713"/>
      <c r="AZ53" s="1713"/>
      <c r="BA53" s="1713"/>
      <c r="BB53" s="1713"/>
      <c r="BC53" s="1713"/>
      <c r="BD53" s="1713"/>
      <c r="BE53" s="1713"/>
      <c r="BF53" s="1713"/>
      <c r="BG53" s="1713"/>
      <c r="BH53" s="1713"/>
      <c r="BI53" s="1713"/>
      <c r="BJ53" s="1713"/>
      <c r="BK53" s="1714"/>
      <c r="BL53" s="1681">
        <f>ROUND(SUM(K53:BK53),0)</f>
        <v>0</v>
      </c>
      <c r="BM53" s="1681"/>
      <c r="BN53" s="1681"/>
      <c r="BO53" s="1681"/>
      <c r="BP53" s="1681"/>
      <c r="BQ53" s="1681"/>
      <c r="BR53" s="1681"/>
      <c r="BS53" s="1752">
        <f>'B1'!AP17</f>
        <v>0</v>
      </c>
      <c r="BT53" s="1752"/>
      <c r="BU53" s="1752"/>
      <c r="BV53" s="1752"/>
      <c r="BW53" s="1752"/>
      <c r="BY53" s="1763" t="s">
        <v>3</v>
      </c>
      <c r="BZ53" s="1763"/>
      <c r="CA53" s="1763"/>
      <c r="CB53" s="1763"/>
      <c r="CC53" s="1763"/>
      <c r="CD53" s="1763"/>
      <c r="CE53" s="1763"/>
      <c r="CF53" s="1763" t="s">
        <v>3</v>
      </c>
      <c r="CG53" s="1763"/>
      <c r="CH53" s="1763"/>
      <c r="CI53" s="1763"/>
      <c r="CJ53" s="1763"/>
      <c r="CK53" s="1763"/>
      <c r="CL53" s="1763"/>
      <c r="CM53" s="28"/>
    </row>
    <row r="54" spans="2:97" ht="15.95" customHeight="1" thickBot="1">
      <c r="B54" s="26"/>
      <c r="C54" s="1684" t="s">
        <v>1761</v>
      </c>
      <c r="D54" s="1684"/>
      <c r="E54" s="1684"/>
      <c r="F54" s="1684"/>
      <c r="G54" s="1684"/>
      <c r="H54" s="1684"/>
      <c r="I54" s="1684"/>
      <c r="J54" s="1684"/>
      <c r="K54" s="1712">
        <f>'B1'!AJ18</f>
        <v>0</v>
      </c>
      <c r="L54" s="1713"/>
      <c r="M54" s="1713"/>
      <c r="N54" s="1713"/>
      <c r="O54" s="1713"/>
      <c r="P54" s="1713"/>
      <c r="Q54" s="1713"/>
      <c r="R54" s="1713"/>
      <c r="S54" s="1713"/>
      <c r="T54" s="1713"/>
      <c r="U54" s="1713"/>
      <c r="V54" s="1713"/>
      <c r="W54" s="1713"/>
      <c r="X54" s="1713"/>
      <c r="Y54" s="1713"/>
      <c r="Z54" s="1713"/>
      <c r="AA54" s="1713"/>
      <c r="AB54" s="1713"/>
      <c r="AC54" s="1713"/>
      <c r="AD54" s="1713"/>
      <c r="AE54" s="1713"/>
      <c r="AF54" s="1713"/>
      <c r="AG54" s="1713"/>
      <c r="AH54" s="1713"/>
      <c r="AI54" s="1713"/>
      <c r="AJ54" s="1713"/>
      <c r="AK54" s="1713"/>
      <c r="AL54" s="1713"/>
      <c r="AM54" s="1713"/>
      <c r="AN54" s="1713"/>
      <c r="AO54" s="1713"/>
      <c r="AP54" s="1713"/>
      <c r="AQ54" s="1713"/>
      <c r="AR54" s="1713"/>
      <c r="AS54" s="1713"/>
      <c r="AT54" s="1713"/>
      <c r="AU54" s="1713"/>
      <c r="AV54" s="1713"/>
      <c r="AW54" s="1713"/>
      <c r="AX54" s="1713"/>
      <c r="AY54" s="1713"/>
      <c r="AZ54" s="1713"/>
      <c r="BA54" s="1713"/>
      <c r="BB54" s="1713"/>
      <c r="BC54" s="1713"/>
      <c r="BD54" s="1713"/>
      <c r="BE54" s="1713"/>
      <c r="BF54" s="1713"/>
      <c r="BG54" s="1713"/>
      <c r="BH54" s="1713"/>
      <c r="BI54" s="1713"/>
      <c r="BJ54" s="1713"/>
      <c r="BK54" s="1714"/>
      <c r="BL54" s="1681">
        <f>ROUND(SUM(K54:BK54),0)</f>
        <v>0</v>
      </c>
      <c r="BM54" s="1681"/>
      <c r="BN54" s="1681"/>
      <c r="BO54" s="1681"/>
      <c r="BP54" s="1681"/>
      <c r="BQ54" s="1681"/>
      <c r="BR54" s="1681"/>
      <c r="BS54" s="1752">
        <f>'B1'!AP18</f>
        <v>0</v>
      </c>
      <c r="BT54" s="1752"/>
      <c r="BU54" s="1752"/>
      <c r="BV54" s="1752"/>
      <c r="BW54" s="1752"/>
      <c r="BY54" s="1763" t="s">
        <v>3</v>
      </c>
      <c r="BZ54" s="1763"/>
      <c r="CA54" s="1763"/>
      <c r="CB54" s="1763"/>
      <c r="CC54" s="1763"/>
      <c r="CD54" s="1763"/>
      <c r="CE54" s="1763"/>
      <c r="CF54" s="1763" t="s">
        <v>3</v>
      </c>
      <c r="CG54" s="1763"/>
      <c r="CH54" s="1763"/>
      <c r="CI54" s="1763"/>
      <c r="CJ54" s="1763"/>
      <c r="CK54" s="1763"/>
      <c r="CL54" s="1763"/>
      <c r="CM54" s="28"/>
    </row>
    <row r="55" spans="2:97" ht="15.95" customHeight="1" thickBot="1">
      <c r="B55" s="26"/>
      <c r="C55" s="1699" t="s">
        <v>1764</v>
      </c>
      <c r="D55" s="1699"/>
      <c r="E55" s="1699"/>
      <c r="F55" s="1699"/>
      <c r="G55" s="1699"/>
      <c r="H55" s="1699"/>
      <c r="I55" s="1699"/>
      <c r="J55" s="1699"/>
      <c r="K55" s="1700"/>
      <c r="L55" s="1700"/>
      <c r="M55" s="1700"/>
      <c r="N55" s="1700"/>
      <c r="O55" s="1700"/>
      <c r="P55" s="1700"/>
      <c r="Q55" s="1700"/>
      <c r="R55" s="1700"/>
      <c r="S55" s="1700"/>
      <c r="T55" s="1700"/>
      <c r="U55" s="1700"/>
      <c r="V55" s="1700"/>
      <c r="W55" s="1700"/>
      <c r="X55" s="1700"/>
      <c r="Y55" s="1700"/>
      <c r="Z55" s="1700"/>
      <c r="AA55" s="1700"/>
      <c r="AB55" s="1700"/>
      <c r="AC55" s="1700"/>
      <c r="AD55" s="1700"/>
      <c r="AE55" s="1700"/>
      <c r="AF55" s="1700"/>
      <c r="AG55" s="1700"/>
      <c r="AH55" s="1700"/>
      <c r="AI55" s="1700"/>
      <c r="AJ55" s="1700"/>
      <c r="AK55" s="1700"/>
      <c r="AL55" s="1700"/>
      <c r="AM55" s="1700"/>
      <c r="AN55" s="1700"/>
      <c r="AO55" s="1700"/>
      <c r="AP55" s="1700"/>
      <c r="AQ55" s="1700"/>
      <c r="AR55" s="1700"/>
      <c r="AS55" s="1700"/>
      <c r="AT55" s="1700"/>
      <c r="AU55" s="1700"/>
      <c r="AV55" s="1700"/>
      <c r="AW55" s="1700"/>
      <c r="AX55" s="1700"/>
      <c r="AY55" s="1700"/>
      <c r="AZ55" s="1700"/>
      <c r="BA55" s="1700"/>
      <c r="BB55" s="1700"/>
      <c r="BC55" s="1700"/>
      <c r="BD55" s="1700"/>
      <c r="BE55" s="1700"/>
      <c r="BF55" s="1700"/>
      <c r="BG55" s="1700"/>
      <c r="BH55" s="1700"/>
      <c r="BI55" s="1700"/>
      <c r="BJ55" s="1700"/>
      <c r="BK55" s="1700"/>
      <c r="BL55" s="1710">
        <f>SUM(BL50:BR54)</f>
        <v>249</v>
      </c>
      <c r="BM55" s="1710"/>
      <c r="BN55" s="1710"/>
      <c r="BO55" s="1710"/>
      <c r="BP55" s="1710"/>
      <c r="BQ55" s="1710"/>
      <c r="BR55" s="1710"/>
      <c r="BS55" s="1709">
        <f>ROUND(SUM(BS50:BW54),0)</f>
        <v>0</v>
      </c>
      <c r="BT55" s="1709"/>
      <c r="BU55" s="1709"/>
      <c r="BV55" s="1709"/>
      <c r="BW55" s="1709"/>
      <c r="BY55" s="1701">
        <f>ROUND(SUM(BY50:CE54),0)</f>
        <v>0</v>
      </c>
      <c r="BZ55" s="1701"/>
      <c r="CA55" s="1701"/>
      <c r="CB55" s="1701"/>
      <c r="CC55" s="1701"/>
      <c r="CD55" s="1701"/>
      <c r="CE55" s="1701"/>
      <c r="CF55" s="1701">
        <f>ROUND(SUM(CF50:CL54),0)</f>
        <v>0</v>
      </c>
      <c r="CG55" s="1701"/>
      <c r="CH55" s="1701"/>
      <c r="CI55" s="1701"/>
      <c r="CJ55" s="1701"/>
      <c r="CK55" s="1701"/>
      <c r="CL55" s="1701"/>
      <c r="CM55" s="28"/>
    </row>
    <row r="56" spans="2:97" ht="3.95" customHeight="1" thickBot="1">
      <c r="B56" s="26"/>
      <c r="C56" s="53"/>
      <c r="D56" s="52"/>
      <c r="E56" s="52"/>
      <c r="F56" s="52"/>
      <c r="G56" s="53"/>
      <c r="H56" s="52"/>
      <c r="I56" s="52"/>
      <c r="J56" s="52"/>
      <c r="K56" s="52"/>
      <c r="L56" s="140"/>
      <c r="M56" s="52"/>
      <c r="AY56" s="224"/>
      <c r="BR56" s="27"/>
      <c r="BX56" s="27"/>
      <c r="BY56" s="27"/>
      <c r="BZ56" s="27"/>
      <c r="CA56" s="27"/>
      <c r="CB56" s="27"/>
      <c r="CC56" s="27"/>
      <c r="CD56" s="27"/>
      <c r="CE56" s="27"/>
      <c r="CF56" s="27"/>
      <c r="CG56" s="27"/>
      <c r="CH56" s="27"/>
      <c r="CI56" s="27"/>
      <c r="CJ56" s="27"/>
      <c r="CK56" s="27"/>
      <c r="CL56" s="27"/>
      <c r="CM56" s="28"/>
    </row>
    <row r="57" spans="2:97" ht="20.100000000000001" customHeight="1" thickBot="1">
      <c r="B57" s="26"/>
      <c r="C57" s="1711" t="s">
        <v>1765</v>
      </c>
      <c r="D57" s="1711"/>
      <c r="E57" s="1711"/>
      <c r="F57" s="1711"/>
      <c r="G57" s="1711"/>
      <c r="H57" s="1711"/>
      <c r="I57" s="1711"/>
      <c r="J57" s="1711"/>
      <c r="K57" s="1711"/>
      <c r="L57" s="1711"/>
      <c r="M57" s="1711"/>
      <c r="N57" s="1711"/>
      <c r="O57" s="1711"/>
      <c r="P57" s="1711"/>
      <c r="Q57" s="1711"/>
      <c r="R57" s="1711"/>
      <c r="S57" s="1711"/>
      <c r="T57" s="1711"/>
      <c r="U57" s="1711"/>
      <c r="V57" s="1711"/>
      <c r="W57" s="1711"/>
      <c r="X57" s="1711"/>
      <c r="Y57" s="1711"/>
      <c r="Z57" s="1711"/>
      <c r="AA57" s="1711"/>
      <c r="AB57" s="1711"/>
      <c r="AC57" s="1711"/>
      <c r="AD57" s="1711"/>
      <c r="AE57" s="1711"/>
      <c r="AF57" s="1711"/>
      <c r="AG57" s="1711"/>
      <c r="AH57" s="1711"/>
      <c r="AI57" s="1711"/>
      <c r="AJ57" s="1711"/>
      <c r="AK57" s="1711"/>
      <c r="AL57" s="1711"/>
      <c r="AM57" s="1711"/>
      <c r="AN57" s="1711"/>
      <c r="AO57" s="1711"/>
      <c r="AP57" s="1711"/>
      <c r="AQ57" s="1711"/>
      <c r="AR57" s="1711"/>
      <c r="AS57" s="1711"/>
      <c r="AT57" s="1711"/>
      <c r="AU57" s="1711"/>
      <c r="AV57" s="1711"/>
      <c r="AW57" s="1711"/>
      <c r="AX57" s="1711"/>
      <c r="AY57" s="1711"/>
      <c r="AZ57" s="1711"/>
      <c r="BA57" s="1711"/>
      <c r="BB57" s="1711"/>
      <c r="BC57" s="1711"/>
      <c r="BD57" s="1711"/>
      <c r="BE57" s="1711"/>
      <c r="BF57" s="1711"/>
      <c r="BG57" s="1711"/>
      <c r="BH57" s="1711"/>
      <c r="BI57" s="1711"/>
      <c r="BJ57" s="1711"/>
      <c r="BK57" s="1711"/>
      <c r="BL57" s="1686">
        <f>BL55</f>
        <v>249</v>
      </c>
      <c r="BM57" s="1686"/>
      <c r="BN57" s="1686"/>
      <c r="BO57" s="1686"/>
      <c r="BP57" s="1686"/>
      <c r="BQ57" s="1686"/>
      <c r="BR57" s="1686"/>
      <c r="BS57" s="1682">
        <f>BS55*0.5</f>
        <v>0</v>
      </c>
      <c r="BT57" s="1682"/>
      <c r="BU57" s="1682"/>
      <c r="BV57" s="1682"/>
      <c r="BW57" s="1682"/>
      <c r="BX57" s="27"/>
      <c r="BY57" s="1708"/>
      <c r="BZ57" s="1708"/>
      <c r="CA57" s="1708"/>
      <c r="CB57" s="1708"/>
      <c r="CC57" s="1708"/>
      <c r="CD57" s="1708"/>
      <c r="CE57" s="1708"/>
      <c r="CF57" s="27"/>
      <c r="CG57" s="27"/>
      <c r="CH57" s="27"/>
      <c r="CI57" s="27"/>
      <c r="CJ57" s="27"/>
      <c r="CK57" s="27"/>
      <c r="CL57" s="27"/>
      <c r="CM57" s="28"/>
    </row>
    <row r="58" spans="2:97" ht="3.95" customHeight="1" thickBot="1">
      <c r="B58" s="26"/>
      <c r="C58" s="53"/>
      <c r="D58" s="52"/>
      <c r="E58" s="52"/>
      <c r="F58" s="52"/>
      <c r="G58" s="53"/>
      <c r="H58" s="52"/>
      <c r="I58" s="52"/>
      <c r="J58" s="52"/>
      <c r="K58" s="52"/>
      <c r="L58" s="140"/>
      <c r="M58" s="52"/>
      <c r="AY58" s="224"/>
      <c r="BR58" s="27"/>
      <c r="BX58" s="27"/>
      <c r="BY58" s="27"/>
      <c r="BZ58" s="27"/>
      <c r="CA58" s="27"/>
      <c r="CB58" s="27"/>
      <c r="CC58" s="27"/>
      <c r="CD58" s="27"/>
      <c r="CE58" s="27"/>
      <c r="CF58" s="27"/>
      <c r="CG58" s="27"/>
      <c r="CH58" s="27"/>
      <c r="CI58" s="27"/>
      <c r="CJ58" s="27"/>
      <c r="CK58" s="27"/>
      <c r="CL58" s="27"/>
      <c r="CM58" s="28"/>
    </row>
    <row r="59" spans="2:97" ht="20.100000000000001" customHeight="1" thickBot="1">
      <c r="B59" s="26"/>
      <c r="C59" s="1757" t="s">
        <v>1766</v>
      </c>
      <c r="D59" s="1757"/>
      <c r="E59" s="1757"/>
      <c r="F59" s="1757"/>
      <c r="G59" s="1757"/>
      <c r="H59" s="1757"/>
      <c r="I59" s="1757"/>
      <c r="J59" s="1757"/>
      <c r="K59" s="1757"/>
      <c r="L59" s="1757"/>
      <c r="M59" s="1757"/>
      <c r="N59" s="1757"/>
      <c r="O59" s="1757"/>
      <c r="P59" s="1757"/>
      <c r="Q59" s="1757"/>
      <c r="R59" s="1757"/>
      <c r="S59" s="1757"/>
      <c r="T59" s="1757"/>
      <c r="U59" s="1757"/>
      <c r="V59" s="1757"/>
      <c r="W59" s="1757"/>
      <c r="X59" s="1757"/>
      <c r="Y59" s="1757"/>
      <c r="Z59" s="1757"/>
      <c r="AA59" s="1757"/>
      <c r="AB59" s="1757"/>
      <c r="AC59" s="1757"/>
      <c r="AD59" s="1757"/>
      <c r="AE59" s="1757"/>
      <c r="AF59" s="1757"/>
      <c r="AG59" s="1757"/>
      <c r="AH59" s="1757"/>
      <c r="AI59" s="1757"/>
      <c r="AJ59" s="1757"/>
      <c r="AK59" s="1757"/>
      <c r="AL59" s="1757"/>
      <c r="AM59" s="1757"/>
      <c r="AN59" s="1757"/>
      <c r="AO59" s="1757"/>
      <c r="AP59" s="1757"/>
      <c r="AQ59" s="1757"/>
      <c r="AR59" s="1757"/>
      <c r="AS59" s="1757"/>
      <c r="AT59" s="1757"/>
      <c r="AU59" s="1757"/>
      <c r="AV59" s="1757"/>
      <c r="AW59" s="1757"/>
      <c r="AX59" s="1757"/>
      <c r="AY59" s="1757"/>
      <c r="AZ59" s="1757"/>
      <c r="BA59" s="1757"/>
      <c r="BB59" s="1757"/>
      <c r="BC59" s="1757"/>
      <c r="BD59" s="1757"/>
      <c r="BE59" s="1757"/>
      <c r="BF59" s="1757"/>
      <c r="BG59" s="1757"/>
      <c r="BH59" s="1757"/>
      <c r="BI59" s="1757"/>
      <c r="BJ59" s="1757"/>
      <c r="BK59" s="1757"/>
      <c r="BL59" s="1758">
        <f>BL57+BS57</f>
        <v>249</v>
      </c>
      <c r="BM59" s="1758"/>
      <c r="BN59" s="1758"/>
      <c r="BO59" s="1758"/>
      <c r="BP59" s="1758"/>
      <c r="BQ59" s="1758"/>
      <c r="BR59" s="1758"/>
      <c r="BS59" s="27"/>
      <c r="BT59" s="27"/>
      <c r="BU59" s="27"/>
      <c r="BV59" s="27"/>
      <c r="BW59" s="27"/>
      <c r="BX59" s="27"/>
      <c r="BY59" s="27"/>
      <c r="BZ59" s="27"/>
      <c r="CA59" s="27"/>
      <c r="CB59" s="27"/>
      <c r="CC59" s="27"/>
      <c r="CD59" s="27"/>
      <c r="CE59" s="27"/>
      <c r="CF59" s="27"/>
      <c r="CG59" s="27"/>
      <c r="CH59" s="27"/>
      <c r="CI59" s="27"/>
      <c r="CJ59" s="27"/>
      <c r="CK59" s="27"/>
      <c r="CL59" s="27"/>
      <c r="CM59" s="28"/>
    </row>
    <row r="60" spans="2:97" ht="15.95" customHeight="1" thickBot="1">
      <c r="B60" s="26"/>
      <c r="C60" s="53"/>
      <c r="D60" s="52"/>
      <c r="E60" s="52"/>
      <c r="F60" s="52"/>
      <c r="G60" s="53"/>
      <c r="H60" s="52"/>
      <c r="I60" s="52"/>
      <c r="J60" s="52"/>
      <c r="K60" s="52"/>
      <c r="L60" s="140"/>
      <c r="M60" s="52"/>
      <c r="AY60" s="224"/>
      <c r="BR60" s="27"/>
      <c r="BS60" s="27"/>
      <c r="BT60" s="27"/>
      <c r="BU60" s="27"/>
      <c r="BV60" s="27"/>
      <c r="BW60" s="27"/>
      <c r="BX60" s="27"/>
      <c r="BY60" s="27"/>
      <c r="BZ60" s="27"/>
      <c r="CA60" s="27"/>
      <c r="CB60" s="27"/>
      <c r="CC60" s="27"/>
      <c r="CD60" s="27"/>
      <c r="CE60" s="27"/>
      <c r="CF60" s="27"/>
      <c r="CG60" s="27"/>
      <c r="CH60" s="27"/>
      <c r="CI60" s="27"/>
      <c r="CJ60" s="27"/>
      <c r="CK60" s="27"/>
      <c r="CL60" s="27"/>
      <c r="CM60" s="28"/>
    </row>
    <row r="61" spans="2:97" s="211" customFormat="1" ht="20.100000000000001" customHeight="1" thickBot="1">
      <c r="B61" s="209"/>
      <c r="C61" s="1707" t="s">
        <v>1563</v>
      </c>
      <c r="D61" s="1707"/>
      <c r="E61" s="1707"/>
      <c r="F61" s="1707"/>
      <c r="G61" s="1707"/>
      <c r="H61" s="1707"/>
      <c r="I61" s="1707"/>
      <c r="J61" s="1707"/>
      <c r="K61" s="1707"/>
      <c r="L61" s="1707"/>
      <c r="M61" s="1707"/>
      <c r="N61" s="1707"/>
      <c r="O61" s="1707"/>
      <c r="P61" s="1707"/>
      <c r="Q61" s="1707"/>
      <c r="R61" s="1707"/>
      <c r="S61" s="1707"/>
      <c r="T61" s="1707"/>
      <c r="U61" s="1707"/>
      <c r="V61" s="1707"/>
      <c r="W61" s="1707"/>
      <c r="X61" s="1707"/>
      <c r="Y61" s="1707"/>
      <c r="Z61" s="1707"/>
      <c r="AA61" s="1707"/>
      <c r="AB61" s="1707"/>
      <c r="AC61" s="1707"/>
      <c r="AD61" s="1707"/>
      <c r="AE61" s="1707"/>
      <c r="AF61" s="1707"/>
      <c r="AG61" s="1707"/>
      <c r="AH61" s="1707"/>
      <c r="AI61" s="1707"/>
      <c r="AJ61" s="1707"/>
      <c r="AK61" s="1707"/>
      <c r="AL61" s="1707"/>
      <c r="AM61" s="1707"/>
      <c r="AN61" s="1707"/>
      <c r="AO61" s="1706" t="s">
        <v>1735</v>
      </c>
      <c r="AP61" s="1706"/>
      <c r="AQ61" s="1706"/>
      <c r="AR61" s="1706"/>
      <c r="AS61" s="1706"/>
      <c r="AT61" s="1706"/>
      <c r="AU61" s="1706"/>
      <c r="AV61" s="1706"/>
      <c r="AW61" s="1706"/>
      <c r="AX61" s="1706"/>
      <c r="AY61" s="1706"/>
      <c r="AZ61" s="1706"/>
      <c r="BA61" s="1706"/>
      <c r="BB61" s="1706"/>
      <c r="BC61" s="1706"/>
      <c r="BD61" s="1706"/>
      <c r="BE61" s="1706"/>
      <c r="BF61" s="1706"/>
      <c r="BG61" s="1706"/>
      <c r="BH61" s="1706"/>
      <c r="BI61" s="1706"/>
      <c r="BJ61" s="1706"/>
      <c r="BK61" s="1706"/>
      <c r="BL61" s="1706"/>
      <c r="BM61" s="1706"/>
      <c r="BN61" s="1706"/>
      <c r="BO61" s="1706"/>
      <c r="BP61" s="1706"/>
      <c r="BQ61" s="1706"/>
      <c r="BR61" s="1706"/>
      <c r="BS61" s="1706"/>
      <c r="BT61" s="1706"/>
      <c r="BU61" s="1706"/>
      <c r="BV61" s="1706"/>
      <c r="BW61" s="1706"/>
      <c r="BX61" s="1706"/>
      <c r="BY61" s="1706"/>
      <c r="BZ61" s="1706"/>
      <c r="CA61" s="1706"/>
      <c r="CB61" s="1706"/>
      <c r="CC61" s="1706"/>
      <c r="CD61" s="1706"/>
      <c r="CE61" s="1706"/>
      <c r="CF61" s="1766" t="s">
        <v>1693</v>
      </c>
      <c r="CG61" s="1766"/>
      <c r="CH61" s="1766"/>
      <c r="CI61" s="1766"/>
      <c r="CJ61" s="1766"/>
      <c r="CK61" s="1766"/>
      <c r="CL61" s="1766"/>
      <c r="CM61" s="210"/>
      <c r="CO61" s="285"/>
      <c r="CP61" s="285"/>
      <c r="CQ61" s="285"/>
      <c r="CR61" s="288"/>
      <c r="CS61" s="291"/>
    </row>
    <row r="62" spans="2:97" ht="20.100000000000001" customHeight="1" thickBot="1">
      <c r="B62" s="26"/>
      <c r="C62" s="1679" t="str">
        <f>R33</f>
        <v>BANGUNAN RUMAH TINGGAL SEDERHANA</v>
      </c>
      <c r="D62" s="1679"/>
      <c r="E62" s="1679"/>
      <c r="F62" s="1679"/>
      <c r="G62" s="1679"/>
      <c r="H62" s="1679"/>
      <c r="I62" s="1679"/>
      <c r="J62" s="1679"/>
      <c r="K62" s="1679"/>
      <c r="L62" s="1679"/>
      <c r="M62" s="1679"/>
      <c r="N62" s="1679"/>
      <c r="O62" s="1679"/>
      <c r="P62" s="1679"/>
      <c r="Q62" s="1679"/>
      <c r="R62" s="1679"/>
      <c r="S62" s="1679"/>
      <c r="T62" s="1679"/>
      <c r="U62" s="1679"/>
      <c r="V62" s="1679"/>
      <c r="W62" s="1679"/>
      <c r="X62" s="1679"/>
      <c r="Y62" s="1679"/>
      <c r="Z62" s="1679"/>
      <c r="AA62" s="1679"/>
      <c r="AB62" s="1679"/>
      <c r="AC62" s="1679"/>
      <c r="AD62" s="1679"/>
      <c r="AE62" s="1679"/>
      <c r="AF62" s="1679"/>
      <c r="AG62" s="1679"/>
      <c r="AH62" s="1679"/>
      <c r="AI62" s="1679"/>
      <c r="AJ62" s="1679"/>
      <c r="AK62" s="1679"/>
      <c r="AL62" s="1679"/>
      <c r="AM62" s="1679"/>
      <c r="AN62" s="1679"/>
      <c r="AO62" s="1679"/>
      <c r="AP62" s="1679"/>
      <c r="AQ62" s="1679"/>
      <c r="AR62" s="1679"/>
      <c r="AS62" s="1679"/>
      <c r="AT62" s="1679"/>
      <c r="AU62" s="1679"/>
      <c r="AV62" s="1679"/>
      <c r="AW62" s="1679"/>
      <c r="AX62" s="1679"/>
      <c r="AY62" s="1679"/>
      <c r="AZ62" s="1679"/>
      <c r="BA62" s="1679"/>
      <c r="BB62" s="1679"/>
      <c r="BC62" s="1679"/>
      <c r="BD62" s="1679"/>
      <c r="BE62" s="1679"/>
      <c r="BF62" s="1679"/>
      <c r="BG62" s="1679"/>
      <c r="BH62" s="1679"/>
      <c r="BI62" s="1679"/>
      <c r="BJ62" s="1679"/>
      <c r="BK62" s="1679"/>
      <c r="BL62" s="1679"/>
      <c r="BM62" s="1679"/>
      <c r="BN62" s="1679"/>
      <c r="BO62" s="1679"/>
      <c r="BP62" s="1679"/>
      <c r="BQ62" s="1679"/>
      <c r="BR62" s="1679"/>
      <c r="BS62" s="1679"/>
      <c r="BT62" s="1679"/>
      <c r="BU62" s="1679"/>
      <c r="BV62" s="1679"/>
      <c r="BW62" s="1679"/>
      <c r="BX62" s="1679"/>
      <c r="BY62" s="1679"/>
      <c r="BZ62" s="1679"/>
      <c r="CA62" s="1679"/>
      <c r="CB62" s="1679"/>
      <c r="CC62" s="1679"/>
      <c r="CD62" s="1679"/>
      <c r="CE62" s="1679"/>
      <c r="CF62" s="1766"/>
      <c r="CG62" s="1766"/>
      <c r="CH62" s="1766"/>
      <c r="CI62" s="1766"/>
      <c r="CJ62" s="1766"/>
      <c r="CK62" s="1766"/>
      <c r="CL62" s="1766"/>
      <c r="CM62" s="28"/>
      <c r="CO62" s="285">
        <f>IF(R33="BANGUNAN RUMAH TINGGAL MEWAH",2,IF(R33="BANGUNAN RUMAH TINGGAL MENENGAH",2,IF(R33="BANGUNAN GEDUNG MAKSIMAL 4 LANTAI",3,IF(R33="BANGUNAN GEDUNG MAKSIMAL 8 LANTAI",8,IF(R33="BANGUNAN GEDUNG MINIMAL 9 LANTAI",16,1)))))</f>
        <v>1</v>
      </c>
    </row>
    <row r="63" spans="2:97" ht="15.95" customHeight="1" thickBot="1">
      <c r="B63" s="26"/>
      <c r="C63" s="1683" t="str">
        <f>UPPER($N$5)</f>
        <v xml:space="preserve"> - - - PILIH - - -</v>
      </c>
      <c r="D63" s="1683"/>
      <c r="E63" s="1683"/>
      <c r="F63" s="1683"/>
      <c r="G63" s="1683"/>
      <c r="H63" s="1683"/>
      <c r="I63" s="1683"/>
      <c r="J63" s="1683"/>
      <c r="K63" s="1683"/>
      <c r="L63" s="1683"/>
      <c r="M63" s="1683"/>
      <c r="N63" s="1683"/>
      <c r="O63" s="1683"/>
      <c r="P63" s="1683"/>
      <c r="Q63" s="1683"/>
      <c r="R63" s="1683"/>
      <c r="S63" s="1683"/>
      <c r="T63" s="1683"/>
      <c r="U63" s="1683"/>
      <c r="V63" s="1683"/>
      <c r="W63" s="1683"/>
      <c r="X63" s="1683"/>
      <c r="Y63" s="1683"/>
      <c r="Z63" s="1683"/>
      <c r="AA63" s="1683"/>
      <c r="AB63" s="1683"/>
      <c r="AC63" s="1683"/>
      <c r="AD63" s="1683"/>
      <c r="AE63" s="1683"/>
      <c r="AF63" s="1683"/>
      <c r="AG63" s="1683"/>
      <c r="AH63" s="1680" t="s">
        <v>1677</v>
      </c>
      <c r="AI63" s="1680"/>
      <c r="AJ63" s="1680"/>
      <c r="AK63" s="1680"/>
      <c r="AL63" s="1762" t="s">
        <v>1515</v>
      </c>
      <c r="AM63" s="1762"/>
      <c r="AN63" s="1762"/>
      <c r="AO63" s="1765" t="str">
        <f>CONCATENATE("JUMLAH LANTAI BANGUNAN YANG DINILAI - ",X35," LANTAI")</f>
        <v>JUMLAH LANTAI BANGUNAN YANG DINILAI - 1 LANTAI</v>
      </c>
      <c r="AP63" s="1765"/>
      <c r="AQ63" s="1765"/>
      <c r="AR63" s="1765"/>
      <c r="AS63" s="1765"/>
      <c r="AT63" s="1765"/>
      <c r="AU63" s="1765"/>
      <c r="AV63" s="1765"/>
      <c r="AW63" s="1765"/>
      <c r="AX63" s="1765"/>
      <c r="AY63" s="1765"/>
      <c r="AZ63" s="1765"/>
      <c r="BA63" s="1765"/>
      <c r="BB63" s="1765"/>
      <c r="BC63" s="1765"/>
      <c r="BD63" s="1765"/>
      <c r="BE63" s="1765"/>
      <c r="BF63" s="1765"/>
      <c r="BG63" s="1765"/>
      <c r="BH63" s="1765"/>
      <c r="BI63" s="1765"/>
      <c r="BJ63" s="1765"/>
      <c r="BK63" s="1765"/>
      <c r="BL63" s="1765"/>
      <c r="BM63" s="1765"/>
      <c r="BN63" s="1765"/>
      <c r="BO63" s="1765"/>
      <c r="BP63" s="1765"/>
      <c r="BQ63" s="1765"/>
      <c r="BR63" s="1765"/>
      <c r="BS63" s="1765"/>
      <c r="BT63" s="1765"/>
      <c r="BU63" s="1765"/>
      <c r="BV63" s="1765"/>
      <c r="BW63" s="1765"/>
      <c r="BX63" s="1765"/>
      <c r="BY63" s="1765"/>
      <c r="BZ63" s="1765"/>
      <c r="CA63" s="1765"/>
      <c r="CB63" s="1765"/>
      <c r="CC63" s="1765"/>
      <c r="CD63" s="1765"/>
      <c r="CE63" s="1765"/>
      <c r="CF63" s="1766"/>
      <c r="CG63" s="1766"/>
      <c r="CH63" s="1766"/>
      <c r="CI63" s="1766"/>
      <c r="CJ63" s="1766"/>
      <c r="CK63" s="1766"/>
      <c r="CL63" s="1766"/>
      <c r="CM63" s="28"/>
    </row>
    <row r="64" spans="2:97" ht="15.95" customHeight="1" thickBot="1">
      <c r="B64" s="26"/>
      <c r="C64" s="1683" t="str">
        <f>UPPER($BG$5)</f>
        <v>KOTA ADM. JAKARTA SELATAN</v>
      </c>
      <c r="D64" s="1683"/>
      <c r="E64" s="1683"/>
      <c r="F64" s="1683"/>
      <c r="G64" s="1683"/>
      <c r="H64" s="1683"/>
      <c r="I64" s="1683"/>
      <c r="J64" s="1683"/>
      <c r="K64" s="1683"/>
      <c r="L64" s="1683"/>
      <c r="M64" s="1683"/>
      <c r="N64" s="1683"/>
      <c r="O64" s="1683"/>
      <c r="P64" s="1683"/>
      <c r="Q64" s="1683"/>
      <c r="R64" s="1683"/>
      <c r="S64" s="1683"/>
      <c r="T64" s="1683"/>
      <c r="U64" s="1683"/>
      <c r="V64" s="1683"/>
      <c r="W64" s="1683"/>
      <c r="X64" s="1683"/>
      <c r="Y64" s="1683"/>
      <c r="Z64" s="1683"/>
      <c r="AA64" s="1683"/>
      <c r="AB64" s="1683"/>
      <c r="AC64" s="1683"/>
      <c r="AD64" s="1683"/>
      <c r="AE64" s="1683"/>
      <c r="AF64" s="1683"/>
      <c r="AG64" s="1683"/>
      <c r="AH64" s="1680"/>
      <c r="AI64" s="1680"/>
      <c r="AJ64" s="1680"/>
      <c r="AK64" s="1680"/>
      <c r="AL64" s="1762"/>
      <c r="AM64" s="1762"/>
      <c r="AN64" s="1762"/>
      <c r="AO64" s="1685" t="s">
        <v>1664</v>
      </c>
      <c r="AP64" s="1685"/>
      <c r="AQ64" s="1685"/>
      <c r="AR64" s="1685"/>
      <c r="AS64" s="1685"/>
      <c r="AT64" s="1685"/>
      <c r="AU64" s="1685"/>
      <c r="AV64" s="1685"/>
      <c r="AW64" s="1685"/>
      <c r="AX64" s="1685"/>
      <c r="AY64" s="1685"/>
      <c r="AZ64" s="1685"/>
      <c r="BA64" s="1685"/>
      <c r="BB64" s="1685"/>
      <c r="BC64" s="1685"/>
      <c r="BD64" s="1685"/>
      <c r="BE64" s="1623" t="s">
        <v>1668</v>
      </c>
      <c r="BF64" s="1623"/>
      <c r="BG64" s="1623"/>
      <c r="BH64" s="1622" t="s">
        <v>1755</v>
      </c>
      <c r="BI64" s="1622"/>
      <c r="BJ64" s="1622"/>
      <c r="BK64" s="1622"/>
      <c r="BL64" s="1622"/>
      <c r="BM64" s="1622"/>
      <c r="BN64" s="1622"/>
      <c r="BO64" s="1622"/>
      <c r="BP64" s="1622"/>
      <c r="BQ64" s="1622"/>
      <c r="BR64" s="1622"/>
      <c r="BS64" s="1622"/>
      <c r="BT64" s="1622"/>
      <c r="BU64" s="1622"/>
      <c r="BV64" s="1622"/>
      <c r="BW64" s="1622"/>
      <c r="BX64" s="1620" t="s">
        <v>1734</v>
      </c>
      <c r="BY64" s="1620"/>
      <c r="BZ64" s="1620"/>
      <c r="CA64" s="1620"/>
      <c r="CB64" s="1620"/>
      <c r="CC64" s="1620"/>
      <c r="CD64" s="1620"/>
      <c r="CE64" s="1620"/>
      <c r="CF64" s="1766"/>
      <c r="CG64" s="1766"/>
      <c r="CH64" s="1766"/>
      <c r="CI64" s="1766"/>
      <c r="CJ64" s="1766"/>
      <c r="CK64" s="1766"/>
      <c r="CL64" s="1766"/>
      <c r="CM64" s="28"/>
    </row>
    <row r="65" spans="2:98" ht="15.95" customHeight="1" thickBot="1">
      <c r="B65" s="26"/>
      <c r="C65" s="1614" t="s">
        <v>1732</v>
      </c>
      <c r="D65" s="1614"/>
      <c r="E65" s="1614"/>
      <c r="F65" s="1614"/>
      <c r="G65" s="1614"/>
      <c r="H65" s="1614"/>
      <c r="I65" s="1614"/>
      <c r="J65" s="1614"/>
      <c r="K65" s="1614"/>
      <c r="L65" s="1613" t="str">
        <f>CONCATENATE("JUMLAH LANTAI STANDAR MAPPI - ",CO62," LANTAI")</f>
        <v>JUMLAH LANTAI STANDAR MAPPI - 1 LANTAI</v>
      </c>
      <c r="M65" s="1613"/>
      <c r="N65" s="1613"/>
      <c r="O65" s="1613"/>
      <c r="P65" s="1613"/>
      <c r="Q65" s="1613"/>
      <c r="R65" s="1613"/>
      <c r="S65" s="1613"/>
      <c r="T65" s="1613"/>
      <c r="U65" s="1613"/>
      <c r="V65" s="1613"/>
      <c r="W65" s="1613"/>
      <c r="X65" s="1613"/>
      <c r="Y65" s="1613"/>
      <c r="Z65" s="1613"/>
      <c r="AA65" s="1613"/>
      <c r="AB65" s="1613"/>
      <c r="AC65" s="1613"/>
      <c r="AD65" s="1613"/>
      <c r="AE65" s="1613"/>
      <c r="AF65" s="1613"/>
      <c r="AG65" s="1613"/>
      <c r="AH65" s="1680"/>
      <c r="AI65" s="1680"/>
      <c r="AJ65" s="1680"/>
      <c r="AK65" s="1680"/>
      <c r="AL65" s="1762"/>
      <c r="AM65" s="1762"/>
      <c r="AN65" s="1762"/>
      <c r="AO65" s="1685"/>
      <c r="AP65" s="1685"/>
      <c r="AQ65" s="1685"/>
      <c r="AR65" s="1685"/>
      <c r="AS65" s="1685"/>
      <c r="AT65" s="1685"/>
      <c r="AU65" s="1685"/>
      <c r="AV65" s="1685"/>
      <c r="AW65" s="1685"/>
      <c r="AX65" s="1685"/>
      <c r="AY65" s="1685"/>
      <c r="AZ65" s="1685"/>
      <c r="BA65" s="1685"/>
      <c r="BB65" s="1685"/>
      <c r="BC65" s="1685"/>
      <c r="BD65" s="1685"/>
      <c r="BE65" s="1623"/>
      <c r="BF65" s="1623"/>
      <c r="BG65" s="1623"/>
      <c r="BH65" s="1622"/>
      <c r="BI65" s="1622"/>
      <c r="BJ65" s="1622"/>
      <c r="BK65" s="1622"/>
      <c r="BL65" s="1622"/>
      <c r="BM65" s="1622"/>
      <c r="BN65" s="1622"/>
      <c r="BO65" s="1622"/>
      <c r="BP65" s="1622"/>
      <c r="BQ65" s="1622"/>
      <c r="BR65" s="1622"/>
      <c r="BS65" s="1622"/>
      <c r="BT65" s="1622"/>
      <c r="BU65" s="1622"/>
      <c r="BV65" s="1622"/>
      <c r="BW65" s="1622"/>
      <c r="BX65" s="1608" t="s">
        <v>1515</v>
      </c>
      <c r="BY65" s="1608"/>
      <c r="BZ65" s="1608"/>
      <c r="CA65" s="1621" t="s">
        <v>1692</v>
      </c>
      <c r="CB65" s="1621"/>
      <c r="CC65" s="1621"/>
      <c r="CD65" s="1621"/>
      <c r="CE65" s="1621"/>
      <c r="CF65" s="1766"/>
      <c r="CG65" s="1766"/>
      <c r="CH65" s="1766"/>
      <c r="CI65" s="1766"/>
      <c r="CJ65" s="1766"/>
      <c r="CK65" s="1766"/>
      <c r="CL65" s="1766"/>
      <c r="CM65" s="28"/>
    </row>
    <row r="66" spans="2:98" ht="14.1" customHeight="1" thickBot="1">
      <c r="B66" s="26"/>
      <c r="C66" s="1614"/>
      <c r="D66" s="1614"/>
      <c r="E66" s="1614"/>
      <c r="F66" s="1614"/>
      <c r="G66" s="1614"/>
      <c r="H66" s="1614"/>
      <c r="I66" s="1614"/>
      <c r="J66" s="1614"/>
      <c r="K66" s="1614"/>
      <c r="L66" s="1615" t="s">
        <v>1514</v>
      </c>
      <c r="M66" s="1615"/>
      <c r="N66" s="1615"/>
      <c r="O66" s="1615"/>
      <c r="P66" s="1615"/>
      <c r="Q66" s="1615"/>
      <c r="R66" s="1615"/>
      <c r="S66" s="1615"/>
      <c r="T66" s="1615"/>
      <c r="U66" s="1615"/>
      <c r="V66" s="1615"/>
      <c r="W66" s="1615"/>
      <c r="X66" s="1615"/>
      <c r="Y66" s="1615"/>
      <c r="Z66" s="1615"/>
      <c r="AA66" s="1615"/>
      <c r="AB66" s="1614" t="s">
        <v>1692</v>
      </c>
      <c r="AC66" s="1614"/>
      <c r="AD66" s="1614"/>
      <c r="AE66" s="1614"/>
      <c r="AF66" s="1614"/>
      <c r="AG66" s="1614"/>
      <c r="AH66" s="1680"/>
      <c r="AI66" s="1680"/>
      <c r="AJ66" s="1680"/>
      <c r="AK66" s="1680"/>
      <c r="AL66" s="1762"/>
      <c r="AM66" s="1762"/>
      <c r="AN66" s="1762"/>
      <c r="AO66" s="1685"/>
      <c r="AP66" s="1685"/>
      <c r="AQ66" s="1685"/>
      <c r="AR66" s="1685"/>
      <c r="AS66" s="1685"/>
      <c r="AT66" s="1685"/>
      <c r="AU66" s="1685"/>
      <c r="AV66" s="1685"/>
      <c r="AW66" s="1685"/>
      <c r="AX66" s="1685"/>
      <c r="AY66" s="1685"/>
      <c r="AZ66" s="1685"/>
      <c r="BA66" s="1685"/>
      <c r="BB66" s="1685"/>
      <c r="BC66" s="1685"/>
      <c r="BD66" s="1685"/>
      <c r="BE66" s="1623"/>
      <c r="BF66" s="1623"/>
      <c r="BG66" s="1623"/>
      <c r="BH66" s="1622"/>
      <c r="BI66" s="1622"/>
      <c r="BJ66" s="1622"/>
      <c r="BK66" s="1622"/>
      <c r="BL66" s="1622"/>
      <c r="BM66" s="1622"/>
      <c r="BN66" s="1622"/>
      <c r="BO66" s="1622"/>
      <c r="BP66" s="1622"/>
      <c r="BQ66" s="1622"/>
      <c r="BR66" s="1622"/>
      <c r="BS66" s="1622"/>
      <c r="BT66" s="1622"/>
      <c r="BU66" s="1622"/>
      <c r="BV66" s="1622"/>
      <c r="BW66" s="1622"/>
      <c r="BX66" s="1608"/>
      <c r="BY66" s="1608"/>
      <c r="BZ66" s="1608"/>
      <c r="CA66" s="1621"/>
      <c r="CB66" s="1621"/>
      <c r="CC66" s="1621"/>
      <c r="CD66" s="1621"/>
      <c r="CE66" s="1621"/>
      <c r="CF66" s="1766"/>
      <c r="CG66" s="1766"/>
      <c r="CH66" s="1766"/>
      <c r="CI66" s="1766"/>
      <c r="CJ66" s="1766"/>
      <c r="CK66" s="1766"/>
      <c r="CL66" s="1766"/>
      <c r="CM66" s="28"/>
    </row>
    <row r="67" spans="2:98" ht="26.25" customHeight="1" thickBot="1">
      <c r="B67" s="26"/>
      <c r="C67" s="1614"/>
      <c r="D67" s="1614"/>
      <c r="E67" s="1614"/>
      <c r="F67" s="1614"/>
      <c r="G67" s="1614"/>
      <c r="H67" s="1614"/>
      <c r="I67" s="1614"/>
      <c r="J67" s="1614"/>
      <c r="K67" s="1614"/>
      <c r="L67" s="1615"/>
      <c r="M67" s="1615"/>
      <c r="N67" s="1615"/>
      <c r="O67" s="1615"/>
      <c r="P67" s="1615"/>
      <c r="Q67" s="1615"/>
      <c r="R67" s="1615"/>
      <c r="S67" s="1615"/>
      <c r="T67" s="1615"/>
      <c r="U67" s="1615"/>
      <c r="V67" s="1615"/>
      <c r="W67" s="1615"/>
      <c r="X67" s="1615"/>
      <c r="Y67" s="1615"/>
      <c r="Z67" s="1615"/>
      <c r="AA67" s="1615"/>
      <c r="AB67" s="1614"/>
      <c r="AC67" s="1614"/>
      <c r="AD67" s="1614"/>
      <c r="AE67" s="1614"/>
      <c r="AF67" s="1614"/>
      <c r="AG67" s="1614"/>
      <c r="AH67" s="1680"/>
      <c r="AI67" s="1680"/>
      <c r="AJ67" s="1680"/>
      <c r="AK67" s="1680"/>
      <c r="AL67" s="1762"/>
      <c r="AM67" s="1762"/>
      <c r="AN67" s="1762"/>
      <c r="AO67" s="1685"/>
      <c r="AP67" s="1685"/>
      <c r="AQ67" s="1685"/>
      <c r="AR67" s="1685"/>
      <c r="AS67" s="1685"/>
      <c r="AT67" s="1685"/>
      <c r="AU67" s="1685"/>
      <c r="AV67" s="1685"/>
      <c r="AW67" s="1685"/>
      <c r="AX67" s="1685"/>
      <c r="AY67" s="1685"/>
      <c r="AZ67" s="1685"/>
      <c r="BA67" s="1685"/>
      <c r="BB67" s="1685"/>
      <c r="BC67" s="1685"/>
      <c r="BD67" s="1685"/>
      <c r="BE67" s="1623"/>
      <c r="BF67" s="1623"/>
      <c r="BG67" s="1623"/>
      <c r="BH67" s="1622"/>
      <c r="BI67" s="1622"/>
      <c r="BJ67" s="1622"/>
      <c r="BK67" s="1622"/>
      <c r="BL67" s="1622"/>
      <c r="BM67" s="1622"/>
      <c r="BN67" s="1622"/>
      <c r="BO67" s="1622"/>
      <c r="BP67" s="1622"/>
      <c r="BQ67" s="1622"/>
      <c r="BR67" s="1622"/>
      <c r="BS67" s="1622"/>
      <c r="BT67" s="1622"/>
      <c r="BU67" s="1622"/>
      <c r="BV67" s="1622"/>
      <c r="BW67" s="1622"/>
      <c r="BX67" s="1608"/>
      <c r="BY67" s="1608"/>
      <c r="BZ67" s="1608"/>
      <c r="CA67" s="1621"/>
      <c r="CB67" s="1621"/>
      <c r="CC67" s="1621"/>
      <c r="CD67" s="1621"/>
      <c r="CE67" s="1621"/>
      <c r="CF67" s="1766"/>
      <c r="CG67" s="1766"/>
      <c r="CH67" s="1766"/>
      <c r="CI67" s="1766"/>
      <c r="CJ67" s="1766"/>
      <c r="CK67" s="1766"/>
      <c r="CL67" s="1766"/>
      <c r="CM67" s="28"/>
    </row>
    <row r="68" spans="2:98" ht="15.95" customHeight="1" thickBot="1">
      <c r="B68" s="26"/>
      <c r="C68" s="1635" t="s">
        <v>0</v>
      </c>
      <c r="D68" s="1636"/>
      <c r="E68" s="1636"/>
      <c r="F68" s="1636"/>
      <c r="G68" s="1636"/>
      <c r="H68" s="1636"/>
      <c r="I68" s="1636"/>
      <c r="J68" s="1636"/>
      <c r="K68" s="1636"/>
      <c r="L68" s="1636"/>
      <c r="M68" s="1636"/>
      <c r="N68" s="1636"/>
      <c r="O68" s="1636"/>
      <c r="P68" s="1636"/>
      <c r="Q68" s="1636"/>
      <c r="R68" s="1636"/>
      <c r="S68" s="1636"/>
      <c r="T68" s="1636"/>
      <c r="U68" s="1636"/>
      <c r="V68" s="1636"/>
      <c r="W68" s="1636"/>
      <c r="X68" s="1636"/>
      <c r="Y68" s="1636"/>
      <c r="Z68" s="1636"/>
      <c r="AA68" s="1636"/>
      <c r="AB68" s="1636"/>
      <c r="AC68" s="1636"/>
      <c r="AD68" s="1636"/>
      <c r="AE68" s="1636"/>
      <c r="AF68" s="1636"/>
      <c r="AG68" s="1636"/>
      <c r="AH68" s="1636"/>
      <c r="AI68" s="1636"/>
      <c r="AJ68" s="1636"/>
      <c r="AK68" s="1636"/>
      <c r="AL68" s="1636"/>
      <c r="AM68" s="1636"/>
      <c r="AN68" s="1636"/>
      <c r="AO68" s="1636"/>
      <c r="AP68" s="1636"/>
      <c r="AQ68" s="1636"/>
      <c r="AR68" s="1636"/>
      <c r="AS68" s="1636"/>
      <c r="AT68" s="1636"/>
      <c r="AU68" s="1636"/>
      <c r="AV68" s="1636"/>
      <c r="AW68" s="1636"/>
      <c r="AX68" s="1636"/>
      <c r="AY68" s="1636"/>
      <c r="AZ68" s="1636"/>
      <c r="BA68" s="1636"/>
      <c r="BB68" s="1636"/>
      <c r="BC68" s="1636"/>
      <c r="BD68" s="1636"/>
      <c r="BE68" s="1636"/>
      <c r="BF68" s="1636"/>
      <c r="BG68" s="1636"/>
      <c r="BH68" s="1636"/>
      <c r="BI68" s="1636"/>
      <c r="BJ68" s="1636"/>
      <c r="BK68" s="1636"/>
      <c r="BL68" s="1636"/>
      <c r="BM68" s="1636"/>
      <c r="BN68" s="1636"/>
      <c r="BO68" s="1636"/>
      <c r="BP68" s="1636"/>
      <c r="BQ68" s="1636"/>
      <c r="BR68" s="1636"/>
      <c r="BS68" s="1636"/>
      <c r="BT68" s="1636"/>
      <c r="BU68" s="1636"/>
      <c r="BV68" s="1636"/>
      <c r="BW68" s="1636"/>
      <c r="BX68" s="1636"/>
      <c r="BY68" s="1636"/>
      <c r="BZ68" s="1636"/>
      <c r="CA68" s="1636"/>
      <c r="CB68" s="1636"/>
      <c r="CC68" s="1636"/>
      <c r="CD68" s="1636"/>
      <c r="CE68" s="1636"/>
      <c r="CF68" s="1636"/>
      <c r="CG68" s="1636"/>
      <c r="CH68" s="1636"/>
      <c r="CI68" s="1636"/>
      <c r="CJ68" s="1636"/>
      <c r="CK68" s="1636"/>
      <c r="CL68" s="1637"/>
      <c r="CM68" s="28"/>
    </row>
    <row r="69" spans="2:98" s="153" customFormat="1" ht="14.1" customHeight="1" thickBot="1">
      <c r="B69" s="203"/>
      <c r="C69" s="1601" t="s">
        <v>1291</v>
      </c>
      <c r="D69" s="1601"/>
      <c r="E69" s="1601"/>
      <c r="F69" s="1601"/>
      <c r="G69" s="1601"/>
      <c r="H69" s="1601"/>
      <c r="I69" s="1601"/>
      <c r="J69" s="1601"/>
      <c r="K69" s="1601"/>
      <c r="L69" s="1603" t="str">
        <f>IFERROR(INDEX(SOURCE!$DN$5:$DU$12,MATCH(C69,SOURCE!$DM$5:$DM$12,0),MATCH(R33,SOURCE!$DN$4:$DU$4,0)),0)</f>
        <v>STRUKTUR BETON BERTULANG</v>
      </c>
      <c r="M69" s="1604"/>
      <c r="N69" s="1604"/>
      <c r="O69" s="1604"/>
      <c r="P69" s="1604"/>
      <c r="Q69" s="1604"/>
      <c r="R69" s="1604"/>
      <c r="S69" s="1604"/>
      <c r="T69" s="1604"/>
      <c r="U69" s="1604"/>
      <c r="V69" s="1604"/>
      <c r="W69" s="1604"/>
      <c r="X69" s="1604"/>
      <c r="Y69" s="1604"/>
      <c r="Z69" s="1604"/>
      <c r="AA69" s="1604"/>
      <c r="AB69" s="1606">
        <f>IFERROR(INDEX(SOURCE!$CO$52:$CV$60,MATCH(C69,SOURCE!$CL$52:$CL$60,0),MATCH(R33,SOURCE!$CO$43:$CV$43,0)),0)</f>
        <v>295720</v>
      </c>
      <c r="AC69" s="1606"/>
      <c r="AD69" s="1606"/>
      <c r="AE69" s="1606"/>
      <c r="AF69" s="1607"/>
      <c r="AG69" s="1607"/>
      <c r="AH69" s="1612">
        <f>IFERROR(AB69/AB79,0)</f>
        <v>0.1314734621680963</v>
      </c>
      <c r="AI69" s="1612"/>
      <c r="AJ69" s="1612"/>
      <c r="AK69" s="1612"/>
      <c r="AL69" s="1605">
        <f t="shared" ref="AL69:AL76" si="0">IF(AB69=0,0,(100%-BX69))</f>
        <v>1</v>
      </c>
      <c r="AM69" s="1605"/>
      <c r="AN69" s="1605"/>
      <c r="AO69" s="1602" t="s">
        <v>1292</v>
      </c>
      <c r="AP69" s="1602"/>
      <c r="AQ69" s="1602"/>
      <c r="AR69" s="1602"/>
      <c r="AS69" s="1602"/>
      <c r="AT69" s="1602"/>
      <c r="AU69" s="1602"/>
      <c r="AV69" s="1602"/>
      <c r="AW69" s="1602"/>
      <c r="AX69" s="1602"/>
      <c r="AY69" s="1602"/>
      <c r="AZ69" s="1602"/>
      <c r="BA69" s="1602"/>
      <c r="BB69" s="1602"/>
      <c r="BC69" s="1602"/>
      <c r="BD69" s="1602"/>
      <c r="BE69" s="1616">
        <f ca="1">IF(AB69=0,0,IFERROR(VLOOKUP(AO69,INDIRECT(CO33),2,FALSE),0))</f>
        <v>1</v>
      </c>
      <c r="BF69" s="1616"/>
      <c r="BG69" s="1616"/>
      <c r="BH69" s="1609" t="str">
        <f>IF(X35=" - - - PILIH - - -","-",IF(X35=CO62,"-","Penyesuaian Indeks Jumlah Lantai Bangunan"))</f>
        <v>-</v>
      </c>
      <c r="BI69" s="1610"/>
      <c r="BJ69" s="1610"/>
      <c r="BK69" s="1610"/>
      <c r="BL69" s="1610"/>
      <c r="BM69" s="1610"/>
      <c r="BN69" s="1610"/>
      <c r="BO69" s="1610"/>
      <c r="BP69" s="1610"/>
      <c r="BQ69" s="1610"/>
      <c r="BR69" s="1610"/>
      <c r="BS69" s="1610"/>
      <c r="BT69" s="1610"/>
      <c r="BU69" s="1610"/>
      <c r="BV69" s="1610"/>
      <c r="BW69" s="1610"/>
      <c r="BX69" s="1610"/>
      <c r="BY69" s="1610"/>
      <c r="BZ69" s="1610"/>
      <c r="CA69" s="1610"/>
      <c r="CB69" s="1610"/>
      <c r="CC69" s="1610"/>
      <c r="CD69" s="1610"/>
      <c r="CE69" s="1611"/>
      <c r="CF69" s="1644">
        <f ca="1">IF(BH69="Penyesuaian Indeks Jumlah Lantai Bangunan",AB69*CO35,(AB69*(BE69+0)*(AL69+BX69)))</f>
        <v>295720</v>
      </c>
      <c r="CG69" s="1645"/>
      <c r="CH69" s="1645"/>
      <c r="CI69" s="1645"/>
      <c r="CJ69" s="1645"/>
      <c r="CK69" s="1645"/>
      <c r="CL69" s="1645"/>
      <c r="CM69" s="204"/>
      <c r="CO69" s="285" t="str">
        <f>HLOOKUP(R33,SOURCE!$BD$3:$BK$11,2,FALSE)</f>
        <v>PONDASI_RT_SDN</v>
      </c>
      <c r="CP69" s="285"/>
      <c r="CQ69" s="285"/>
      <c r="CR69" s="285"/>
      <c r="CS69" s="292"/>
    </row>
    <row r="70" spans="2:98" s="153" customFormat="1" ht="14.1" customHeight="1" thickBot="1">
      <c r="B70" s="203"/>
      <c r="C70" s="1601" t="s">
        <v>1295</v>
      </c>
      <c r="D70" s="1601"/>
      <c r="E70" s="1601"/>
      <c r="F70" s="1601"/>
      <c r="G70" s="1601"/>
      <c r="H70" s="1601"/>
      <c r="I70" s="1601"/>
      <c r="J70" s="1601"/>
      <c r="K70" s="1601"/>
      <c r="L70" s="1603" t="str">
        <f>IFERROR(INDEX(SOURCE!$DN$5:$DU$12,MATCH(C70,SOURCE!$DM$5:$DM$12,0),MATCH(R33,SOURCE!$DN$4:$DU$4,0)),0)</f>
        <v>STRUKTUR BETON BERTULANG</v>
      </c>
      <c r="M70" s="1604"/>
      <c r="N70" s="1604"/>
      <c r="O70" s="1604"/>
      <c r="P70" s="1604"/>
      <c r="Q70" s="1604"/>
      <c r="R70" s="1604"/>
      <c r="S70" s="1604"/>
      <c r="T70" s="1604"/>
      <c r="U70" s="1604"/>
      <c r="V70" s="1604"/>
      <c r="W70" s="1604"/>
      <c r="X70" s="1604"/>
      <c r="Y70" s="1604"/>
      <c r="Z70" s="1604"/>
      <c r="AA70" s="1604"/>
      <c r="AB70" s="1606">
        <f>IFERROR(INDEX(SOURCE!$CO$52:$CV$60,MATCH(C70,SOURCE!$CL$52:$CL$60,0),MATCH(R33,SOURCE!$CO$43:$CV$43,0)),0)</f>
        <v>568868.02798137057</v>
      </c>
      <c r="AC70" s="1606"/>
      <c r="AD70" s="1606"/>
      <c r="AE70" s="1606"/>
      <c r="AF70" s="1607"/>
      <c r="AG70" s="1607"/>
      <c r="AH70" s="1612">
        <f>IFERROR(AB70/AB79,0)</f>
        <v>0.25291170416423731</v>
      </c>
      <c r="AI70" s="1612"/>
      <c r="AJ70" s="1612"/>
      <c r="AK70" s="1612"/>
      <c r="AL70" s="1605">
        <f t="shared" si="0"/>
        <v>1</v>
      </c>
      <c r="AM70" s="1605"/>
      <c r="AN70" s="1605"/>
      <c r="AO70" s="1602" t="s">
        <v>1292</v>
      </c>
      <c r="AP70" s="1602"/>
      <c r="AQ70" s="1602"/>
      <c r="AR70" s="1602"/>
      <c r="AS70" s="1602"/>
      <c r="AT70" s="1602"/>
      <c r="AU70" s="1602"/>
      <c r="AV70" s="1602"/>
      <c r="AW70" s="1602"/>
      <c r="AX70" s="1602"/>
      <c r="AY70" s="1602"/>
      <c r="AZ70" s="1602"/>
      <c r="BA70" s="1602"/>
      <c r="BB70" s="1602"/>
      <c r="BC70" s="1602"/>
      <c r="BD70" s="1602"/>
      <c r="BE70" s="1616">
        <f ca="1">IF(AB70=0,0,IFERROR(VLOOKUP(AO70,INDIRECT(CO33),2,FALSE),0))</f>
        <v>1</v>
      </c>
      <c r="BF70" s="1616"/>
      <c r="BG70" s="1616"/>
      <c r="BH70" s="1609" t="str">
        <f>IF(X35=" - - - PILIH - - -","-",IF(X35=CO62,"-","Penyesuaian Indeks Jumlah Lantai Bangunan"))</f>
        <v>-</v>
      </c>
      <c r="BI70" s="1610"/>
      <c r="BJ70" s="1610"/>
      <c r="BK70" s="1610"/>
      <c r="BL70" s="1610"/>
      <c r="BM70" s="1610"/>
      <c r="BN70" s="1610"/>
      <c r="BO70" s="1610"/>
      <c r="BP70" s="1610"/>
      <c r="BQ70" s="1610"/>
      <c r="BR70" s="1610"/>
      <c r="BS70" s="1610"/>
      <c r="BT70" s="1610"/>
      <c r="BU70" s="1610"/>
      <c r="BV70" s="1610"/>
      <c r="BW70" s="1610"/>
      <c r="BX70" s="1610"/>
      <c r="BY70" s="1610"/>
      <c r="BZ70" s="1610"/>
      <c r="CA70" s="1610"/>
      <c r="CB70" s="1610"/>
      <c r="CC70" s="1610"/>
      <c r="CD70" s="1610"/>
      <c r="CE70" s="1611"/>
      <c r="CF70" s="1644">
        <f ca="1">IF(BH70="Penyesuaian Indeks Jumlah Lantai Bangunan",AB70*CO35,(AB70*(BE70+0)*(AL70+BX70)))*0.7</f>
        <v>398207.61958695936</v>
      </c>
      <c r="CG70" s="1645"/>
      <c r="CH70" s="1645"/>
      <c r="CI70" s="1645"/>
      <c r="CJ70" s="1645"/>
      <c r="CK70" s="1645"/>
      <c r="CL70" s="1645"/>
      <c r="CM70" s="204"/>
      <c r="CO70" s="285" t="str">
        <f>HLOOKUP(R33,SOURCE!$BD$3:$BK$11,3,FALSE)</f>
        <v>STRUKTUR_RT_SDN</v>
      </c>
      <c r="CP70" s="285"/>
      <c r="CQ70" s="285"/>
      <c r="CR70" s="285"/>
      <c r="CS70" s="292"/>
    </row>
    <row r="71" spans="2:98" s="153" customFormat="1" ht="14.1" customHeight="1" thickBot="1">
      <c r="B71" s="203"/>
      <c r="C71" s="1601" t="s">
        <v>1296</v>
      </c>
      <c r="D71" s="1601"/>
      <c r="E71" s="1601"/>
      <c r="F71" s="1601"/>
      <c r="G71" s="1601"/>
      <c r="H71" s="1601"/>
      <c r="I71" s="1601"/>
      <c r="J71" s="1601"/>
      <c r="K71" s="1601"/>
      <c r="L71" s="1603" t="str">
        <f>IFERROR(INDEX(SOURCE!$DN$5:$DU$12,MATCH(C71,SOURCE!$DM$5:$DM$12,0),MATCH(R33,SOURCE!$DN$4:$DU$4,0)),0)</f>
        <v>STRUKTUR KAYU</v>
      </c>
      <c r="M71" s="1604"/>
      <c r="N71" s="1604"/>
      <c r="O71" s="1604"/>
      <c r="P71" s="1604"/>
      <c r="Q71" s="1604"/>
      <c r="R71" s="1604"/>
      <c r="S71" s="1604"/>
      <c r="T71" s="1604"/>
      <c r="U71" s="1604"/>
      <c r="V71" s="1604"/>
      <c r="W71" s="1604"/>
      <c r="X71" s="1604"/>
      <c r="Y71" s="1604"/>
      <c r="Z71" s="1604"/>
      <c r="AA71" s="1604"/>
      <c r="AB71" s="1606">
        <f>IFERROR(INDEX(SOURCE!$CO$52:$CV$60,MATCH(C71,SOURCE!$CL$52:$CL$60,0),MATCH(R33,SOURCE!$CO$43:$CV$43,0)),0)</f>
        <v>191705.15234868601</v>
      </c>
      <c r="AC71" s="1606"/>
      <c r="AD71" s="1606"/>
      <c r="AE71" s="1606"/>
      <c r="AF71" s="1607"/>
      <c r="AG71" s="1607"/>
      <c r="AH71" s="1612">
        <f>IFERROR(AB71/AB79,0)</f>
        <v>8.5229744673150629E-2</v>
      </c>
      <c r="AI71" s="1612"/>
      <c r="AJ71" s="1612"/>
      <c r="AK71" s="1612"/>
      <c r="AL71" s="1605">
        <f t="shared" si="0"/>
        <v>1</v>
      </c>
      <c r="AM71" s="1605"/>
      <c r="AN71" s="1605"/>
      <c r="AO71" s="1602" t="s">
        <v>1670</v>
      </c>
      <c r="AP71" s="1602"/>
      <c r="AQ71" s="1602"/>
      <c r="AR71" s="1602"/>
      <c r="AS71" s="1602"/>
      <c r="AT71" s="1602"/>
      <c r="AU71" s="1602"/>
      <c r="AV71" s="1602"/>
      <c r="AW71" s="1602"/>
      <c r="AX71" s="1602"/>
      <c r="AY71" s="1602"/>
      <c r="AZ71" s="1602"/>
      <c r="BA71" s="1602"/>
      <c r="BB71" s="1602"/>
      <c r="BC71" s="1602"/>
      <c r="BD71" s="1602"/>
      <c r="BE71" s="1616">
        <f ca="1">IF(AB71=0,0,IFERROR(VLOOKUP(AO71,INDIRECT(CO33),2,FALSE),0))</f>
        <v>1</v>
      </c>
      <c r="BF71" s="1616"/>
      <c r="BG71" s="1616"/>
      <c r="BH71" s="1627" t="s">
        <v>3</v>
      </c>
      <c r="BI71" s="1627"/>
      <c r="BJ71" s="1627"/>
      <c r="BK71" s="1627"/>
      <c r="BL71" s="1627"/>
      <c r="BM71" s="1627"/>
      <c r="BN71" s="1627"/>
      <c r="BO71" s="1627"/>
      <c r="BP71" s="1627"/>
      <c r="BQ71" s="1627"/>
      <c r="BR71" s="1627"/>
      <c r="BS71" s="1627"/>
      <c r="BT71" s="1627"/>
      <c r="BU71" s="1627"/>
      <c r="BV71" s="1627"/>
      <c r="BW71" s="1627"/>
      <c r="BX71" s="1626">
        <v>0</v>
      </c>
      <c r="BY71" s="1626"/>
      <c r="BZ71" s="1626"/>
      <c r="CA71" s="1624">
        <v>0</v>
      </c>
      <c r="CB71" s="1624"/>
      <c r="CC71" s="1624"/>
      <c r="CD71" s="1625"/>
      <c r="CE71" s="1625"/>
      <c r="CF71" s="1644">
        <f t="shared" ref="CF71:CF76" ca="1" si="1">IFERROR((AB71*(BE71+0)*AL71)+(CA71*BX71),0)</f>
        <v>191705.15234868601</v>
      </c>
      <c r="CG71" s="1645"/>
      <c r="CH71" s="1645"/>
      <c r="CI71" s="1645"/>
      <c r="CJ71" s="1645"/>
      <c r="CK71" s="1645"/>
      <c r="CL71" s="1645"/>
      <c r="CM71" s="204"/>
      <c r="CO71" s="285" t="str">
        <f>HLOOKUP(R33,SOURCE!$BD$3:$BK$11,4,FALSE)</f>
        <v>RANGKA_ATAP_RT_SDN</v>
      </c>
      <c r="CP71" s="285"/>
      <c r="CQ71" s="285"/>
      <c r="CR71" s="285"/>
      <c r="CS71" s="292"/>
    </row>
    <row r="72" spans="2:98" s="153" customFormat="1" ht="14.1" customHeight="1" thickBot="1">
      <c r="B72" s="203"/>
      <c r="C72" s="1601" t="s">
        <v>1298</v>
      </c>
      <c r="D72" s="1601"/>
      <c r="E72" s="1601"/>
      <c r="F72" s="1601"/>
      <c r="G72" s="1601"/>
      <c r="H72" s="1601"/>
      <c r="I72" s="1601"/>
      <c r="J72" s="1601"/>
      <c r="K72" s="1601"/>
      <c r="L72" s="1603" t="str">
        <f>IFERROR(INDEX(SOURCE!$DN$5:$DU$12,MATCH(C72,SOURCE!$DM$5:$DM$12,0),MATCH(R33,SOURCE!$DN$4:$DU$4,0)),0)</f>
        <v>SENG GELOMBANG</v>
      </c>
      <c r="M72" s="1604"/>
      <c r="N72" s="1604"/>
      <c r="O72" s="1604"/>
      <c r="P72" s="1604"/>
      <c r="Q72" s="1604"/>
      <c r="R72" s="1604"/>
      <c r="S72" s="1604"/>
      <c r="T72" s="1604"/>
      <c r="U72" s="1604"/>
      <c r="V72" s="1604"/>
      <c r="W72" s="1604"/>
      <c r="X72" s="1604"/>
      <c r="Y72" s="1604"/>
      <c r="Z72" s="1604"/>
      <c r="AA72" s="1604"/>
      <c r="AB72" s="1606">
        <f>IFERROR(INDEX(SOURCE!$CO$52:$CV$60,MATCH(C72,SOURCE!$CL$52:$CL$60,0),MATCH(R33,SOURCE!$CO$43:$CV$43,0)),0)</f>
        <v>144469.17678415836</v>
      </c>
      <c r="AC72" s="1606"/>
      <c r="AD72" s="1606"/>
      <c r="AE72" s="1606"/>
      <c r="AF72" s="1607"/>
      <c r="AG72" s="1607"/>
      <c r="AH72" s="1612">
        <f>IFERROR(AB72/AB79,0)</f>
        <v>6.4229212932463337E-2</v>
      </c>
      <c r="AI72" s="1612"/>
      <c r="AJ72" s="1612"/>
      <c r="AK72" s="1612"/>
      <c r="AL72" s="1605">
        <f t="shared" si="0"/>
        <v>1</v>
      </c>
      <c r="AM72" s="1605"/>
      <c r="AN72" s="1605"/>
      <c r="AO72" s="1602" t="s">
        <v>1302</v>
      </c>
      <c r="AP72" s="1602"/>
      <c r="AQ72" s="1602"/>
      <c r="AR72" s="1602"/>
      <c r="AS72" s="1602"/>
      <c r="AT72" s="1602"/>
      <c r="AU72" s="1602"/>
      <c r="AV72" s="1602"/>
      <c r="AW72" s="1602"/>
      <c r="AX72" s="1602"/>
      <c r="AY72" s="1602"/>
      <c r="AZ72" s="1602"/>
      <c r="BA72" s="1602"/>
      <c r="BB72" s="1602"/>
      <c r="BC72" s="1602"/>
      <c r="BD72" s="1602"/>
      <c r="BE72" s="1616">
        <f ca="1">IF(AB72=0,0,IFERROR(VLOOKUP(AO72,INDIRECT(CO33),2,FALSE),0))</f>
        <v>0.86199271348636042</v>
      </c>
      <c r="BF72" s="1616"/>
      <c r="BG72" s="1616"/>
      <c r="BH72" s="1627" t="s">
        <v>3</v>
      </c>
      <c r="BI72" s="1627"/>
      <c r="BJ72" s="1627"/>
      <c r="BK72" s="1627"/>
      <c r="BL72" s="1627"/>
      <c r="BM72" s="1627"/>
      <c r="BN72" s="1627"/>
      <c r="BO72" s="1627"/>
      <c r="BP72" s="1627"/>
      <c r="BQ72" s="1627"/>
      <c r="BR72" s="1627"/>
      <c r="BS72" s="1627"/>
      <c r="BT72" s="1627"/>
      <c r="BU72" s="1627"/>
      <c r="BV72" s="1627"/>
      <c r="BW72" s="1627"/>
      <c r="BX72" s="1626">
        <v>0</v>
      </c>
      <c r="BY72" s="1626"/>
      <c r="BZ72" s="1626"/>
      <c r="CA72" s="1624">
        <v>0</v>
      </c>
      <c r="CB72" s="1624"/>
      <c r="CC72" s="1624"/>
      <c r="CD72" s="1625"/>
      <c r="CE72" s="1625"/>
      <c r="CF72" s="1644">
        <f t="shared" ca="1" si="1"/>
        <v>124531.37771131737</v>
      </c>
      <c r="CG72" s="1645"/>
      <c r="CH72" s="1645"/>
      <c r="CI72" s="1645"/>
      <c r="CJ72" s="1645"/>
      <c r="CK72" s="1645"/>
      <c r="CL72" s="1645"/>
      <c r="CM72" s="204"/>
      <c r="CO72" s="285" t="str">
        <f>HLOOKUP(R33,SOURCE!$BD$3:$BK$11,5,FALSE)</f>
        <v>PENUTUP_ATAP_RT_SDN</v>
      </c>
      <c r="CP72" s="285"/>
      <c r="CQ72" s="285"/>
      <c r="CR72" s="285"/>
      <c r="CS72" s="292"/>
      <c r="CT72" s="961" t="s">
        <v>2346</v>
      </c>
    </row>
    <row r="73" spans="2:98" s="153" customFormat="1" ht="14.1" customHeight="1" thickBot="1">
      <c r="B73" s="203"/>
      <c r="C73" s="1601" t="s">
        <v>1507</v>
      </c>
      <c r="D73" s="1601"/>
      <c r="E73" s="1601"/>
      <c r="F73" s="1601"/>
      <c r="G73" s="1601"/>
      <c r="H73" s="1601"/>
      <c r="I73" s="1601"/>
      <c r="J73" s="1601"/>
      <c r="K73" s="1601"/>
      <c r="L73" s="1603" t="str">
        <f>IFERROR(INDEX(SOURCE!$DN$5:$DU$12,MATCH(C73,SOURCE!$DM$5:$DM$12,0),MATCH(R33,SOURCE!$DN$4:$DU$4,0)),0)</f>
        <v>TRIPLEK</v>
      </c>
      <c r="M73" s="1604"/>
      <c r="N73" s="1604"/>
      <c r="O73" s="1604"/>
      <c r="P73" s="1604"/>
      <c r="Q73" s="1604"/>
      <c r="R73" s="1604"/>
      <c r="S73" s="1604"/>
      <c r="T73" s="1604"/>
      <c r="U73" s="1604"/>
      <c r="V73" s="1604"/>
      <c r="W73" s="1604"/>
      <c r="X73" s="1604"/>
      <c r="Y73" s="1604"/>
      <c r="Z73" s="1604"/>
      <c r="AA73" s="1604"/>
      <c r="AB73" s="1606">
        <f>IFERROR(INDEX(SOURCE!$CO$52:$CV$60,MATCH(C73,SOURCE!$CL$52:$CL$60,0),MATCH(R33,SOURCE!$CO$43:$CV$43,0)),0)</f>
        <v>97400.548642233975</v>
      </c>
      <c r="AC73" s="1606"/>
      <c r="AD73" s="1606"/>
      <c r="AE73" s="1606"/>
      <c r="AF73" s="1607"/>
      <c r="AG73" s="1607"/>
      <c r="AH73" s="1612">
        <f>IFERROR(AB73/AB79,0)</f>
        <v>4.3303081790432067E-2</v>
      </c>
      <c r="AI73" s="1612"/>
      <c r="AJ73" s="1612"/>
      <c r="AK73" s="1612"/>
      <c r="AL73" s="1605">
        <f t="shared" si="0"/>
        <v>1</v>
      </c>
      <c r="AM73" s="1605"/>
      <c r="AN73" s="1605"/>
      <c r="AO73" s="1602" t="s">
        <v>1670</v>
      </c>
      <c r="AP73" s="1602"/>
      <c r="AQ73" s="1602"/>
      <c r="AR73" s="1602"/>
      <c r="AS73" s="1602"/>
      <c r="AT73" s="1602"/>
      <c r="AU73" s="1602"/>
      <c r="AV73" s="1602"/>
      <c r="AW73" s="1602"/>
      <c r="AX73" s="1602"/>
      <c r="AY73" s="1602"/>
      <c r="AZ73" s="1602"/>
      <c r="BA73" s="1602"/>
      <c r="BB73" s="1602"/>
      <c r="BC73" s="1602"/>
      <c r="BD73" s="1602"/>
      <c r="BE73" s="1616">
        <f ca="1">IF(AB73=0,0,IFERROR(VLOOKUP(AO73,INDIRECT(CO33),2,FALSE),0))</f>
        <v>1</v>
      </c>
      <c r="BF73" s="1616"/>
      <c r="BG73" s="1616"/>
      <c r="BH73" s="1627" t="s">
        <v>3</v>
      </c>
      <c r="BI73" s="1627"/>
      <c r="BJ73" s="1627"/>
      <c r="BK73" s="1627"/>
      <c r="BL73" s="1627"/>
      <c r="BM73" s="1627"/>
      <c r="BN73" s="1627"/>
      <c r="BO73" s="1627"/>
      <c r="BP73" s="1627"/>
      <c r="BQ73" s="1627"/>
      <c r="BR73" s="1627"/>
      <c r="BS73" s="1627"/>
      <c r="BT73" s="1627"/>
      <c r="BU73" s="1627"/>
      <c r="BV73" s="1627"/>
      <c r="BW73" s="1627"/>
      <c r="BX73" s="1626">
        <v>0</v>
      </c>
      <c r="BY73" s="1626"/>
      <c r="BZ73" s="1626"/>
      <c r="CA73" s="1624">
        <v>0</v>
      </c>
      <c r="CB73" s="1624"/>
      <c r="CC73" s="1624"/>
      <c r="CD73" s="1625"/>
      <c r="CE73" s="1625"/>
      <c r="CF73" s="1644">
        <f t="shared" ca="1" si="1"/>
        <v>97400.548642233975</v>
      </c>
      <c r="CG73" s="1645"/>
      <c r="CH73" s="1645"/>
      <c r="CI73" s="1645"/>
      <c r="CJ73" s="1645"/>
      <c r="CK73" s="1645"/>
      <c r="CL73" s="1645"/>
      <c r="CM73" s="204"/>
      <c r="CO73" s="285" t="str">
        <f>HLOOKUP(R33,SOURCE!$BD$3:$BK$11,6,FALSE)</f>
        <v>PLAFON_RT_SDN</v>
      </c>
      <c r="CP73" s="285"/>
      <c r="CQ73" s="285"/>
      <c r="CR73" s="285"/>
      <c r="CS73" s="292"/>
    </row>
    <row r="74" spans="2:98" s="153" customFormat="1" ht="14.1" customHeight="1" thickBot="1">
      <c r="B74" s="203"/>
      <c r="C74" s="1601" t="s">
        <v>1311</v>
      </c>
      <c r="D74" s="1601"/>
      <c r="E74" s="1601"/>
      <c r="F74" s="1601"/>
      <c r="G74" s="1601"/>
      <c r="H74" s="1601"/>
      <c r="I74" s="1601"/>
      <c r="J74" s="1601"/>
      <c r="K74" s="1601"/>
      <c r="L74" s="1603" t="str">
        <f>IFERROR(INDEX(SOURCE!$DN$5:$DU$12,MATCH(C74,SOURCE!$DM$5:$DM$12,0),MATCH(R33,SOURCE!$DN$4:$DU$4,0)),0)</f>
        <v>BATAKO DILAPIS CAT</v>
      </c>
      <c r="M74" s="1604"/>
      <c r="N74" s="1604"/>
      <c r="O74" s="1604"/>
      <c r="P74" s="1604"/>
      <c r="Q74" s="1604"/>
      <c r="R74" s="1604"/>
      <c r="S74" s="1604"/>
      <c r="T74" s="1604"/>
      <c r="U74" s="1604"/>
      <c r="V74" s="1604"/>
      <c r="W74" s="1604"/>
      <c r="X74" s="1604"/>
      <c r="Y74" s="1604"/>
      <c r="Z74" s="1604"/>
      <c r="AA74" s="1604"/>
      <c r="AB74" s="1606">
        <f>IFERROR(INDEX(SOURCE!$CO$52:$CV$60,MATCH(C74,SOURCE!$CL$52:$CL$60,0),MATCH(R33,SOURCE!$CO$43:$CV$43,0)),0)</f>
        <v>399661.26190789428</v>
      </c>
      <c r="AC74" s="1606"/>
      <c r="AD74" s="1606"/>
      <c r="AE74" s="1606"/>
      <c r="AF74" s="1607"/>
      <c r="AG74" s="1607"/>
      <c r="AH74" s="1612">
        <f>IFERROR(AB74/AB79,0)</f>
        <v>0.17768446434972662</v>
      </c>
      <c r="AI74" s="1612"/>
      <c r="AJ74" s="1612"/>
      <c r="AK74" s="1612"/>
      <c r="AL74" s="1605">
        <f t="shared" si="0"/>
        <v>1</v>
      </c>
      <c r="AM74" s="1605"/>
      <c r="AN74" s="1605"/>
      <c r="AO74" s="1602" t="s">
        <v>1312</v>
      </c>
      <c r="AP74" s="1602"/>
      <c r="AQ74" s="1602"/>
      <c r="AR74" s="1602"/>
      <c r="AS74" s="1602"/>
      <c r="AT74" s="1602"/>
      <c r="AU74" s="1602"/>
      <c r="AV74" s="1602"/>
      <c r="AW74" s="1602"/>
      <c r="AX74" s="1602"/>
      <c r="AY74" s="1602"/>
      <c r="AZ74" s="1602"/>
      <c r="BA74" s="1602"/>
      <c r="BB74" s="1602"/>
      <c r="BC74" s="1602"/>
      <c r="BD74" s="1602"/>
      <c r="BE74" s="1616">
        <f ca="1">IF(AB74=0,0,IFERROR(VLOOKUP(AO74,INDIRECT(CO33),2,FALSE),0))</f>
        <v>1</v>
      </c>
      <c r="BF74" s="1616"/>
      <c r="BG74" s="1616"/>
      <c r="BH74" s="1627" t="s">
        <v>3</v>
      </c>
      <c r="BI74" s="1627"/>
      <c r="BJ74" s="1627"/>
      <c r="BK74" s="1627"/>
      <c r="BL74" s="1627"/>
      <c r="BM74" s="1627"/>
      <c r="BN74" s="1627"/>
      <c r="BO74" s="1627"/>
      <c r="BP74" s="1627"/>
      <c r="BQ74" s="1627"/>
      <c r="BR74" s="1627"/>
      <c r="BS74" s="1627"/>
      <c r="BT74" s="1627"/>
      <c r="BU74" s="1627"/>
      <c r="BV74" s="1627"/>
      <c r="BW74" s="1627"/>
      <c r="BX74" s="1626">
        <v>0</v>
      </c>
      <c r="BY74" s="1626"/>
      <c r="BZ74" s="1626"/>
      <c r="CA74" s="1624">
        <v>0</v>
      </c>
      <c r="CB74" s="1624"/>
      <c r="CC74" s="1624"/>
      <c r="CD74" s="1625"/>
      <c r="CE74" s="1625"/>
      <c r="CF74" s="1644">
        <f t="shared" ca="1" si="1"/>
        <v>399661.26190789428</v>
      </c>
      <c r="CG74" s="1645"/>
      <c r="CH74" s="1645"/>
      <c r="CI74" s="1645"/>
      <c r="CJ74" s="1645"/>
      <c r="CK74" s="1645"/>
      <c r="CL74" s="1645"/>
      <c r="CM74" s="204"/>
      <c r="CO74" s="285" t="str">
        <f>HLOOKUP(R33,SOURCE!$BD$3:$BK$11,7,FALSE)</f>
        <v>DINDING_RT_SDN</v>
      </c>
      <c r="CP74" s="285"/>
      <c r="CQ74" s="285"/>
      <c r="CR74" s="285"/>
      <c r="CS74" s="292"/>
    </row>
    <row r="75" spans="2:98" s="153" customFormat="1" ht="14.1" customHeight="1" thickBot="1">
      <c r="B75" s="203"/>
      <c r="C75" s="1601" t="s">
        <v>1327</v>
      </c>
      <c r="D75" s="1601"/>
      <c r="E75" s="1601"/>
      <c r="F75" s="1601"/>
      <c r="G75" s="1601"/>
      <c r="H75" s="1601"/>
      <c r="I75" s="1601"/>
      <c r="J75" s="1601"/>
      <c r="K75" s="1601"/>
      <c r="L75" s="1603" t="str">
        <f>IFERROR(INDEX(SOURCE!$DN$5:$DU$12,MATCH(C75,SOURCE!$DM$5:$DM$12,0),MATCH(R33,SOURCE!$DN$4:$DU$4,0)),0)</f>
        <v>KUSEN KAYU KELAS III</v>
      </c>
      <c r="M75" s="1604"/>
      <c r="N75" s="1604"/>
      <c r="O75" s="1604"/>
      <c r="P75" s="1604"/>
      <c r="Q75" s="1604"/>
      <c r="R75" s="1604"/>
      <c r="S75" s="1604"/>
      <c r="T75" s="1604"/>
      <c r="U75" s="1604"/>
      <c r="V75" s="1604"/>
      <c r="W75" s="1604"/>
      <c r="X75" s="1604"/>
      <c r="Y75" s="1604"/>
      <c r="Z75" s="1604"/>
      <c r="AA75" s="1604"/>
      <c r="AB75" s="1606">
        <f>IFERROR(INDEX(SOURCE!$CO$52:$CV$60,MATCH(C75,SOURCE!$CL$52:$CL$60,0),MATCH(R33,SOURCE!$CO$43:$CV$43,0)),0)</f>
        <v>199841.01979466228</v>
      </c>
      <c r="AC75" s="1606"/>
      <c r="AD75" s="1606"/>
      <c r="AE75" s="1606"/>
      <c r="AF75" s="1607"/>
      <c r="AG75" s="1607"/>
      <c r="AH75" s="1612">
        <f>IFERROR(AB75/AB79,0)</f>
        <v>8.8846850925224236E-2</v>
      </c>
      <c r="AI75" s="1612"/>
      <c r="AJ75" s="1612"/>
      <c r="AK75" s="1612"/>
      <c r="AL75" s="1605">
        <f t="shared" si="0"/>
        <v>1</v>
      </c>
      <c r="AM75" s="1605"/>
      <c r="AN75" s="1605"/>
      <c r="AO75" s="1602" t="s">
        <v>1670</v>
      </c>
      <c r="AP75" s="1602"/>
      <c r="AQ75" s="1602"/>
      <c r="AR75" s="1602"/>
      <c r="AS75" s="1602"/>
      <c r="AT75" s="1602"/>
      <c r="AU75" s="1602"/>
      <c r="AV75" s="1602"/>
      <c r="AW75" s="1602"/>
      <c r="AX75" s="1602"/>
      <c r="AY75" s="1602"/>
      <c r="AZ75" s="1602"/>
      <c r="BA75" s="1602"/>
      <c r="BB75" s="1602"/>
      <c r="BC75" s="1602"/>
      <c r="BD75" s="1602"/>
      <c r="BE75" s="1616">
        <f ca="1">IF(AB75=0,0,IFERROR(VLOOKUP(AO75,INDIRECT(CO33),2,FALSE),0))</f>
        <v>1</v>
      </c>
      <c r="BF75" s="1616"/>
      <c r="BG75" s="1616"/>
      <c r="BH75" s="1627" t="s">
        <v>3</v>
      </c>
      <c r="BI75" s="1627"/>
      <c r="BJ75" s="1627"/>
      <c r="BK75" s="1627"/>
      <c r="BL75" s="1627"/>
      <c r="BM75" s="1627"/>
      <c r="BN75" s="1627"/>
      <c r="BO75" s="1627"/>
      <c r="BP75" s="1627"/>
      <c r="BQ75" s="1627"/>
      <c r="BR75" s="1627"/>
      <c r="BS75" s="1627"/>
      <c r="BT75" s="1627"/>
      <c r="BU75" s="1627"/>
      <c r="BV75" s="1627"/>
      <c r="BW75" s="1627"/>
      <c r="BX75" s="1626">
        <v>0</v>
      </c>
      <c r="BY75" s="1626"/>
      <c r="BZ75" s="1626"/>
      <c r="CA75" s="1624">
        <v>0</v>
      </c>
      <c r="CB75" s="1624"/>
      <c r="CC75" s="1624"/>
      <c r="CD75" s="1625"/>
      <c r="CE75" s="1625"/>
      <c r="CF75" s="1644">
        <f t="shared" ca="1" si="1"/>
        <v>199841.01979466228</v>
      </c>
      <c r="CG75" s="1645"/>
      <c r="CH75" s="1645"/>
      <c r="CI75" s="1645"/>
      <c r="CJ75" s="1645"/>
      <c r="CK75" s="1645"/>
      <c r="CL75" s="1645"/>
      <c r="CM75" s="204"/>
      <c r="CO75" s="285" t="str">
        <f>HLOOKUP(R33,SOURCE!$BD$3:$BK$11,8,FALSE)</f>
        <v>PINTU___JENDELA_RT_SDN</v>
      </c>
      <c r="CP75" s="285"/>
      <c r="CQ75" s="285"/>
      <c r="CR75" s="285"/>
      <c r="CS75" s="292"/>
    </row>
    <row r="76" spans="2:98" s="153" customFormat="1" ht="14.1" customHeight="1" thickBot="1">
      <c r="B76" s="203"/>
      <c r="C76" s="1601" t="s">
        <v>1336</v>
      </c>
      <c r="D76" s="1601"/>
      <c r="E76" s="1601"/>
      <c r="F76" s="1601"/>
      <c r="G76" s="1601"/>
      <c r="H76" s="1601"/>
      <c r="I76" s="1601"/>
      <c r="J76" s="1601"/>
      <c r="K76" s="1601"/>
      <c r="L76" s="1603" t="str">
        <f>IFERROR(INDEX(SOURCE!$DN$5:$DU$12,MATCH(C76,SOURCE!$DM$5:$DM$12,0),MATCH(R33,SOURCE!$DN$4:$DU$4,0)),0)</f>
        <v>KERAMIK LOKAL</v>
      </c>
      <c r="M76" s="1604"/>
      <c r="N76" s="1604"/>
      <c r="O76" s="1604"/>
      <c r="P76" s="1604"/>
      <c r="Q76" s="1604"/>
      <c r="R76" s="1604"/>
      <c r="S76" s="1604"/>
      <c r="T76" s="1604"/>
      <c r="U76" s="1604"/>
      <c r="V76" s="1604"/>
      <c r="W76" s="1604"/>
      <c r="X76" s="1604"/>
      <c r="Y76" s="1604"/>
      <c r="Z76" s="1604"/>
      <c r="AA76" s="1604"/>
      <c r="AB76" s="1606">
        <f>IFERROR(INDEX(SOURCE!$CO$52:$CV$60,MATCH(C76,SOURCE!$CL$52:$CL$60,0),MATCH(R33,SOURCE!$CO$43:$CV$43,0)),0)</f>
        <v>173232.33048297366</v>
      </c>
      <c r="AC76" s="1606"/>
      <c r="AD76" s="1606"/>
      <c r="AE76" s="1606"/>
      <c r="AF76" s="1607"/>
      <c r="AG76" s="1607"/>
      <c r="AH76" s="1612">
        <f>IFERROR(AB76/AB79,0)</f>
        <v>7.7016956066699546E-2</v>
      </c>
      <c r="AI76" s="1612"/>
      <c r="AJ76" s="1612"/>
      <c r="AK76" s="1612"/>
      <c r="AL76" s="1605">
        <f t="shared" si="0"/>
        <v>1</v>
      </c>
      <c r="AM76" s="1605"/>
      <c r="AN76" s="1605"/>
      <c r="AO76" s="1602" t="s">
        <v>1670</v>
      </c>
      <c r="AP76" s="1602"/>
      <c r="AQ76" s="1602"/>
      <c r="AR76" s="1602"/>
      <c r="AS76" s="1602"/>
      <c r="AT76" s="1602"/>
      <c r="AU76" s="1602"/>
      <c r="AV76" s="1602"/>
      <c r="AW76" s="1602"/>
      <c r="AX76" s="1602"/>
      <c r="AY76" s="1602"/>
      <c r="AZ76" s="1602"/>
      <c r="BA76" s="1602"/>
      <c r="BB76" s="1602"/>
      <c r="BC76" s="1602"/>
      <c r="BD76" s="1602"/>
      <c r="BE76" s="1616">
        <f ca="1">IF(AB76=0,0,IFERROR(VLOOKUP(AO76,INDIRECT(CO33),2,FALSE),0))</f>
        <v>1</v>
      </c>
      <c r="BF76" s="1616"/>
      <c r="BG76" s="1616"/>
      <c r="BH76" s="1627" t="s">
        <v>3</v>
      </c>
      <c r="BI76" s="1627"/>
      <c r="BJ76" s="1627"/>
      <c r="BK76" s="1627"/>
      <c r="BL76" s="1627"/>
      <c r="BM76" s="1627"/>
      <c r="BN76" s="1627"/>
      <c r="BO76" s="1627"/>
      <c r="BP76" s="1627"/>
      <c r="BQ76" s="1627"/>
      <c r="BR76" s="1627"/>
      <c r="BS76" s="1627"/>
      <c r="BT76" s="1627"/>
      <c r="BU76" s="1627"/>
      <c r="BV76" s="1627"/>
      <c r="BW76" s="1627"/>
      <c r="BX76" s="1626">
        <v>0</v>
      </c>
      <c r="BY76" s="1626"/>
      <c r="BZ76" s="1626"/>
      <c r="CA76" s="1624">
        <v>0</v>
      </c>
      <c r="CB76" s="1624"/>
      <c r="CC76" s="1624"/>
      <c r="CD76" s="1625"/>
      <c r="CE76" s="1625"/>
      <c r="CF76" s="1644">
        <f t="shared" ca="1" si="1"/>
        <v>173232.33048297366</v>
      </c>
      <c r="CG76" s="1645"/>
      <c r="CH76" s="1645"/>
      <c r="CI76" s="1645"/>
      <c r="CJ76" s="1645"/>
      <c r="CK76" s="1645"/>
      <c r="CL76" s="1645"/>
      <c r="CM76" s="204"/>
      <c r="CO76" s="285" t="str">
        <f>HLOOKUP(R33,SOURCE!$BD$3:$BK$11,9,FALSE)</f>
        <v>LANTAI_RT_SDN</v>
      </c>
      <c r="CP76" s="285"/>
      <c r="CQ76" s="285"/>
      <c r="CR76" s="285"/>
      <c r="CS76" s="292"/>
    </row>
    <row r="77" spans="2:98" s="153" customFormat="1" ht="14.1" customHeight="1" thickBot="1">
      <c r="B77" s="203"/>
      <c r="C77" s="1601" t="s">
        <v>1508</v>
      </c>
      <c r="D77" s="1601"/>
      <c r="E77" s="1601"/>
      <c r="F77" s="1601"/>
      <c r="G77" s="1601"/>
      <c r="H77" s="1601"/>
      <c r="I77" s="1601"/>
      <c r="J77" s="1601"/>
      <c r="K77" s="1601"/>
      <c r="L77" s="1618" t="s">
        <v>1750</v>
      </c>
      <c r="M77" s="1619"/>
      <c r="N77" s="1619"/>
      <c r="O77" s="1619"/>
      <c r="P77" s="1619"/>
      <c r="Q77" s="1619"/>
      <c r="R77" s="1619"/>
      <c r="S77" s="1619"/>
      <c r="T77" s="1619"/>
      <c r="U77" s="1619"/>
      <c r="V77" s="1619"/>
      <c r="W77" s="1619"/>
      <c r="X77" s="1619"/>
      <c r="Y77" s="1619"/>
      <c r="Z77" s="1619"/>
      <c r="AA77" s="1619"/>
      <c r="AB77" s="1606">
        <f>IFERROR(INDEX(SOURCE!$CO$52:$CV$60,MATCH(C77,SOURCE!$CL$52:$CL$60,0),MATCH(R33,SOURCE!$CO$43:$CV$43,0)),0)</f>
        <v>178377.69793318462</v>
      </c>
      <c r="AC77" s="1606"/>
      <c r="AD77" s="1606"/>
      <c r="AE77" s="1606"/>
      <c r="AF77" s="1607"/>
      <c r="AG77" s="1607"/>
      <c r="AH77" s="1612">
        <f>IFERROR(AB77/AB79,0)</f>
        <v>7.9304522929969756E-2</v>
      </c>
      <c r="AI77" s="1612"/>
      <c r="AJ77" s="1612"/>
      <c r="AK77" s="1612"/>
      <c r="AL77" s="1605">
        <f>IF(AB77=0,0,100%)</f>
        <v>1</v>
      </c>
      <c r="AM77" s="1605"/>
      <c r="AN77" s="1605"/>
      <c r="AO77" s="1618" t="s">
        <v>1749</v>
      </c>
      <c r="AP77" s="1619"/>
      <c r="AQ77" s="1619"/>
      <c r="AR77" s="1619"/>
      <c r="AS77" s="1619"/>
      <c r="AT77" s="1619"/>
      <c r="AU77" s="1619"/>
      <c r="AV77" s="1619"/>
      <c r="AW77" s="1619"/>
      <c r="AX77" s="1619"/>
      <c r="AY77" s="1619"/>
      <c r="AZ77" s="1619"/>
      <c r="BA77" s="1619"/>
      <c r="BB77" s="1619"/>
      <c r="BC77" s="1619"/>
      <c r="BD77" s="1619"/>
      <c r="BE77" s="1619"/>
      <c r="BF77" s="1619"/>
      <c r="BG77" s="1619"/>
      <c r="BH77" s="1619"/>
      <c r="BI77" s="1619"/>
      <c r="BJ77" s="1619"/>
      <c r="BK77" s="1619"/>
      <c r="BL77" s="1619"/>
      <c r="BM77" s="1619"/>
      <c r="BN77" s="1619"/>
      <c r="BO77" s="1619"/>
      <c r="BP77" s="1619"/>
      <c r="BQ77" s="1619"/>
      <c r="BR77" s="1619"/>
      <c r="BS77" s="1619"/>
      <c r="BT77" s="1619"/>
      <c r="BU77" s="1619"/>
      <c r="BV77" s="1619"/>
      <c r="BW77" s="1619"/>
      <c r="BX77" s="1619"/>
      <c r="BY77" s="1619"/>
      <c r="BZ77" s="1619"/>
      <c r="CA77" s="1619"/>
      <c r="CB77" s="1619"/>
      <c r="CC77" s="1619"/>
      <c r="CD77" s="1619"/>
      <c r="CE77" s="1619"/>
      <c r="CF77" s="1644">
        <f>IFERROR(AB77*AL77,"-")*0.55</f>
        <v>98107.733863251546</v>
      </c>
      <c r="CG77" s="1645"/>
      <c r="CH77" s="1645"/>
      <c r="CI77" s="1645"/>
      <c r="CJ77" s="1645"/>
      <c r="CK77" s="1645"/>
      <c r="CL77" s="1645"/>
      <c r="CM77" s="204"/>
      <c r="CO77" s="285"/>
      <c r="CP77" s="285"/>
      <c r="CQ77" s="285"/>
      <c r="CR77" s="285"/>
      <c r="CS77" s="292"/>
    </row>
    <row r="78" spans="2:98" ht="3.95" customHeight="1" thickBot="1">
      <c r="B78" s="26"/>
      <c r="C78" s="27"/>
      <c r="D78" s="27"/>
      <c r="E78" s="27"/>
      <c r="F78" s="27"/>
      <c r="G78" s="27"/>
      <c r="H78" s="27"/>
      <c r="I78" s="27"/>
      <c r="J78" s="27"/>
      <c r="K78" s="27"/>
      <c r="L78" s="27"/>
      <c r="M78" s="27"/>
      <c r="N78" s="27"/>
      <c r="O78" s="27"/>
      <c r="P78" s="27"/>
      <c r="AS78" s="27"/>
      <c r="AT78" s="27"/>
      <c r="AU78" s="27"/>
      <c r="AV78" s="27"/>
      <c r="AW78" s="27"/>
      <c r="AX78" s="27"/>
      <c r="AY78" s="27"/>
      <c r="AZ78" s="27"/>
      <c r="BA78" s="27"/>
      <c r="BB78" s="27"/>
      <c r="BC78" s="27"/>
      <c r="BD78" s="27"/>
      <c r="BE78" s="27"/>
      <c r="BF78" s="27"/>
      <c r="BG78" s="27"/>
      <c r="BH78" s="27"/>
      <c r="BI78" s="27"/>
      <c r="BJ78" s="27"/>
      <c r="BK78" s="27"/>
      <c r="BL78" s="27"/>
      <c r="BM78" s="27"/>
      <c r="BN78" s="27"/>
      <c r="BO78" s="27"/>
      <c r="BP78" s="27"/>
      <c r="BQ78" s="27"/>
      <c r="BR78" s="27"/>
      <c r="BS78" s="27"/>
      <c r="BT78" s="27"/>
      <c r="BU78" s="27"/>
      <c r="BV78" s="27"/>
      <c r="BW78" s="27"/>
      <c r="BX78" s="27"/>
      <c r="BY78" s="27"/>
      <c r="BZ78" s="27"/>
      <c r="CA78" s="27"/>
      <c r="CB78" s="27"/>
      <c r="CC78" s="27"/>
      <c r="CD78" s="27"/>
      <c r="CE78" s="27"/>
      <c r="CF78" s="27"/>
      <c r="CG78" s="27"/>
      <c r="CH78" s="27"/>
      <c r="CI78" s="27"/>
      <c r="CJ78" s="27"/>
      <c r="CK78" s="27"/>
      <c r="CL78" s="27"/>
      <c r="CM78" s="28"/>
    </row>
    <row r="79" spans="2:98" ht="14.1" customHeight="1" thickBot="1">
      <c r="B79" s="26"/>
      <c r="C79" s="1672" t="s">
        <v>1685</v>
      </c>
      <c r="D79" s="1672"/>
      <c r="E79" s="1672"/>
      <c r="F79" s="1672"/>
      <c r="G79" s="1672"/>
      <c r="H79" s="1672"/>
      <c r="I79" s="1672"/>
      <c r="J79" s="1672"/>
      <c r="K79" s="1672"/>
      <c r="L79" s="1672"/>
      <c r="M79" s="1672"/>
      <c r="N79" s="1672"/>
      <c r="O79" s="1672"/>
      <c r="P79" s="1672"/>
      <c r="Q79" s="1672"/>
      <c r="R79" s="1672"/>
      <c r="S79" s="1672"/>
      <c r="T79" s="1672"/>
      <c r="U79" s="1672"/>
      <c r="V79" s="1672"/>
      <c r="W79" s="1672"/>
      <c r="X79" s="1672"/>
      <c r="Y79" s="1672"/>
      <c r="Z79" s="1672"/>
      <c r="AA79" s="1672"/>
      <c r="AB79" s="1642">
        <f>SUM(AB69:AG77)</f>
        <v>2249275.2158751641</v>
      </c>
      <c r="AC79" s="1642"/>
      <c r="AD79" s="1642"/>
      <c r="AE79" s="1642"/>
      <c r="AF79" s="1643"/>
      <c r="AG79" s="1643"/>
      <c r="AH79" s="1673">
        <f>SUM(AH69:AK77)</f>
        <v>0.99999999999999978</v>
      </c>
      <c r="AI79" s="1673"/>
      <c r="AJ79" s="1673"/>
      <c r="AK79" s="1673"/>
      <c r="AL79" s="1768"/>
      <c r="AM79" s="1768"/>
      <c r="AN79" s="1768"/>
      <c r="AO79" s="1651" t="s">
        <v>1737</v>
      </c>
      <c r="AP79" s="1652"/>
      <c r="AQ79" s="1652"/>
      <c r="AR79" s="1652"/>
      <c r="AS79" s="1652"/>
      <c r="AT79" s="1652"/>
      <c r="AU79" s="1652"/>
      <c r="AV79" s="1652"/>
      <c r="AW79" s="1652"/>
      <c r="AX79" s="1652"/>
      <c r="AY79" s="1652"/>
      <c r="AZ79" s="1652"/>
      <c r="BA79" s="1652"/>
      <c r="BB79" s="1652"/>
      <c r="BC79" s="1652"/>
      <c r="BD79" s="1653"/>
      <c r="BE79" s="1674" t="s">
        <v>6</v>
      </c>
      <c r="BF79" s="1675"/>
      <c r="BG79" s="1675"/>
      <c r="BH79" s="1675"/>
      <c r="BI79" s="1675"/>
      <c r="BJ79" s="1675"/>
      <c r="BK79" s="1675"/>
      <c r="BL79" s="1675"/>
      <c r="BM79" s="1675"/>
      <c r="BN79" s="1675"/>
      <c r="BO79" s="1675"/>
      <c r="BP79" s="1675"/>
      <c r="BQ79" s="1675"/>
      <c r="BR79" s="1675"/>
      <c r="BS79" s="1675"/>
      <c r="BT79" s="1675"/>
      <c r="BU79" s="1675"/>
      <c r="BV79" s="1675"/>
      <c r="BW79" s="1676"/>
      <c r="BX79" s="1654">
        <f>VLOOKUP(BE79,SOURCE!$CN$88:$CO$98,2)</f>
        <v>0</v>
      </c>
      <c r="BY79" s="1655"/>
      <c r="BZ79" s="1655"/>
      <c r="CA79" s="1655"/>
      <c r="CB79" s="1655"/>
      <c r="CC79" s="1655"/>
      <c r="CD79" s="1655"/>
      <c r="CE79" s="1655"/>
      <c r="CF79" s="1644">
        <f>IF(BY55=0,0,((BY55*BX79)/BL55))</f>
        <v>0</v>
      </c>
      <c r="CG79" s="1645"/>
      <c r="CH79" s="1645"/>
      <c r="CI79" s="1645"/>
      <c r="CJ79" s="1645"/>
      <c r="CK79" s="1645"/>
      <c r="CL79" s="1645"/>
      <c r="CM79" s="28"/>
    </row>
    <row r="80" spans="2:98" ht="14.1" customHeight="1" thickBot="1">
      <c r="B80" s="26"/>
      <c r="C80" s="1667"/>
      <c r="D80" s="1668"/>
      <c r="E80" s="1668"/>
      <c r="F80" s="1668"/>
      <c r="G80" s="1668"/>
      <c r="H80" s="1668"/>
      <c r="I80" s="1668"/>
      <c r="J80" s="1668"/>
      <c r="K80" s="1668"/>
      <c r="L80" s="1668"/>
      <c r="M80" s="1668"/>
      <c r="N80" s="1668"/>
      <c r="O80" s="1668"/>
      <c r="P80" s="1668"/>
      <c r="Q80" s="1668"/>
      <c r="R80" s="1668"/>
      <c r="S80" s="1668"/>
      <c r="T80" s="1668"/>
      <c r="U80" s="1668"/>
      <c r="V80" s="1668"/>
      <c r="W80" s="1668"/>
      <c r="X80" s="1668"/>
      <c r="Y80" s="1668"/>
      <c r="Z80" s="1668"/>
      <c r="AA80" s="1668"/>
      <c r="AB80" s="1668"/>
      <c r="AC80" s="1668"/>
      <c r="AD80" s="1668"/>
      <c r="AE80" s="1668"/>
      <c r="AF80" s="1668"/>
      <c r="AG80" s="1668"/>
      <c r="AH80" s="1668"/>
      <c r="AI80" s="1668"/>
      <c r="AJ80" s="1668"/>
      <c r="AK80" s="1668"/>
      <c r="AL80" s="1769"/>
      <c r="AM80" s="1769"/>
      <c r="AN80" s="1769"/>
      <c r="AO80" s="1651" t="s">
        <v>1718</v>
      </c>
      <c r="AP80" s="1652"/>
      <c r="AQ80" s="1652"/>
      <c r="AR80" s="1652"/>
      <c r="AS80" s="1652"/>
      <c r="AT80" s="1652"/>
      <c r="AU80" s="1652"/>
      <c r="AV80" s="1652"/>
      <c r="AW80" s="1652"/>
      <c r="AX80" s="1652"/>
      <c r="AY80" s="1652"/>
      <c r="AZ80" s="1652"/>
      <c r="BA80" s="1652"/>
      <c r="BB80" s="1652"/>
      <c r="BC80" s="1652"/>
      <c r="BD80" s="1653"/>
      <c r="BE80" s="1674" t="s">
        <v>6</v>
      </c>
      <c r="BF80" s="1675"/>
      <c r="BG80" s="1675"/>
      <c r="BH80" s="1675"/>
      <c r="BI80" s="1675"/>
      <c r="BJ80" s="1675"/>
      <c r="BK80" s="1675"/>
      <c r="BL80" s="1675"/>
      <c r="BM80" s="1675"/>
      <c r="BN80" s="1675"/>
      <c r="BO80" s="1675"/>
      <c r="BP80" s="1675"/>
      <c r="BQ80" s="1675"/>
      <c r="BR80" s="1675"/>
      <c r="BS80" s="1675"/>
      <c r="BT80" s="1675"/>
      <c r="BU80" s="1675"/>
      <c r="BV80" s="1675"/>
      <c r="BW80" s="1676"/>
      <c r="BX80" s="1654">
        <f>IF(BE80="1 - Lantai",SOURCE!$CO$83,IF(BE80="2 - Lantai",SOURCE!$CP$83,0))</f>
        <v>0</v>
      </c>
      <c r="BY80" s="1655"/>
      <c r="BZ80" s="1655"/>
      <c r="CA80" s="1655"/>
      <c r="CB80" s="1655"/>
      <c r="CC80" s="1655"/>
      <c r="CD80" s="1655"/>
      <c r="CE80" s="1655"/>
      <c r="CF80" s="1644">
        <f>IF(CF55=0,0,((CF55*BX80)/BL55))</f>
        <v>0</v>
      </c>
      <c r="CG80" s="1645"/>
      <c r="CH80" s="1645"/>
      <c r="CI80" s="1645"/>
      <c r="CJ80" s="1645"/>
      <c r="CK80" s="1645"/>
      <c r="CL80" s="1645"/>
      <c r="CM80" s="28"/>
    </row>
    <row r="81" spans="2:97" s="153" customFormat="1" ht="14.1" customHeight="1" thickBot="1">
      <c r="B81" s="203"/>
      <c r="C81" s="1669"/>
      <c r="D81" s="1670"/>
      <c r="E81" s="1670"/>
      <c r="F81" s="1670"/>
      <c r="G81" s="1670"/>
      <c r="H81" s="1670"/>
      <c r="I81" s="1670"/>
      <c r="J81" s="1670"/>
      <c r="K81" s="1670"/>
      <c r="L81" s="1670"/>
      <c r="M81" s="1670"/>
      <c r="N81" s="1670"/>
      <c r="O81" s="1670"/>
      <c r="P81" s="1670"/>
      <c r="Q81" s="1670"/>
      <c r="R81" s="1670"/>
      <c r="S81" s="1670"/>
      <c r="T81" s="1670"/>
      <c r="U81" s="1670"/>
      <c r="V81" s="1670"/>
      <c r="W81" s="1670"/>
      <c r="X81" s="1670"/>
      <c r="Y81" s="1670"/>
      <c r="Z81" s="1670"/>
      <c r="AA81" s="1670"/>
      <c r="AB81" s="1670"/>
      <c r="AC81" s="1670"/>
      <c r="AD81" s="1670"/>
      <c r="AE81" s="1670"/>
      <c r="AF81" s="1670"/>
      <c r="AG81" s="1670"/>
      <c r="AH81" s="1670"/>
      <c r="AI81" s="1670"/>
      <c r="AJ81" s="1670"/>
      <c r="AK81" s="1670"/>
      <c r="AL81" s="1770"/>
      <c r="AM81" s="1770"/>
      <c r="AN81" s="1770"/>
      <c r="AO81" s="1782" t="str">
        <f>C79</f>
        <v>TOTAL BIAYA LANGSUNG  ( A )</v>
      </c>
      <c r="AP81" s="1782"/>
      <c r="AQ81" s="1782"/>
      <c r="AR81" s="1782"/>
      <c r="AS81" s="1782"/>
      <c r="AT81" s="1782"/>
      <c r="AU81" s="1782"/>
      <c r="AV81" s="1782"/>
      <c r="AW81" s="1782"/>
      <c r="AX81" s="1782"/>
      <c r="AY81" s="1782"/>
      <c r="AZ81" s="1782"/>
      <c r="BA81" s="1782"/>
      <c r="BB81" s="1782"/>
      <c r="BC81" s="1782"/>
      <c r="BD81" s="1782"/>
      <c r="BE81" s="1782"/>
      <c r="BF81" s="1782"/>
      <c r="BG81" s="1782"/>
      <c r="BH81" s="1782"/>
      <c r="BI81" s="1782"/>
      <c r="BJ81" s="1782"/>
      <c r="BK81" s="1782"/>
      <c r="BL81" s="1782"/>
      <c r="BM81" s="1782"/>
      <c r="BN81" s="1782"/>
      <c r="BO81" s="1782"/>
      <c r="BP81" s="1782"/>
      <c r="BQ81" s="1782"/>
      <c r="BR81" s="1782"/>
      <c r="BS81" s="1782"/>
      <c r="BT81" s="1782"/>
      <c r="BU81" s="1782"/>
      <c r="BV81" s="1782"/>
      <c r="BW81" s="1782"/>
      <c r="BX81" s="1782"/>
      <c r="BY81" s="1782"/>
      <c r="BZ81" s="1782"/>
      <c r="CA81" s="1782"/>
      <c r="CB81" s="1782"/>
      <c r="CC81" s="1782"/>
      <c r="CD81" s="1782"/>
      <c r="CE81" s="1783"/>
      <c r="CF81" s="1677">
        <f ca="1">SUM(CF69:CL80)</f>
        <v>1978407.0443379786</v>
      </c>
      <c r="CG81" s="1677"/>
      <c r="CH81" s="1677"/>
      <c r="CI81" s="1677"/>
      <c r="CJ81" s="1677"/>
      <c r="CK81" s="1767"/>
      <c r="CL81" s="1767"/>
      <c r="CM81" s="204"/>
      <c r="CO81" s="285"/>
      <c r="CP81" s="285"/>
      <c r="CQ81" s="285"/>
      <c r="CR81" s="285"/>
      <c r="CS81" s="292"/>
    </row>
    <row r="82" spans="2:97" ht="15.95" customHeight="1" thickBot="1">
      <c r="B82" s="26"/>
      <c r="C82" s="1635" t="s">
        <v>4</v>
      </c>
      <c r="D82" s="1636"/>
      <c r="E82" s="1636"/>
      <c r="F82" s="1636"/>
      <c r="G82" s="1636"/>
      <c r="H82" s="1636"/>
      <c r="I82" s="1636"/>
      <c r="J82" s="1636"/>
      <c r="K82" s="1636"/>
      <c r="L82" s="1636"/>
      <c r="M82" s="1636"/>
      <c r="N82" s="1636"/>
      <c r="O82" s="1636"/>
      <c r="P82" s="1636"/>
      <c r="Q82" s="1636"/>
      <c r="R82" s="1636"/>
      <c r="S82" s="1636"/>
      <c r="T82" s="1636"/>
      <c r="U82" s="1636"/>
      <c r="V82" s="1636"/>
      <c r="W82" s="1636"/>
      <c r="X82" s="1636"/>
      <c r="Y82" s="1636"/>
      <c r="Z82" s="1636"/>
      <c r="AA82" s="1636"/>
      <c r="AB82" s="1636"/>
      <c r="AC82" s="1636"/>
      <c r="AD82" s="1636"/>
      <c r="AE82" s="1636"/>
      <c r="AF82" s="1636"/>
      <c r="AG82" s="1636"/>
      <c r="AH82" s="1636"/>
      <c r="AI82" s="1636"/>
      <c r="AJ82" s="1636"/>
      <c r="AK82" s="1636"/>
      <c r="AL82" s="1636"/>
      <c r="AM82" s="1636"/>
      <c r="AN82" s="1636"/>
      <c r="AO82" s="1636"/>
      <c r="AP82" s="1636"/>
      <c r="AQ82" s="1636"/>
      <c r="AR82" s="1636"/>
      <c r="AS82" s="1636"/>
      <c r="AT82" s="1636"/>
      <c r="AU82" s="1636"/>
      <c r="AV82" s="1636"/>
      <c r="AW82" s="1636"/>
      <c r="AX82" s="1636"/>
      <c r="AY82" s="1636"/>
      <c r="AZ82" s="1636"/>
      <c r="BA82" s="1636"/>
      <c r="BB82" s="1636"/>
      <c r="BC82" s="1636"/>
      <c r="BD82" s="1636"/>
      <c r="BE82" s="1636"/>
      <c r="BF82" s="1636"/>
      <c r="BG82" s="1636"/>
      <c r="BH82" s="1636"/>
      <c r="BI82" s="1636"/>
      <c r="BJ82" s="1636"/>
      <c r="BK82" s="1636"/>
      <c r="BL82" s="1636"/>
      <c r="BM82" s="1636"/>
      <c r="BN82" s="1636"/>
      <c r="BO82" s="1636"/>
      <c r="BP82" s="1636"/>
      <c r="BQ82" s="1636"/>
      <c r="BR82" s="1636"/>
      <c r="BS82" s="1636"/>
      <c r="BT82" s="1636"/>
      <c r="BU82" s="1636"/>
      <c r="BV82" s="1636"/>
      <c r="BW82" s="1636"/>
      <c r="BX82" s="1636"/>
      <c r="BY82" s="1636"/>
      <c r="BZ82" s="1636"/>
      <c r="CA82" s="1636"/>
      <c r="CB82" s="1636"/>
      <c r="CC82" s="1636"/>
      <c r="CD82" s="1636"/>
      <c r="CE82" s="1636"/>
      <c r="CF82" s="1636"/>
      <c r="CG82" s="1636"/>
      <c r="CH82" s="1636"/>
      <c r="CI82" s="1636"/>
      <c r="CJ82" s="1636"/>
      <c r="CK82" s="1636"/>
      <c r="CL82" s="1637"/>
      <c r="CM82" s="28"/>
    </row>
    <row r="83" spans="2:97" s="153" customFormat="1" ht="14.1" customHeight="1" thickBot="1">
      <c r="B83" s="203"/>
      <c r="C83" s="1638" t="s">
        <v>1691</v>
      </c>
      <c r="D83" s="1638"/>
      <c r="E83" s="1638"/>
      <c r="F83" s="1638"/>
      <c r="G83" s="1638"/>
      <c r="H83" s="1638"/>
      <c r="I83" s="1638"/>
      <c r="J83" s="1638"/>
      <c r="K83" s="1638"/>
      <c r="L83" s="1638"/>
      <c r="M83" s="1638"/>
      <c r="N83" s="1638"/>
      <c r="O83" s="1638"/>
      <c r="P83" s="1638"/>
      <c r="Q83" s="1638"/>
      <c r="R83" s="1638"/>
      <c r="S83" s="1638"/>
      <c r="T83" s="1638"/>
      <c r="U83" s="1638"/>
      <c r="V83" s="1638"/>
      <c r="W83" s="1638"/>
      <c r="X83" s="1638"/>
      <c r="Y83" s="1638"/>
      <c r="Z83" s="1638"/>
      <c r="AA83" s="1638"/>
      <c r="AB83" s="1638"/>
      <c r="AC83" s="1638"/>
      <c r="AD83" s="1638"/>
      <c r="AE83" s="1639">
        <f>(AB79*0.03)+(AB79*0.015)+(AB79*0.1)</f>
        <v>326144.90630189877</v>
      </c>
      <c r="AF83" s="1639"/>
      <c r="AG83" s="1639"/>
      <c r="AH83" s="1639"/>
      <c r="AI83" s="1639"/>
      <c r="AJ83" s="1640"/>
      <c r="AK83" s="1640"/>
      <c r="AL83" s="245"/>
      <c r="AM83" s="245"/>
      <c r="AN83" s="245"/>
      <c r="AO83" s="245"/>
      <c r="AP83" s="245"/>
      <c r="AQ83" s="245"/>
      <c r="AR83" s="245"/>
      <c r="AS83" s="245"/>
      <c r="AT83" s="245"/>
      <c r="AU83" s="245"/>
      <c r="AV83" s="245"/>
      <c r="AW83" s="245"/>
      <c r="AX83" s="245"/>
      <c r="AY83" s="245"/>
      <c r="AZ83" s="245"/>
      <c r="BA83" s="245"/>
      <c r="BB83" s="245"/>
      <c r="BC83" s="245"/>
      <c r="BD83" s="245"/>
      <c r="BE83" s="1777" t="s">
        <v>1691</v>
      </c>
      <c r="BF83" s="1777"/>
      <c r="BG83" s="1777"/>
      <c r="BH83" s="1777"/>
      <c r="BI83" s="1777"/>
      <c r="BJ83" s="1777"/>
      <c r="BK83" s="1777"/>
      <c r="BL83" s="1777"/>
      <c r="BM83" s="1777"/>
      <c r="BN83" s="1777"/>
      <c r="BO83" s="1777"/>
      <c r="BP83" s="1777"/>
      <c r="BQ83" s="1777"/>
      <c r="BR83" s="1777"/>
      <c r="BS83" s="1777"/>
      <c r="BT83" s="1777"/>
      <c r="BU83" s="1777"/>
      <c r="BV83" s="1777"/>
      <c r="BW83" s="1777"/>
      <c r="BX83" s="1777"/>
      <c r="BY83" s="1777"/>
      <c r="BZ83" s="1777"/>
      <c r="CA83" s="1777"/>
      <c r="CB83" s="1777"/>
      <c r="CC83" s="1777"/>
      <c r="CD83" s="1777"/>
      <c r="CE83" s="1777"/>
      <c r="CF83" s="1658">
        <f ca="1">(CF81*0.03)+(CF81*0.015)+(CF81*0.1)</f>
        <v>286869.02142900688</v>
      </c>
      <c r="CG83" s="1658"/>
      <c r="CH83" s="1658"/>
      <c r="CI83" s="1658"/>
      <c r="CJ83" s="1658"/>
      <c r="CK83" s="1659"/>
      <c r="CL83" s="1659"/>
      <c r="CM83" s="204"/>
      <c r="CO83" s="285"/>
      <c r="CP83" s="285"/>
      <c r="CQ83" s="285"/>
      <c r="CR83" s="285"/>
      <c r="CS83" s="292"/>
    </row>
    <row r="84" spans="2:97" s="153" customFormat="1" ht="14.1" customHeight="1" thickBot="1">
      <c r="B84" s="203"/>
      <c r="C84" s="1641" t="s">
        <v>1684</v>
      </c>
      <c r="D84" s="1641"/>
      <c r="E84" s="1641"/>
      <c r="F84" s="1641"/>
      <c r="G84" s="1641"/>
      <c r="H84" s="1641"/>
      <c r="I84" s="1641"/>
      <c r="J84" s="1641"/>
      <c r="K84" s="1641"/>
      <c r="L84" s="1641"/>
      <c r="M84" s="1641"/>
      <c r="N84" s="1641"/>
      <c r="O84" s="1641"/>
      <c r="P84" s="1641"/>
      <c r="Q84" s="1641"/>
      <c r="R84" s="1641"/>
      <c r="S84" s="1641"/>
      <c r="T84" s="1641"/>
      <c r="U84" s="1641"/>
      <c r="V84" s="1641"/>
      <c r="W84" s="1641"/>
      <c r="X84" s="1641"/>
      <c r="Y84" s="1641"/>
      <c r="Z84" s="1641"/>
      <c r="AA84" s="1641"/>
      <c r="AB84" s="1641"/>
      <c r="AC84" s="1641"/>
      <c r="AD84" s="1641"/>
      <c r="AE84" s="1642">
        <f>AE83</f>
        <v>326144.90630189877</v>
      </c>
      <c r="AF84" s="1642"/>
      <c r="AG84" s="1642"/>
      <c r="AH84" s="1642"/>
      <c r="AI84" s="1642"/>
      <c r="AJ84" s="1643"/>
      <c r="AK84" s="1643"/>
      <c r="AL84" s="245"/>
      <c r="AM84" s="245"/>
      <c r="AN84" s="245"/>
      <c r="AO84" s="245"/>
      <c r="AP84" s="245"/>
      <c r="AQ84" s="245"/>
      <c r="AR84" s="245"/>
      <c r="AS84" s="245"/>
      <c r="AT84" s="245"/>
      <c r="AU84" s="245"/>
      <c r="AV84" s="245"/>
      <c r="AW84" s="245"/>
      <c r="AX84" s="245"/>
      <c r="AY84" s="245"/>
      <c r="AZ84" s="245"/>
      <c r="BA84" s="245"/>
      <c r="BB84" s="245"/>
      <c r="BC84" s="245"/>
      <c r="BD84" s="245"/>
      <c r="BE84" s="1617" t="s">
        <v>1684</v>
      </c>
      <c r="BF84" s="1617"/>
      <c r="BG84" s="1617"/>
      <c r="BH84" s="1617"/>
      <c r="BI84" s="1617"/>
      <c r="BJ84" s="1617"/>
      <c r="BK84" s="1617"/>
      <c r="BL84" s="1617"/>
      <c r="BM84" s="1617"/>
      <c r="BN84" s="1617"/>
      <c r="BO84" s="1617"/>
      <c r="BP84" s="1617"/>
      <c r="BQ84" s="1617"/>
      <c r="BR84" s="1617"/>
      <c r="BS84" s="1617"/>
      <c r="BT84" s="1617"/>
      <c r="BU84" s="1617"/>
      <c r="BV84" s="1617"/>
      <c r="BW84" s="1617"/>
      <c r="BX84" s="1617"/>
      <c r="BY84" s="1617"/>
      <c r="BZ84" s="1617"/>
      <c r="CA84" s="1617"/>
      <c r="CB84" s="1617"/>
      <c r="CC84" s="1617"/>
      <c r="CD84" s="1617"/>
      <c r="CE84" s="1617"/>
      <c r="CF84" s="1677">
        <f ca="1">CF83</f>
        <v>286869.02142900688</v>
      </c>
      <c r="CG84" s="1677"/>
      <c r="CH84" s="1677"/>
      <c r="CI84" s="1677"/>
      <c r="CJ84" s="1677"/>
      <c r="CK84" s="1678"/>
      <c r="CL84" s="1678"/>
      <c r="CM84" s="204"/>
      <c r="CO84" s="285"/>
      <c r="CP84" s="285"/>
      <c r="CQ84" s="285"/>
      <c r="CR84" s="285"/>
      <c r="CS84" s="292"/>
    </row>
    <row r="85" spans="2:97" ht="14.1" customHeight="1" thickBot="1">
      <c r="B85" s="26"/>
      <c r="C85" s="1632" t="s">
        <v>1526</v>
      </c>
      <c r="D85" s="1632"/>
      <c r="E85" s="1632"/>
      <c r="F85" s="1632"/>
      <c r="G85" s="1632"/>
      <c r="H85" s="1632"/>
      <c r="I85" s="1632"/>
      <c r="J85" s="1632"/>
      <c r="K85" s="1632"/>
      <c r="L85" s="1632"/>
      <c r="M85" s="1632"/>
      <c r="N85" s="1632"/>
      <c r="O85" s="1632"/>
      <c r="P85" s="1632"/>
      <c r="Q85" s="1632"/>
      <c r="R85" s="1632"/>
      <c r="S85" s="1632"/>
      <c r="T85" s="1632"/>
      <c r="U85" s="1632"/>
      <c r="V85" s="1632"/>
      <c r="W85" s="1632"/>
      <c r="X85" s="1632"/>
      <c r="Y85" s="1632"/>
      <c r="Z85" s="1632"/>
      <c r="AA85" s="1632"/>
      <c r="AB85" s="1632"/>
      <c r="AC85" s="1632"/>
      <c r="AD85" s="1632"/>
      <c r="AE85" s="1633">
        <f>AB79+AE84</f>
        <v>2575420.122177063</v>
      </c>
      <c r="AF85" s="1633"/>
      <c r="AG85" s="1633"/>
      <c r="AH85" s="1633"/>
      <c r="AI85" s="1633"/>
      <c r="AJ85" s="1634"/>
      <c r="AK85" s="1634"/>
      <c r="AL85" s="245"/>
      <c r="AM85" s="245"/>
      <c r="AN85" s="245"/>
      <c r="AO85" s="245"/>
      <c r="AP85" s="245"/>
      <c r="AQ85" s="245"/>
      <c r="AR85" s="245"/>
      <c r="AS85" s="245"/>
      <c r="AT85" s="245"/>
      <c r="AU85" s="245"/>
      <c r="AV85" s="245"/>
      <c r="AW85" s="245"/>
      <c r="AX85" s="245"/>
      <c r="AY85" s="245"/>
      <c r="AZ85" s="245"/>
      <c r="BA85" s="245"/>
      <c r="BB85" s="245"/>
      <c r="BC85" s="245"/>
      <c r="BD85" s="245"/>
      <c r="BE85" s="1632" t="s">
        <v>1687</v>
      </c>
      <c r="BF85" s="1632"/>
      <c r="BG85" s="1632"/>
      <c r="BH85" s="1632"/>
      <c r="BI85" s="1632"/>
      <c r="BJ85" s="1632"/>
      <c r="BK85" s="1632"/>
      <c r="BL85" s="1632"/>
      <c r="BM85" s="1632"/>
      <c r="BN85" s="1632"/>
      <c r="BO85" s="1632"/>
      <c r="BP85" s="1632"/>
      <c r="BQ85" s="1632"/>
      <c r="BR85" s="1632"/>
      <c r="BS85" s="1632"/>
      <c r="BT85" s="1632"/>
      <c r="BU85" s="1632"/>
      <c r="BV85" s="1632"/>
      <c r="BW85" s="1632"/>
      <c r="BX85" s="1632"/>
      <c r="BY85" s="1632"/>
      <c r="BZ85" s="1632"/>
      <c r="CA85" s="1632"/>
      <c r="CB85" s="1632"/>
      <c r="CC85" s="1632"/>
      <c r="CD85" s="1632"/>
      <c r="CE85" s="1632"/>
      <c r="CF85" s="1633">
        <f ca="1">CF81+CF84</f>
        <v>2265276.0657669855</v>
      </c>
      <c r="CG85" s="1633"/>
      <c r="CH85" s="1633"/>
      <c r="CI85" s="1633"/>
      <c r="CJ85" s="1633"/>
      <c r="CK85" s="1634"/>
      <c r="CL85" s="1634"/>
      <c r="CM85" s="28"/>
    </row>
    <row r="86" spans="2:97" s="153" customFormat="1" ht="14.1" customHeight="1" thickBot="1">
      <c r="B86" s="203"/>
      <c r="C86" s="1646" t="s">
        <v>1527</v>
      </c>
      <c r="D86" s="1646"/>
      <c r="E86" s="1646"/>
      <c r="F86" s="1646"/>
      <c r="G86" s="1646"/>
      <c r="H86" s="1646"/>
      <c r="I86" s="1646"/>
      <c r="J86" s="1646"/>
      <c r="K86" s="1646"/>
      <c r="L86" s="1646"/>
      <c r="M86" s="1646"/>
      <c r="N86" s="1646"/>
      <c r="O86" s="1646"/>
      <c r="P86" s="1646"/>
      <c r="Q86" s="1646"/>
      <c r="R86" s="1646"/>
      <c r="S86" s="1646"/>
      <c r="T86" s="1646"/>
      <c r="U86" s="1646"/>
      <c r="V86" s="1646"/>
      <c r="W86" s="1646"/>
      <c r="X86" s="1646"/>
      <c r="Y86" s="1646"/>
      <c r="Z86" s="1646"/>
      <c r="AA86" s="1646"/>
      <c r="AB86" s="1646"/>
      <c r="AC86" s="1646"/>
      <c r="AD86" s="1646"/>
      <c r="AE86" s="1775">
        <f>AE85*0.1</f>
        <v>257542.0122177063</v>
      </c>
      <c r="AF86" s="1775"/>
      <c r="AG86" s="1775"/>
      <c r="AH86" s="1775"/>
      <c r="AI86" s="1775"/>
      <c r="AJ86" s="1776"/>
      <c r="AK86" s="1776"/>
      <c r="AL86" s="245"/>
      <c r="AM86" s="245"/>
      <c r="AQ86" s="1671" t="s">
        <v>1740</v>
      </c>
      <c r="AR86" s="1671"/>
      <c r="AS86" s="1671"/>
      <c r="AT86" s="1671"/>
      <c r="AU86" s="1671"/>
      <c r="AV86" s="1671"/>
      <c r="AW86" s="1671"/>
      <c r="AX86" s="1671"/>
      <c r="AY86" s="1671"/>
      <c r="BC86" s="245"/>
      <c r="BD86" s="245"/>
      <c r="BE86" s="1631" t="s">
        <v>1527</v>
      </c>
      <c r="BF86" s="1631"/>
      <c r="BG86" s="1631"/>
      <c r="BH86" s="1631"/>
      <c r="BI86" s="1631"/>
      <c r="BJ86" s="1631"/>
      <c r="BK86" s="1631"/>
      <c r="BL86" s="1631"/>
      <c r="BM86" s="1631"/>
      <c r="BN86" s="1631"/>
      <c r="BO86" s="1631"/>
      <c r="BP86" s="1631"/>
      <c r="BQ86" s="1631"/>
      <c r="BR86" s="1631"/>
      <c r="BS86" s="1631"/>
      <c r="BT86" s="1631"/>
      <c r="BU86" s="1631"/>
      <c r="BV86" s="1631"/>
      <c r="BW86" s="1631"/>
      <c r="BX86" s="1631"/>
      <c r="BY86" s="1631"/>
      <c r="BZ86" s="1631"/>
      <c r="CA86" s="1631"/>
      <c r="CB86" s="1631"/>
      <c r="CC86" s="1631"/>
      <c r="CD86" s="1631"/>
      <c r="CE86" s="1631"/>
      <c r="CF86" s="1660">
        <f ca="1">CF85*0.1</f>
        <v>226527.60657669857</v>
      </c>
      <c r="CG86" s="1660"/>
      <c r="CH86" s="1660"/>
      <c r="CI86" s="1660"/>
      <c r="CJ86" s="1660"/>
      <c r="CK86" s="1661"/>
      <c r="CL86" s="1661"/>
      <c r="CM86" s="204"/>
      <c r="CO86" s="285"/>
      <c r="CP86" s="285"/>
      <c r="CQ86" s="285"/>
      <c r="CR86" s="285"/>
      <c r="CS86" s="292"/>
    </row>
    <row r="87" spans="2:97" s="153" customFormat="1" ht="18" customHeight="1" thickBot="1">
      <c r="B87" s="203"/>
      <c r="C87" s="1784" t="s">
        <v>1736</v>
      </c>
      <c r="D87" s="1784"/>
      <c r="E87" s="1784"/>
      <c r="F87" s="1784"/>
      <c r="G87" s="1784"/>
      <c r="H87" s="1784"/>
      <c r="I87" s="1784"/>
      <c r="J87" s="1784"/>
      <c r="K87" s="1784"/>
      <c r="L87" s="1784"/>
      <c r="M87" s="1784"/>
      <c r="N87" s="1784"/>
      <c r="O87" s="1784"/>
      <c r="P87" s="1784"/>
      <c r="Q87" s="1784"/>
      <c r="R87" s="1784"/>
      <c r="S87" s="1784"/>
      <c r="T87" s="1784"/>
      <c r="U87" s="1784"/>
      <c r="V87" s="1784"/>
      <c r="W87" s="1784"/>
      <c r="X87" s="1784"/>
      <c r="Y87" s="1784"/>
      <c r="Z87" s="1784"/>
      <c r="AA87" s="1784"/>
      <c r="AB87" s="1784"/>
      <c r="AC87" s="1784"/>
      <c r="AD87" s="1784"/>
      <c r="AE87" s="1785">
        <f>ROUND((AE85+AE86),-4)</f>
        <v>2830000</v>
      </c>
      <c r="AF87" s="1785"/>
      <c r="AG87" s="1785"/>
      <c r="AH87" s="1785"/>
      <c r="AI87" s="1785"/>
      <c r="AJ87" s="1786"/>
      <c r="AK87" s="1786"/>
      <c r="AL87" s="1648" t="s">
        <v>1738</v>
      </c>
      <c r="AM87" s="1649"/>
      <c r="AN87" s="1650"/>
      <c r="AO87" s="1650"/>
      <c r="AP87" s="1650"/>
      <c r="AQ87" s="1664">
        <f ca="1">CF87-AE87</f>
        <v>-340000</v>
      </c>
      <c r="AR87" s="1665"/>
      <c r="AS87" s="1665"/>
      <c r="AT87" s="1665"/>
      <c r="AU87" s="1665"/>
      <c r="AV87" s="1665"/>
      <c r="AW87" s="1665"/>
      <c r="AX87" s="1665"/>
      <c r="AY87" s="1666"/>
      <c r="AZ87" s="1649" t="s">
        <v>1739</v>
      </c>
      <c r="BA87" s="1649"/>
      <c r="BB87" s="1650"/>
      <c r="BC87" s="1650"/>
      <c r="BD87" s="1650"/>
      <c r="BE87" s="1630" t="s">
        <v>1683</v>
      </c>
      <c r="BF87" s="1630"/>
      <c r="BG87" s="1630"/>
      <c r="BH87" s="1630"/>
      <c r="BI87" s="1630"/>
      <c r="BJ87" s="1630"/>
      <c r="BK87" s="1630"/>
      <c r="BL87" s="1630"/>
      <c r="BM87" s="1630"/>
      <c r="BN87" s="1630"/>
      <c r="BO87" s="1630"/>
      <c r="BP87" s="1630"/>
      <c r="BQ87" s="1630"/>
      <c r="BR87" s="1630"/>
      <c r="BS87" s="1630"/>
      <c r="BT87" s="1630"/>
      <c r="BU87" s="1630"/>
      <c r="BV87" s="1630"/>
      <c r="BW87" s="1630"/>
      <c r="BX87" s="1630"/>
      <c r="BY87" s="1630"/>
      <c r="BZ87" s="1630"/>
      <c r="CA87" s="1630"/>
      <c r="CB87" s="1630"/>
      <c r="CC87" s="1630"/>
      <c r="CD87" s="1630"/>
      <c r="CE87" s="1630"/>
      <c r="CF87" s="1662">
        <f ca="1">ROUND((CF85+CF86),-4)</f>
        <v>2490000</v>
      </c>
      <c r="CG87" s="1662"/>
      <c r="CH87" s="1662"/>
      <c r="CI87" s="1662"/>
      <c r="CJ87" s="1662"/>
      <c r="CK87" s="1663"/>
      <c r="CL87" s="1663"/>
      <c r="CM87" s="204"/>
      <c r="CO87" s="285"/>
      <c r="CP87" s="285"/>
      <c r="CQ87" s="285"/>
      <c r="CR87" s="285"/>
      <c r="CS87" s="292"/>
    </row>
    <row r="88" spans="2:97" ht="14.1" customHeight="1" thickBot="1">
      <c r="B88" s="26"/>
      <c r="C88" s="249"/>
      <c r="D88" s="27"/>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c r="AJ88" s="27"/>
      <c r="AK88" s="27"/>
      <c r="AL88" s="27"/>
      <c r="AM88" s="27"/>
      <c r="BC88" s="27"/>
      <c r="BD88" s="27"/>
      <c r="BE88" s="27"/>
      <c r="BF88" s="27"/>
      <c r="BG88" s="27"/>
      <c r="BH88" s="27"/>
      <c r="BI88" s="27"/>
      <c r="BJ88" s="27"/>
      <c r="BK88" s="27"/>
      <c r="BL88" s="27"/>
      <c r="BM88" s="27"/>
      <c r="BN88" s="27"/>
      <c r="BO88" s="27"/>
      <c r="BP88" s="27"/>
      <c r="BQ88" s="27"/>
      <c r="BR88" s="27"/>
      <c r="BS88" s="27"/>
      <c r="BT88" s="27"/>
      <c r="BU88" s="27"/>
      <c r="BV88" s="27"/>
      <c r="BW88" s="27"/>
      <c r="BX88" s="27"/>
      <c r="BY88" s="27"/>
      <c r="BZ88" s="27"/>
      <c r="CA88" s="27"/>
      <c r="CB88" s="27"/>
      <c r="CC88" s="27"/>
      <c r="CD88" s="27"/>
      <c r="CE88" s="27"/>
      <c r="CF88" s="27"/>
      <c r="CG88" s="27"/>
      <c r="CH88" s="27"/>
      <c r="CI88" s="27"/>
      <c r="CJ88" s="27"/>
      <c r="CK88" s="27"/>
      <c r="CL88" s="250"/>
      <c r="CM88" s="28"/>
    </row>
    <row r="89" spans="2:97" ht="14.1" customHeight="1" thickBot="1">
      <c r="B89" s="26"/>
      <c r="C89" s="1628" t="s">
        <v>1719</v>
      </c>
      <c r="D89" s="1628"/>
      <c r="E89" s="1628"/>
      <c r="F89" s="1628"/>
      <c r="G89" s="1628"/>
      <c r="H89" s="1628"/>
      <c r="I89" s="1628"/>
      <c r="J89" s="1628"/>
      <c r="K89" s="1628"/>
      <c r="L89" s="1628"/>
      <c r="M89" s="1628"/>
      <c r="N89" s="1628"/>
      <c r="O89" s="1628"/>
      <c r="P89" s="1628"/>
      <c r="Q89" s="1628"/>
      <c r="R89" s="1628"/>
      <c r="S89" s="1628"/>
      <c r="T89" s="1628"/>
      <c r="U89" s="1628"/>
      <c r="V89" s="1628"/>
      <c r="W89" s="1628"/>
      <c r="X89" s="1628"/>
      <c r="Y89" s="1628"/>
      <c r="Z89" s="1628"/>
      <c r="AA89" s="1628"/>
      <c r="AB89" s="1628"/>
      <c r="AC89" s="1628"/>
      <c r="AD89" s="1628"/>
      <c r="AE89" s="1628"/>
      <c r="AF89" s="1628"/>
      <c r="AG89" s="1628"/>
      <c r="AH89" s="1628"/>
      <c r="AI89" s="1628"/>
      <c r="AJ89" s="1628"/>
      <c r="AK89" s="1628"/>
      <c r="AL89" s="27"/>
      <c r="AM89" s="27"/>
      <c r="AN89" s="1771" t="s">
        <v>1680</v>
      </c>
      <c r="AO89" s="1771"/>
      <c r="AP89" s="1771"/>
      <c r="AQ89" s="1771"/>
      <c r="AR89" s="1771"/>
      <c r="AS89" s="1771"/>
      <c r="AT89" s="1771"/>
      <c r="AU89" s="1771"/>
      <c r="AV89" s="1771"/>
      <c r="AW89" s="1771"/>
      <c r="AX89" s="1771"/>
      <c r="AY89" s="1771"/>
      <c r="AZ89" s="1771"/>
      <c r="BA89" s="1771"/>
      <c r="BB89" s="1771"/>
      <c r="BC89" s="27"/>
      <c r="BD89" s="27"/>
      <c r="BE89" s="1774" t="s">
        <v>1686</v>
      </c>
      <c r="BF89" s="1774"/>
      <c r="BG89" s="1774"/>
      <c r="BH89" s="1774"/>
      <c r="BI89" s="1774"/>
      <c r="BJ89" s="1774"/>
      <c r="BK89" s="1774"/>
      <c r="BL89" s="1774"/>
      <c r="BM89" s="1774"/>
      <c r="BN89" s="1774"/>
      <c r="BO89" s="1774"/>
      <c r="BP89" s="1774"/>
      <c r="BQ89" s="1774"/>
      <c r="BR89" s="1774"/>
      <c r="BS89" s="1774"/>
      <c r="BT89" s="1774"/>
      <c r="BU89" s="1774"/>
      <c r="BV89" s="1774"/>
      <c r="BW89" s="1774"/>
      <c r="BX89" s="1774"/>
      <c r="BY89" s="1774"/>
      <c r="BZ89" s="1774"/>
      <c r="CA89" s="1774"/>
      <c r="CB89" s="1774"/>
      <c r="CC89" s="1774"/>
      <c r="CD89" s="1774"/>
      <c r="CE89" s="1774"/>
      <c r="CF89" s="1774"/>
      <c r="CG89" s="1774"/>
      <c r="CH89" s="1774"/>
      <c r="CI89" s="1774"/>
      <c r="CJ89" s="1774"/>
      <c r="CK89" s="1774"/>
      <c r="CL89" s="1774"/>
      <c r="CM89" s="28"/>
    </row>
    <row r="90" spans="2:97" ht="14.1" customHeight="1" thickBot="1">
      <c r="B90" s="26"/>
      <c r="C90" s="1628" t="s">
        <v>1678</v>
      </c>
      <c r="D90" s="1628"/>
      <c r="E90" s="1628"/>
      <c r="F90" s="1628"/>
      <c r="G90" s="1628"/>
      <c r="H90" s="1628"/>
      <c r="I90" s="1628"/>
      <c r="J90" s="1628"/>
      <c r="K90" s="1628"/>
      <c r="L90" s="1628"/>
      <c r="M90" s="1628"/>
      <c r="N90" s="1628"/>
      <c r="O90" s="1628"/>
      <c r="P90" s="1628"/>
      <c r="Q90" s="1629" t="s">
        <v>1720</v>
      </c>
      <c r="R90" s="1629"/>
      <c r="S90" s="1629"/>
      <c r="T90" s="1629"/>
      <c r="U90" s="1629"/>
      <c r="V90" s="1629"/>
      <c r="W90" s="1629"/>
      <c r="X90" s="1629" t="s">
        <v>1721</v>
      </c>
      <c r="Y90" s="1629"/>
      <c r="Z90" s="1629"/>
      <c r="AA90" s="1629"/>
      <c r="AB90" s="1629"/>
      <c r="AC90" s="1629"/>
      <c r="AD90" s="1629"/>
      <c r="AE90" s="1628" t="s">
        <v>1722</v>
      </c>
      <c r="AF90" s="1628"/>
      <c r="AG90" s="1628"/>
      <c r="AH90" s="1628"/>
      <c r="AI90" s="1628"/>
      <c r="AJ90" s="1628"/>
      <c r="AK90" s="1628"/>
      <c r="AL90" s="27"/>
      <c r="AM90" s="27"/>
      <c r="AN90" s="1771"/>
      <c r="AO90" s="1771"/>
      <c r="AP90" s="1771"/>
      <c r="AQ90" s="1771"/>
      <c r="AR90" s="1771"/>
      <c r="AS90" s="1771"/>
      <c r="AT90" s="1771"/>
      <c r="AU90" s="1771"/>
      <c r="AV90" s="1771"/>
      <c r="AW90" s="1771"/>
      <c r="AX90" s="1771"/>
      <c r="AY90" s="1771"/>
      <c r="AZ90" s="1771"/>
      <c r="BA90" s="1771"/>
      <c r="BB90" s="1771"/>
      <c r="BC90" s="27"/>
      <c r="BD90" s="27"/>
      <c r="BE90" s="1774"/>
      <c r="BF90" s="1774"/>
      <c r="BG90" s="1774"/>
      <c r="BH90" s="1774"/>
      <c r="BI90" s="1774"/>
      <c r="BJ90" s="1774"/>
      <c r="BK90" s="1774"/>
      <c r="BL90" s="1774"/>
      <c r="BM90" s="1774"/>
      <c r="BN90" s="1774"/>
      <c r="BO90" s="1774"/>
      <c r="BP90" s="1774"/>
      <c r="BQ90" s="1774"/>
      <c r="BR90" s="1774"/>
      <c r="BS90" s="1774"/>
      <c r="BT90" s="1774"/>
      <c r="BU90" s="1774"/>
      <c r="BV90" s="1774"/>
      <c r="BW90" s="1774"/>
      <c r="BX90" s="1774"/>
      <c r="BY90" s="1774"/>
      <c r="BZ90" s="1774"/>
      <c r="CA90" s="1774"/>
      <c r="CB90" s="1774"/>
      <c r="CC90" s="1774"/>
      <c r="CD90" s="1774"/>
      <c r="CE90" s="1774"/>
      <c r="CF90" s="1774"/>
      <c r="CG90" s="1774"/>
      <c r="CH90" s="1774"/>
      <c r="CI90" s="1774"/>
      <c r="CJ90" s="1774"/>
      <c r="CK90" s="1774"/>
      <c r="CL90" s="1774"/>
      <c r="CM90" s="28"/>
    </row>
    <row r="91" spans="2:97" ht="14.1" customHeight="1" thickBot="1">
      <c r="B91" s="26"/>
      <c r="C91" s="1628" t="s">
        <v>1723</v>
      </c>
      <c r="D91" s="1628"/>
      <c r="E91" s="1628"/>
      <c r="F91" s="1628"/>
      <c r="G91" s="1628"/>
      <c r="H91" s="1628"/>
      <c r="I91" s="1628"/>
      <c r="J91" s="1628"/>
      <c r="K91" s="1629" t="s">
        <v>1724</v>
      </c>
      <c r="L91" s="1629"/>
      <c r="M91" s="1629"/>
      <c r="N91" s="1629"/>
      <c r="O91" s="1629"/>
      <c r="P91" s="1629"/>
      <c r="Q91" s="1629"/>
      <c r="R91" s="1629"/>
      <c r="S91" s="1629"/>
      <c r="T91" s="1629"/>
      <c r="U91" s="1629"/>
      <c r="V91" s="1629"/>
      <c r="W91" s="1629"/>
      <c r="X91" s="1629"/>
      <c r="Y91" s="1629"/>
      <c r="Z91" s="1629"/>
      <c r="AA91" s="1629"/>
      <c r="AB91" s="1629"/>
      <c r="AC91" s="1629"/>
      <c r="AD91" s="1629"/>
      <c r="AE91" s="1628"/>
      <c r="AF91" s="1628"/>
      <c r="AG91" s="1628"/>
      <c r="AH91" s="1628"/>
      <c r="AI91" s="1628"/>
      <c r="AJ91" s="1628"/>
      <c r="AK91" s="1628"/>
      <c r="AL91" s="27"/>
      <c r="AM91" s="27"/>
      <c r="AN91" s="1772">
        <f>1-AE93</f>
        <v>0.39999999999999991</v>
      </c>
      <c r="AO91" s="1772"/>
      <c r="AP91" s="1772"/>
      <c r="AQ91" s="1772"/>
      <c r="AR91" s="1772"/>
      <c r="AS91" s="1772"/>
      <c r="AT91" s="1772"/>
      <c r="AU91" s="1773" t="str">
        <f>IF(AN91&gt;89%,"Sangat Baik",IF(AN91&gt;69%,"Baik",IF(AN91&gt;55%,"Cukup","Kurang")))</f>
        <v>Kurang</v>
      </c>
      <c r="AV91" s="1773"/>
      <c r="AW91" s="1773"/>
      <c r="AX91" s="1773"/>
      <c r="AY91" s="1773"/>
      <c r="AZ91" s="1773"/>
      <c r="BA91" s="1773"/>
      <c r="BB91" s="1773"/>
      <c r="BC91" s="27"/>
      <c r="BD91" s="27"/>
      <c r="BE91" s="1779" t="s">
        <v>1689</v>
      </c>
      <c r="BF91" s="1779"/>
      <c r="BG91" s="1779"/>
      <c r="BH91" s="1779"/>
      <c r="BI91" s="1779"/>
      <c r="BJ91" s="1779"/>
      <c r="BK91" s="1779"/>
      <c r="BL91" s="1779"/>
      <c r="BM91" s="1779"/>
      <c r="BN91" s="1779"/>
      <c r="BO91" s="1779"/>
      <c r="BP91" s="1779"/>
      <c r="BQ91" s="1779"/>
      <c r="BR91" s="1779"/>
      <c r="BS91" s="1779"/>
      <c r="BT91" s="1779"/>
      <c r="BU91" s="1779"/>
      <c r="BV91" s="1779"/>
      <c r="BW91" s="1779"/>
      <c r="BX91" s="1779"/>
      <c r="BY91" s="1779"/>
      <c r="BZ91" s="1779"/>
      <c r="CA91" s="1781">
        <f ca="1">CF87</f>
        <v>2490000</v>
      </c>
      <c r="CB91" s="1781"/>
      <c r="CC91" s="1781"/>
      <c r="CD91" s="1781"/>
      <c r="CE91" s="1781"/>
      <c r="CF91" s="1781"/>
      <c r="CG91" s="1781"/>
      <c r="CH91" s="1781"/>
      <c r="CI91" s="1781"/>
      <c r="CJ91" s="1781"/>
      <c r="CK91" s="1781"/>
      <c r="CL91" s="1781"/>
      <c r="CM91" s="28"/>
    </row>
    <row r="92" spans="2:97" ht="14.1" customHeight="1" thickBot="1">
      <c r="B92" s="26"/>
      <c r="C92" s="1628"/>
      <c r="D92" s="1628"/>
      <c r="E92" s="1628"/>
      <c r="F92" s="1628"/>
      <c r="G92" s="1628"/>
      <c r="H92" s="1628"/>
      <c r="I92" s="1628"/>
      <c r="J92" s="1628"/>
      <c r="K92" s="1629"/>
      <c r="L92" s="1629"/>
      <c r="M92" s="1629"/>
      <c r="N92" s="1629"/>
      <c r="O92" s="1629"/>
      <c r="P92" s="1629"/>
      <c r="Q92" s="1629"/>
      <c r="R92" s="1629"/>
      <c r="S92" s="1629"/>
      <c r="T92" s="1629"/>
      <c r="U92" s="1629"/>
      <c r="V92" s="1629"/>
      <c r="W92" s="1629"/>
      <c r="X92" s="1629"/>
      <c r="Y92" s="1629"/>
      <c r="Z92" s="1629"/>
      <c r="AA92" s="1629"/>
      <c r="AB92" s="1629"/>
      <c r="AC92" s="1629"/>
      <c r="AD92" s="1629"/>
      <c r="AE92" s="1628"/>
      <c r="AF92" s="1628"/>
      <c r="AG92" s="1628"/>
      <c r="AH92" s="1628"/>
      <c r="AI92" s="1628"/>
      <c r="AJ92" s="1628"/>
      <c r="AK92" s="1628"/>
      <c r="AL92" s="27"/>
      <c r="AM92" s="27"/>
      <c r="AN92" s="1772"/>
      <c r="AO92" s="1772"/>
      <c r="AP92" s="1772"/>
      <c r="AQ92" s="1772"/>
      <c r="AR92" s="1772"/>
      <c r="AS92" s="1772"/>
      <c r="AT92" s="1772"/>
      <c r="AU92" s="1773"/>
      <c r="AV92" s="1773"/>
      <c r="AW92" s="1773"/>
      <c r="AX92" s="1773"/>
      <c r="AY92" s="1773"/>
      <c r="AZ92" s="1773"/>
      <c r="BA92" s="1773"/>
      <c r="BB92" s="1773"/>
      <c r="BC92" s="27"/>
      <c r="BD92" s="27"/>
      <c r="BE92" s="1778" t="s">
        <v>1681</v>
      </c>
      <c r="BF92" s="1778"/>
      <c r="BG92" s="1778"/>
      <c r="BH92" s="1778"/>
      <c r="BI92" s="1778"/>
      <c r="BJ92" s="1778"/>
      <c r="BK92" s="1778"/>
      <c r="BL92" s="1778"/>
      <c r="BM92" s="1778"/>
      <c r="BN92" s="1778"/>
      <c r="BO92" s="1778"/>
      <c r="BP92" s="1778"/>
      <c r="BQ92" s="1778"/>
      <c r="BR92" s="1778"/>
      <c r="BS92" s="1778"/>
      <c r="BT92" s="1778"/>
      <c r="BU92" s="1778"/>
      <c r="BV92" s="1778"/>
      <c r="BW92" s="1778"/>
      <c r="BX92" s="1778"/>
      <c r="BY92" s="1778"/>
      <c r="BZ92" s="1778"/>
      <c r="CA92" s="1780">
        <f ca="1">CA91*BL59</f>
        <v>620010000</v>
      </c>
      <c r="CB92" s="1780"/>
      <c r="CC92" s="1780"/>
      <c r="CD92" s="1780"/>
      <c r="CE92" s="1780"/>
      <c r="CF92" s="1780"/>
      <c r="CG92" s="1780"/>
      <c r="CH92" s="1780"/>
      <c r="CI92" s="1780"/>
      <c r="CJ92" s="1780"/>
      <c r="CK92" s="1780"/>
      <c r="CL92" s="1780"/>
      <c r="CM92" s="28"/>
    </row>
    <row r="93" spans="2:97" ht="14.1" customHeight="1" thickBot="1">
      <c r="B93" s="26"/>
      <c r="C93" s="1647">
        <f>IF(BJ45=0,0,(BV45/BJ45))</f>
        <v>0.4</v>
      </c>
      <c r="D93" s="1647"/>
      <c r="E93" s="1647"/>
      <c r="F93" s="1647"/>
      <c r="G93" s="1647"/>
      <c r="H93" s="1647"/>
      <c r="I93" s="1647"/>
      <c r="J93" s="1647"/>
      <c r="K93" s="1657">
        <v>0.2</v>
      </c>
      <c r="L93" s="1657"/>
      <c r="M93" s="1657"/>
      <c r="N93" s="1657"/>
      <c r="O93" s="1657"/>
      <c r="P93" s="1657"/>
      <c r="Q93" s="1657">
        <v>0</v>
      </c>
      <c r="R93" s="1657"/>
      <c r="S93" s="1657"/>
      <c r="T93" s="1657"/>
      <c r="U93" s="1657"/>
      <c r="V93" s="1657"/>
      <c r="W93" s="1657"/>
      <c r="X93" s="1657">
        <v>0</v>
      </c>
      <c r="Y93" s="1657"/>
      <c r="Z93" s="1657"/>
      <c r="AA93" s="1657"/>
      <c r="AB93" s="1657"/>
      <c r="AC93" s="1657"/>
      <c r="AD93" s="1657"/>
      <c r="AE93" s="1656">
        <f>(C93+K93)+((100%-C93)*Q93)+((100%-C93)*X93)</f>
        <v>0.60000000000000009</v>
      </c>
      <c r="AF93" s="1656"/>
      <c r="AG93" s="1656"/>
      <c r="AH93" s="1656"/>
      <c r="AI93" s="1656"/>
      <c r="AJ93" s="1656"/>
      <c r="AK93" s="1656"/>
      <c r="AL93" s="27"/>
      <c r="AM93" s="27"/>
      <c r="AN93" s="1772"/>
      <c r="AO93" s="1772"/>
      <c r="AP93" s="1772"/>
      <c r="AQ93" s="1772"/>
      <c r="AR93" s="1772"/>
      <c r="AS93" s="1772"/>
      <c r="AT93" s="1772"/>
      <c r="AU93" s="1773"/>
      <c r="AV93" s="1773"/>
      <c r="AW93" s="1773"/>
      <c r="AX93" s="1773"/>
      <c r="AY93" s="1773"/>
      <c r="AZ93" s="1773"/>
      <c r="BA93" s="1773"/>
      <c r="BB93" s="1773"/>
      <c r="BC93" s="27"/>
      <c r="BD93" s="27"/>
      <c r="BE93" s="1779" t="s">
        <v>1690</v>
      </c>
      <c r="BF93" s="1779"/>
      <c r="BG93" s="1779"/>
      <c r="BH93" s="1779"/>
      <c r="BI93" s="1779"/>
      <c r="BJ93" s="1779"/>
      <c r="BK93" s="1779"/>
      <c r="BL93" s="1779"/>
      <c r="BM93" s="1779"/>
      <c r="BN93" s="1779"/>
      <c r="BO93" s="1779"/>
      <c r="BP93" s="1779"/>
      <c r="BQ93" s="1779"/>
      <c r="BR93" s="1779"/>
      <c r="BS93" s="1779"/>
      <c r="BT93" s="1779"/>
      <c r="BU93" s="1779"/>
      <c r="BV93" s="1779"/>
      <c r="BW93" s="1779"/>
      <c r="BX93" s="1779"/>
      <c r="BY93" s="1779"/>
      <c r="BZ93" s="1779"/>
      <c r="CA93" s="1781">
        <f ca="1">CA91*(1-AE93)</f>
        <v>995999.99999999977</v>
      </c>
      <c r="CB93" s="1781"/>
      <c r="CC93" s="1781"/>
      <c r="CD93" s="1781"/>
      <c r="CE93" s="1781"/>
      <c r="CF93" s="1781"/>
      <c r="CG93" s="1781"/>
      <c r="CH93" s="1781"/>
      <c r="CI93" s="1781"/>
      <c r="CJ93" s="1781"/>
      <c r="CK93" s="1781"/>
      <c r="CL93" s="1781"/>
      <c r="CM93" s="28"/>
    </row>
    <row r="94" spans="2:97" ht="18" customHeight="1" thickBot="1">
      <c r="B94" s="26"/>
      <c r="C94" s="1647"/>
      <c r="D94" s="1647"/>
      <c r="E94" s="1647"/>
      <c r="F94" s="1647"/>
      <c r="G94" s="1647"/>
      <c r="H94" s="1647"/>
      <c r="I94" s="1647"/>
      <c r="J94" s="1647"/>
      <c r="K94" s="1657"/>
      <c r="L94" s="1657"/>
      <c r="M94" s="1657"/>
      <c r="N94" s="1657"/>
      <c r="O94" s="1657"/>
      <c r="P94" s="1657"/>
      <c r="Q94" s="1657"/>
      <c r="R94" s="1657"/>
      <c r="S94" s="1657"/>
      <c r="T94" s="1657"/>
      <c r="U94" s="1657"/>
      <c r="V94" s="1657"/>
      <c r="W94" s="1657"/>
      <c r="X94" s="1657"/>
      <c r="Y94" s="1657"/>
      <c r="Z94" s="1657"/>
      <c r="AA94" s="1657"/>
      <c r="AB94" s="1657"/>
      <c r="AC94" s="1657"/>
      <c r="AD94" s="1657"/>
      <c r="AE94" s="1656"/>
      <c r="AF94" s="1656"/>
      <c r="AG94" s="1656"/>
      <c r="AH94" s="1656"/>
      <c r="AI94" s="1656"/>
      <c r="AJ94" s="1656"/>
      <c r="AK94" s="1656"/>
      <c r="AL94" s="251"/>
      <c r="AM94" s="251"/>
      <c r="AN94" s="1772"/>
      <c r="AO94" s="1772"/>
      <c r="AP94" s="1772"/>
      <c r="AQ94" s="1772"/>
      <c r="AR94" s="1772"/>
      <c r="AS94" s="1772"/>
      <c r="AT94" s="1772"/>
      <c r="AU94" s="1773"/>
      <c r="AV94" s="1773"/>
      <c r="AW94" s="1773"/>
      <c r="AX94" s="1773"/>
      <c r="AY94" s="1773"/>
      <c r="AZ94" s="1773"/>
      <c r="BA94" s="1773"/>
      <c r="BB94" s="1773"/>
      <c r="BC94" s="251"/>
      <c r="BD94" s="251"/>
      <c r="BE94" s="1778" t="s">
        <v>1682</v>
      </c>
      <c r="BF94" s="1778"/>
      <c r="BG94" s="1778"/>
      <c r="BH94" s="1778"/>
      <c r="BI94" s="1778"/>
      <c r="BJ94" s="1778"/>
      <c r="BK94" s="1778"/>
      <c r="BL94" s="1778"/>
      <c r="BM94" s="1778"/>
      <c r="BN94" s="1778"/>
      <c r="BO94" s="1778"/>
      <c r="BP94" s="1778"/>
      <c r="BQ94" s="1778"/>
      <c r="BR94" s="1778"/>
      <c r="BS94" s="1778"/>
      <c r="BT94" s="1778"/>
      <c r="BU94" s="1778"/>
      <c r="BV94" s="1778"/>
      <c r="BW94" s="1778"/>
      <c r="BX94" s="1778"/>
      <c r="BY94" s="1778"/>
      <c r="BZ94" s="1778"/>
      <c r="CA94" s="1780">
        <f ca="1">CA92*(1-AE93)</f>
        <v>248003999.99999994</v>
      </c>
      <c r="CB94" s="1780"/>
      <c r="CC94" s="1780"/>
      <c r="CD94" s="1780"/>
      <c r="CE94" s="1780"/>
      <c r="CF94" s="1780"/>
      <c r="CG94" s="1780"/>
      <c r="CH94" s="1780"/>
      <c r="CI94" s="1780"/>
      <c r="CJ94" s="1780"/>
      <c r="CK94" s="1780"/>
      <c r="CL94" s="1780"/>
      <c r="CM94" s="28"/>
    </row>
    <row r="95" spans="2:97" ht="14.1" customHeight="1" thickBot="1">
      <c r="B95" s="266"/>
      <c r="C95" s="267"/>
      <c r="D95" s="267"/>
      <c r="E95" s="267"/>
      <c r="F95" s="267"/>
      <c r="G95" s="267"/>
      <c r="H95" s="267"/>
      <c r="I95" s="267"/>
      <c r="J95" s="267"/>
      <c r="K95" s="267"/>
      <c r="L95" s="267"/>
      <c r="M95" s="267"/>
      <c r="N95" s="267"/>
      <c r="O95" s="267"/>
      <c r="P95" s="268"/>
      <c r="Q95" s="268"/>
      <c r="R95" s="268"/>
      <c r="S95" s="268"/>
      <c r="T95" s="268"/>
      <c r="U95" s="268"/>
      <c r="V95" s="268"/>
      <c r="W95" s="268"/>
      <c r="X95" s="268"/>
      <c r="Y95" s="268"/>
      <c r="Z95" s="268"/>
      <c r="AA95" s="268"/>
      <c r="AB95" s="268"/>
      <c r="AC95" s="268"/>
      <c r="AD95" s="268"/>
      <c r="AE95" s="267"/>
      <c r="AF95" s="267"/>
      <c r="AG95" s="267"/>
      <c r="AH95" s="267"/>
      <c r="AI95" s="267"/>
      <c r="AJ95" s="267"/>
      <c r="AK95" s="267"/>
      <c r="AL95" s="267"/>
      <c r="AM95" s="267"/>
      <c r="AN95" s="267"/>
      <c r="AO95" s="267"/>
      <c r="AP95" s="267"/>
      <c r="AQ95" s="267"/>
      <c r="AR95" s="267"/>
      <c r="AS95" s="267"/>
      <c r="AT95" s="267"/>
      <c r="AU95" s="267"/>
      <c r="AV95" s="267"/>
      <c r="AW95" s="267"/>
      <c r="AX95" s="267"/>
      <c r="AY95" s="267"/>
      <c r="AZ95" s="267"/>
      <c r="BA95" s="267"/>
      <c r="BB95" s="267"/>
      <c r="BC95" s="267"/>
      <c r="BD95" s="268"/>
      <c r="BE95" s="268"/>
      <c r="BF95" s="268"/>
      <c r="BG95" s="268"/>
      <c r="BH95" s="268"/>
      <c r="BI95" s="268"/>
      <c r="BJ95" s="268"/>
      <c r="BK95" s="268"/>
      <c r="BL95" s="268"/>
      <c r="BM95" s="268"/>
      <c r="BN95" s="268"/>
      <c r="BO95" s="268"/>
      <c r="BP95" s="268"/>
      <c r="BQ95" s="268"/>
      <c r="BR95" s="268"/>
      <c r="BS95" s="268"/>
      <c r="BT95" s="268"/>
      <c r="BU95" s="268"/>
      <c r="BV95" s="268"/>
      <c r="BW95" s="268"/>
      <c r="BX95" s="268"/>
      <c r="BY95" s="268"/>
      <c r="BZ95" s="268"/>
      <c r="CA95" s="268"/>
      <c r="CB95" s="268"/>
      <c r="CC95" s="268"/>
      <c r="CD95" s="268"/>
      <c r="CE95" s="268"/>
      <c r="CF95" s="268"/>
      <c r="CG95" s="268"/>
      <c r="CH95" s="268"/>
      <c r="CI95" s="268"/>
      <c r="CJ95" s="268"/>
      <c r="CK95" s="268"/>
      <c r="CL95" s="268"/>
      <c r="CM95" s="269"/>
    </row>
    <row r="96" spans="2:97" ht="14.1" customHeight="1" thickTop="1"/>
  </sheetData>
  <sheetCalcPr fullCalcOnLoad="1"/>
  <sheetProtection selectLockedCells="1"/>
  <mergeCells count="248">
    <mergeCell ref="AB79:AG79"/>
    <mergeCell ref="BE92:BZ92"/>
    <mergeCell ref="BE91:BZ91"/>
    <mergeCell ref="CF85:CL85"/>
    <mergeCell ref="BE80:BW80"/>
    <mergeCell ref="AO81:CE81"/>
    <mergeCell ref="CF80:CL80"/>
    <mergeCell ref="AE90:AK92"/>
    <mergeCell ref="C87:AD87"/>
    <mergeCell ref="AE87:AK87"/>
    <mergeCell ref="BE94:BZ94"/>
    <mergeCell ref="BE93:BZ93"/>
    <mergeCell ref="CA94:CL94"/>
    <mergeCell ref="CA93:CL93"/>
    <mergeCell ref="CA92:CL92"/>
    <mergeCell ref="CA91:CL91"/>
    <mergeCell ref="CF81:CL81"/>
    <mergeCell ref="AL79:AN81"/>
    <mergeCell ref="X90:AD92"/>
    <mergeCell ref="Q90:W92"/>
    <mergeCell ref="AN89:BB90"/>
    <mergeCell ref="AN91:AT94"/>
    <mergeCell ref="AU91:BB94"/>
    <mergeCell ref="BE89:CL90"/>
    <mergeCell ref="AE86:AK86"/>
    <mergeCell ref="BE83:CE83"/>
    <mergeCell ref="BE71:BG71"/>
    <mergeCell ref="AL71:AN71"/>
    <mergeCell ref="BE70:BG70"/>
    <mergeCell ref="CA76:CE76"/>
    <mergeCell ref="AH73:AK73"/>
    <mergeCell ref="AO73:BD73"/>
    <mergeCell ref="BE73:BG73"/>
    <mergeCell ref="AO72:BD72"/>
    <mergeCell ref="BH70:CE70"/>
    <mergeCell ref="BH73:BW73"/>
    <mergeCell ref="AB75:AG75"/>
    <mergeCell ref="AH75:AK75"/>
    <mergeCell ref="AH72:AK72"/>
    <mergeCell ref="AB77:AG77"/>
    <mergeCell ref="AH77:AK77"/>
    <mergeCell ref="AO71:BD71"/>
    <mergeCell ref="AH74:AK74"/>
    <mergeCell ref="AB72:AG72"/>
    <mergeCell ref="CF71:CL71"/>
    <mergeCell ref="AB70:AG70"/>
    <mergeCell ref="AH70:AK70"/>
    <mergeCell ref="L71:AA71"/>
    <mergeCell ref="BE72:BG72"/>
    <mergeCell ref="AL72:AN72"/>
    <mergeCell ref="CA71:CE71"/>
    <mergeCell ref="AH71:AK71"/>
    <mergeCell ref="AL70:AN70"/>
    <mergeCell ref="BH71:BW71"/>
    <mergeCell ref="CF72:CL72"/>
    <mergeCell ref="L74:AA74"/>
    <mergeCell ref="CA73:CE73"/>
    <mergeCell ref="CA74:CE74"/>
    <mergeCell ref="AL74:AN74"/>
    <mergeCell ref="CA72:CE72"/>
    <mergeCell ref="CF73:CL73"/>
    <mergeCell ref="AB74:AG74"/>
    <mergeCell ref="BH72:BW72"/>
    <mergeCell ref="BX73:BZ73"/>
    <mergeCell ref="AO63:CE63"/>
    <mergeCell ref="AL69:AN69"/>
    <mergeCell ref="CF69:CL69"/>
    <mergeCell ref="CF74:CL74"/>
    <mergeCell ref="CF61:CL67"/>
    <mergeCell ref="BX72:BZ72"/>
    <mergeCell ref="BX71:BZ71"/>
    <mergeCell ref="BX74:BZ74"/>
    <mergeCell ref="BE74:BG74"/>
    <mergeCell ref="AO70:BD70"/>
    <mergeCell ref="BY49:CE49"/>
    <mergeCell ref="CF50:CL50"/>
    <mergeCell ref="CF51:CL51"/>
    <mergeCell ref="CF52:CL52"/>
    <mergeCell ref="CF53:CL53"/>
    <mergeCell ref="CF54:CL54"/>
    <mergeCell ref="BY54:CE54"/>
    <mergeCell ref="BY52:CE52"/>
    <mergeCell ref="BY50:CE50"/>
    <mergeCell ref="BY51:CE51"/>
    <mergeCell ref="K53:BK53"/>
    <mergeCell ref="BS52:BW52"/>
    <mergeCell ref="BS51:BW51"/>
    <mergeCell ref="AL63:AN67"/>
    <mergeCell ref="C64:AG64"/>
    <mergeCell ref="CF75:CL75"/>
    <mergeCell ref="C75:K75"/>
    <mergeCell ref="CF55:CL55"/>
    <mergeCell ref="BY53:CE53"/>
    <mergeCell ref="C72:K72"/>
    <mergeCell ref="C59:BK59"/>
    <mergeCell ref="BL59:BR59"/>
    <mergeCell ref="BS53:BW53"/>
    <mergeCell ref="BS54:BW54"/>
    <mergeCell ref="K49:BK49"/>
    <mergeCell ref="BL51:BR51"/>
    <mergeCell ref="K51:BK51"/>
    <mergeCell ref="C51:J51"/>
    <mergeCell ref="C53:J53"/>
    <mergeCell ref="K52:BK52"/>
    <mergeCell ref="BJ45:BQ45"/>
    <mergeCell ref="K50:BK50"/>
    <mergeCell ref="BL50:BR50"/>
    <mergeCell ref="BL49:BR49"/>
    <mergeCell ref="BV45:CC45"/>
    <mergeCell ref="BS50:BW50"/>
    <mergeCell ref="BS48:BW49"/>
    <mergeCell ref="C48:BR48"/>
    <mergeCell ref="BY48:CL48"/>
    <mergeCell ref="CF49:CL49"/>
    <mergeCell ref="C50:J50"/>
    <mergeCell ref="X39:AC39"/>
    <mergeCell ref="X41:AK41"/>
    <mergeCell ref="X37:AC37"/>
    <mergeCell ref="X43:AC43"/>
    <mergeCell ref="C49:J49"/>
    <mergeCell ref="B7:CM8"/>
    <mergeCell ref="C10:AI13"/>
    <mergeCell ref="AM29:BF43"/>
    <mergeCell ref="BI31:CK32"/>
    <mergeCell ref="AK25:BD25"/>
    <mergeCell ref="C31:I35"/>
    <mergeCell ref="AK17:BD17"/>
    <mergeCell ref="BV43:CC44"/>
    <mergeCell ref="BJ43:BQ44"/>
    <mergeCell ref="AK18:BD18"/>
    <mergeCell ref="X35:AK35"/>
    <mergeCell ref="R33:AK33"/>
    <mergeCell ref="BH29:BR29"/>
    <mergeCell ref="AO61:CE61"/>
    <mergeCell ref="C61:AN61"/>
    <mergeCell ref="BY57:CE57"/>
    <mergeCell ref="BS55:BW55"/>
    <mergeCell ref="BL55:BR55"/>
    <mergeCell ref="C57:BK57"/>
    <mergeCell ref="K54:BK54"/>
    <mergeCell ref="CF70:CL70"/>
    <mergeCell ref="BL57:BR57"/>
    <mergeCell ref="B2:CM3"/>
    <mergeCell ref="BG5:CL5"/>
    <mergeCell ref="N5:AS5"/>
    <mergeCell ref="BJ41:CK41"/>
    <mergeCell ref="BJ37:CK37"/>
    <mergeCell ref="C55:BK55"/>
    <mergeCell ref="BY55:CE55"/>
    <mergeCell ref="BL54:BR54"/>
    <mergeCell ref="L73:AA73"/>
    <mergeCell ref="BL53:BR53"/>
    <mergeCell ref="BL52:BR52"/>
    <mergeCell ref="BS57:BW57"/>
    <mergeCell ref="L69:AA69"/>
    <mergeCell ref="C63:AG63"/>
    <mergeCell ref="C52:J52"/>
    <mergeCell ref="AO64:BD67"/>
    <mergeCell ref="C65:K67"/>
    <mergeCell ref="C54:J54"/>
    <mergeCell ref="CF84:CL84"/>
    <mergeCell ref="C62:CE62"/>
    <mergeCell ref="C68:CL68"/>
    <mergeCell ref="AH63:AK67"/>
    <mergeCell ref="C74:K74"/>
    <mergeCell ref="L76:AA76"/>
    <mergeCell ref="BE76:BG76"/>
    <mergeCell ref="AB71:AG71"/>
    <mergeCell ref="AB73:AG73"/>
    <mergeCell ref="L72:AA72"/>
    <mergeCell ref="CF76:CL76"/>
    <mergeCell ref="AO77:CE77"/>
    <mergeCell ref="C77:K77"/>
    <mergeCell ref="AB76:AG76"/>
    <mergeCell ref="AH76:AK76"/>
    <mergeCell ref="C79:AA79"/>
    <mergeCell ref="AH79:AK79"/>
    <mergeCell ref="AL77:AN77"/>
    <mergeCell ref="AO79:BD79"/>
    <mergeCell ref="BE79:BW79"/>
    <mergeCell ref="Q93:W94"/>
    <mergeCell ref="K93:P94"/>
    <mergeCell ref="CF83:CL83"/>
    <mergeCell ref="CF86:CL86"/>
    <mergeCell ref="CF87:CL87"/>
    <mergeCell ref="BX80:CE80"/>
    <mergeCell ref="AZ87:BD87"/>
    <mergeCell ref="AQ87:AY87"/>
    <mergeCell ref="C80:AK81"/>
    <mergeCell ref="AQ86:AY86"/>
    <mergeCell ref="C86:AD86"/>
    <mergeCell ref="C93:J94"/>
    <mergeCell ref="AL87:AP87"/>
    <mergeCell ref="AO80:BD80"/>
    <mergeCell ref="BX79:CE79"/>
    <mergeCell ref="CF79:CL79"/>
    <mergeCell ref="C89:AK89"/>
    <mergeCell ref="C90:P90"/>
    <mergeCell ref="AE93:AK94"/>
    <mergeCell ref="X93:AD94"/>
    <mergeCell ref="BH74:BW74"/>
    <mergeCell ref="AO74:BD74"/>
    <mergeCell ref="C85:AD85"/>
    <mergeCell ref="AE85:AK85"/>
    <mergeCell ref="C82:CL82"/>
    <mergeCell ref="C83:AD83"/>
    <mergeCell ref="AE83:AK83"/>
    <mergeCell ref="C84:AD84"/>
    <mergeCell ref="AE84:AK84"/>
    <mergeCell ref="CF77:CL77"/>
    <mergeCell ref="BH75:BW75"/>
    <mergeCell ref="BH76:BW76"/>
    <mergeCell ref="C91:J92"/>
    <mergeCell ref="K91:P92"/>
    <mergeCell ref="BE87:CE87"/>
    <mergeCell ref="BE86:CE86"/>
    <mergeCell ref="BE85:CE85"/>
    <mergeCell ref="AO75:BD75"/>
    <mergeCell ref="BE75:BG75"/>
    <mergeCell ref="AL75:AN75"/>
    <mergeCell ref="BE84:CE84"/>
    <mergeCell ref="L77:AA77"/>
    <mergeCell ref="AL73:AN73"/>
    <mergeCell ref="BX64:CE64"/>
    <mergeCell ref="CA65:CE67"/>
    <mergeCell ref="BH64:BW67"/>
    <mergeCell ref="BE64:BG67"/>
    <mergeCell ref="CA75:CE75"/>
    <mergeCell ref="BX76:BZ76"/>
    <mergeCell ref="BX75:BZ75"/>
    <mergeCell ref="BX65:BZ67"/>
    <mergeCell ref="BH69:CE69"/>
    <mergeCell ref="C69:K69"/>
    <mergeCell ref="AH69:AK69"/>
    <mergeCell ref="L65:AG65"/>
    <mergeCell ref="AB66:AG67"/>
    <mergeCell ref="L66:AA67"/>
    <mergeCell ref="BE69:BG69"/>
    <mergeCell ref="C76:K76"/>
    <mergeCell ref="AO76:BD76"/>
    <mergeCell ref="AO69:BD69"/>
    <mergeCell ref="C71:K71"/>
    <mergeCell ref="L70:AA70"/>
    <mergeCell ref="C73:K73"/>
    <mergeCell ref="AL76:AN76"/>
    <mergeCell ref="L75:AA75"/>
    <mergeCell ref="C70:K70"/>
    <mergeCell ref="AB69:AG69"/>
  </mergeCells>
  <conditionalFormatting sqref="AV5:CL5">
    <cfRule type="expression" dxfId="1" priority="700">
      <formula>$N$5=" - - - PILIH - - -"</formula>
    </cfRule>
  </conditionalFormatting>
  <conditionalFormatting sqref="C5:AS5">
    <cfRule type="expression" dxfId="0" priority="699">
      <formula>#REF!="XXX"</formula>
    </cfRule>
  </conditionalFormatting>
  <dataValidations count="14">
    <dataValidation type="list" allowBlank="1" showInputMessage="1" showErrorMessage="1" sqref="BJ41:CK41">
      <formula1>INDIRECT(CO37)</formula1>
    </dataValidation>
    <dataValidation type="list" allowBlank="1" showInputMessage="1" showErrorMessage="1" sqref="AO69:BD76">
      <formula1>INDIRECT(CO69)</formula1>
    </dataValidation>
    <dataValidation operator="lessThan" allowBlank="1" showInputMessage="1" showErrorMessage="1" errorTitle="WARNING" error="DON'T ENTRY_x000a_AUTOMATIC CELL !!!" sqref="AO77:CE77"/>
    <dataValidation type="list" allowBlank="1" showInputMessage="1" showErrorMessage="1" sqref="BE79">
      <formula1>LANTAI_MEZZANINE</formula1>
    </dataValidation>
    <dataValidation type="list" allowBlank="1" showInputMessage="1" showErrorMessage="1" sqref="BE80">
      <formula1>"' - - - PILIH - - -,1 - Lantai,2 - Lantai"</formula1>
    </dataValidation>
    <dataValidation type="whole" operator="lessThan" allowBlank="1" showInputMessage="1" showErrorMessage="1" sqref="AO79:BD80 AE93:AM94 AL82:AM92 AN82:BZ94 BS48:BW49 C50:J54 AM28:BG44 B5:M6 BH28:CM29 CL30:CM47 BH42:CK44 BH39:CK39 K39:W44 BI35:CK35 BY49:CL49 BE6:BF6 AT5:BF5 B28:J47 K28:W28 S31 K31 K46:W47 K34:W36 K37:L37 N37:W37 BH31:BH35 BI31:CK32 BH69:CE70 CF71:CL73 CA82:CL91 BL50:BR55 CA93:CL94 B95:CM95 C82:AK88 AO81:CL81 BS55:CL55 BE69:BG76 C79:AK79 C69:AN77 C61:CL68 BX79:CL80 CF75:CL76 CF78:CL78">
      <formula1>-5</formula1>
    </dataValidation>
    <dataValidation type="whole" errorStyle="warning" operator="lessThan" allowBlank="1" showInputMessage="1" showErrorMessage="1" sqref="C89:AK92 C93:J94">
      <formula1>-5</formula1>
    </dataValidation>
    <dataValidation type="list" allowBlank="1" showInputMessage="1" showErrorMessage="1" sqref="BJ37">
      <formula1>UMUR_EKONOMIS_BANGUNAN</formula1>
    </dataValidation>
    <dataValidation type="list" allowBlank="1" showInputMessage="1" showErrorMessage="1" sqref="R33">
      <formula1>TIPE_BANGUNAN_MAPPI</formula1>
    </dataValidation>
    <dataValidation type="textLength" operator="equal" allowBlank="1" showInputMessage="1" showErrorMessage="1" errorTitle="ENTRY TAHUN SALAH" error="MINIMAL 4 DIGIT" sqref="X43:AC43 X39:AC39 X37:AC37">
      <formula1>4</formula1>
    </dataValidation>
    <dataValidation type="list" allowBlank="1" showInputMessage="1" showErrorMessage="1" sqref="X35:AK35">
      <formula1>JUMLAH_LANTAI</formula1>
    </dataValidation>
    <dataValidation type="list" allowBlank="1" showInputMessage="1" showErrorMessage="1" sqref="N5:AS5">
      <formula1>NAMA_PROVINSI</formula1>
    </dataValidation>
    <dataValidation type="list" allowBlank="1" showInputMessage="1" showErrorMessage="1" sqref="X41">
      <formula1>"Tidak terinformasi,Renovasi Sebagian,Renovasi Total,' - - - PILIH - - -"</formula1>
    </dataValidation>
    <dataValidation type="list" allowBlank="1" showInputMessage="1" showErrorMessage="1" sqref="BG5:CL5">
      <formula1>INDIRECT($CO$5)</formula1>
    </dataValidation>
  </dataValidations>
  <hyperlinks>
    <hyperlink ref="CT72" r:id="rId1"/>
  </hyperlinks>
  <pageMargins left="0.7" right="0.7" top="0.75" bottom="0.75" header="0.3" footer="0.3"/>
  <pageSetup paperSize="9" orientation="portrait" r:id="rId2"/>
  <ignoredErrors>
    <ignoredError sqref="BJ45:BV45 CM69:CO69 CM70:CO70 CM71:CO71 CM72:CO72 CM73:CO73 CM74:CO74 CM75:CO75 CM76:CO76 BX51 BW45:CC45 BT50:BX50 BZ51:CE51 CG50:CL50 CG51:CL51 BL50:BR54 BS55:CL55 BH70:CE70 AO63 C93 BX52:CL52 BH69 AE84:AY87 CO31:CO40 CO5 CO62 CO44 CO42 CO41 CO43 CO45 BL57:BW57 BL59 BX53:CL54 BL55:BR55 BZ50:CE50" unlockedFormula="1"/>
  </ignoredErrors>
  <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DU93"/>
  <sheetViews>
    <sheetView showGridLines="0" zoomScaleNormal="100" workbookViewId="0">
      <selection activeCell="T14" sqref="T14:AH14"/>
    </sheetView>
  </sheetViews>
  <sheetFormatPr defaultColWidth="2.7109375" defaultRowHeight="15" customHeight="1"/>
  <cols>
    <col min="1" max="38" width="2.7109375" style="528" customWidth="1"/>
    <col min="39" max="48" width="2.7109375" style="529" customWidth="1"/>
    <col min="49" max="52" width="2.7109375" style="529" hidden="1" customWidth="1"/>
    <col min="53" max="53" width="132.7109375" style="529" hidden="1" customWidth="1"/>
    <col min="54" max="54" width="2.7109375" style="528" hidden="1" customWidth="1"/>
    <col min="55" max="55" width="19.5703125" style="528" hidden="1" customWidth="1"/>
    <col min="56" max="56" width="10.28515625" style="528" hidden="1" customWidth="1"/>
    <col min="57" max="57" width="4.85546875" style="531" hidden="1" customWidth="1"/>
    <col min="58" max="58" width="11" style="528" hidden="1" customWidth="1"/>
    <col min="59" max="59" width="2.140625" style="528" hidden="1" customWidth="1"/>
    <col min="60" max="60" width="2.7109375" style="528" hidden="1" customWidth="1"/>
    <col min="61" max="61" width="27.42578125" style="528" hidden="1" customWidth="1"/>
    <col min="62" max="62" width="10.28515625" style="528" hidden="1" customWidth="1"/>
    <col min="63" max="63" width="4.85546875" style="531" hidden="1" customWidth="1"/>
    <col min="64" max="64" width="11" style="528" hidden="1" customWidth="1"/>
    <col min="65" max="65" width="2.140625" style="528" hidden="1" customWidth="1"/>
    <col min="66" max="66" width="2.85546875" style="528" hidden="1" customWidth="1"/>
    <col min="67" max="67" width="30.7109375" style="528" hidden="1" customWidth="1"/>
    <col min="68" max="68" width="10.28515625" style="528" hidden="1" customWidth="1"/>
    <col min="69" max="69" width="4.85546875" style="528" hidden="1" customWidth="1"/>
    <col min="70" max="70" width="11" style="528" hidden="1" customWidth="1"/>
    <col min="71" max="72" width="2.7109375" style="528" hidden="1" customWidth="1"/>
    <col min="73" max="73" width="2.7109375" style="528" customWidth="1"/>
    <col min="74" max="74" width="2.7109375" style="532" customWidth="1"/>
    <col min="75" max="78" width="2.7109375" style="528" customWidth="1"/>
    <col min="79" max="16384" width="2.7109375" style="528"/>
  </cols>
  <sheetData>
    <row r="1" spans="1:125" ht="15" customHeight="1">
      <c r="B1" s="1866"/>
      <c r="C1" s="1867"/>
      <c r="D1" s="1867"/>
      <c r="E1" s="1867"/>
      <c r="F1" s="1867"/>
      <c r="G1" s="548"/>
      <c r="H1" s="548"/>
      <c r="I1" s="548"/>
      <c r="J1" s="548"/>
      <c r="K1" s="548"/>
      <c r="L1" s="548"/>
      <c r="M1" s="1866"/>
      <c r="N1" s="1867"/>
      <c r="O1" s="1867"/>
      <c r="P1" s="1867"/>
      <c r="Q1" s="1867"/>
      <c r="R1" s="1867"/>
      <c r="S1" s="548"/>
      <c r="T1" s="548"/>
      <c r="U1" s="548"/>
      <c r="V1" s="548"/>
      <c r="W1" s="548"/>
      <c r="X1" s="548"/>
      <c r="Y1" s="548"/>
      <c r="Z1" s="548"/>
      <c r="AA1" s="548"/>
      <c r="AB1" s="548"/>
      <c r="AC1" s="548"/>
      <c r="AD1" s="548"/>
      <c r="AE1" s="548"/>
      <c r="AF1" s="548"/>
      <c r="AG1" s="548"/>
      <c r="AH1" s="548"/>
      <c r="AI1" s="548"/>
      <c r="AJ1" s="548"/>
      <c r="AK1" s="548"/>
      <c r="AL1" s="548"/>
      <c r="AM1" s="548"/>
      <c r="AN1" s="548"/>
      <c r="AO1" s="548"/>
      <c r="AP1" s="548"/>
      <c r="AQ1" s="548"/>
      <c r="AR1" s="548"/>
      <c r="AS1" s="548"/>
      <c r="AT1" s="548"/>
      <c r="AU1" s="548"/>
      <c r="AV1" s="548"/>
      <c r="AW1" s="548"/>
      <c r="AX1" s="563"/>
      <c r="AY1" s="548"/>
      <c r="AZ1" s="548"/>
      <c r="BB1" s="551"/>
      <c r="BC1" s="551"/>
      <c r="BD1" s="551"/>
      <c r="BE1" s="551"/>
      <c r="BF1" s="551"/>
      <c r="BG1" s="551"/>
      <c r="BH1" s="551"/>
      <c r="BI1" s="551"/>
      <c r="BJ1" s="558"/>
      <c r="BK1" s="559"/>
      <c r="BL1" s="558"/>
      <c r="BM1" s="531"/>
      <c r="BU1" s="560"/>
      <c r="CD1" s="562"/>
      <c r="CE1" s="562"/>
      <c r="CF1" s="562"/>
      <c r="CG1" s="562"/>
    </row>
    <row r="2" spans="1:125" ht="15" customHeight="1" thickBot="1">
      <c r="B2" s="548"/>
      <c r="C2" s="548"/>
      <c r="D2" s="548"/>
      <c r="E2" s="548"/>
      <c r="F2" s="548"/>
      <c r="G2" s="548"/>
      <c r="H2" s="548"/>
      <c r="I2" s="548"/>
      <c r="J2" s="548"/>
      <c r="K2" s="548"/>
      <c r="L2" s="548"/>
      <c r="M2" s="548"/>
      <c r="N2" s="548"/>
      <c r="O2" s="548"/>
      <c r="P2" s="548"/>
      <c r="Q2" s="548"/>
      <c r="R2" s="548"/>
      <c r="S2" s="548"/>
      <c r="T2" s="548"/>
      <c r="U2" s="548"/>
      <c r="V2" s="548"/>
      <c r="W2" s="548"/>
      <c r="X2" s="548"/>
      <c r="Y2" s="548"/>
      <c r="Z2" s="548"/>
      <c r="AA2" s="548"/>
      <c r="AB2" s="548"/>
      <c r="AC2" s="548"/>
      <c r="AD2" s="548"/>
      <c r="AE2" s="548"/>
      <c r="AF2" s="548"/>
      <c r="AG2" s="548"/>
      <c r="AH2" s="308"/>
      <c r="AI2" s="308"/>
      <c r="AJ2" s="308"/>
      <c r="AK2" s="308"/>
      <c r="AL2" s="308"/>
      <c r="AM2" s="308"/>
      <c r="AN2" s="308"/>
      <c r="AO2" s="308"/>
      <c r="AP2" s="308"/>
      <c r="AQ2" s="308"/>
      <c r="AR2" s="308"/>
      <c r="AS2" s="308"/>
      <c r="AT2" s="308"/>
      <c r="AU2" s="308"/>
      <c r="AV2" s="548"/>
      <c r="AW2" s="548"/>
      <c r="AX2" s="563"/>
      <c r="AY2" s="548"/>
      <c r="AZ2" s="548"/>
      <c r="BB2" s="551"/>
      <c r="BC2" s="551"/>
      <c r="BD2" s="551"/>
      <c r="BE2" s="551"/>
      <c r="BF2" s="551"/>
      <c r="BG2" s="551"/>
      <c r="BH2" s="551"/>
      <c r="BI2" s="551"/>
      <c r="BJ2" s="558"/>
      <c r="BK2" s="559"/>
      <c r="BL2" s="558"/>
      <c r="BV2" s="564"/>
      <c r="BW2" s="560"/>
      <c r="BX2" s="560"/>
      <c r="BY2" s="560"/>
      <c r="BZ2" s="560"/>
      <c r="CA2" s="560"/>
      <c r="CB2" s="560"/>
      <c r="CC2" s="560"/>
      <c r="CD2" s="562"/>
      <c r="CE2" s="562"/>
      <c r="CF2" s="562"/>
      <c r="CG2" s="562"/>
    </row>
    <row r="3" spans="1:125" ht="15" customHeight="1">
      <c r="B3" s="1868" t="s">
        <v>1990</v>
      </c>
      <c r="C3" s="1869"/>
      <c r="D3" s="1869"/>
      <c r="E3" s="1869"/>
      <c r="F3" s="1869"/>
      <c r="G3" s="1869"/>
      <c r="H3" s="1869"/>
      <c r="I3" s="1869"/>
      <c r="J3" s="1869"/>
      <c r="K3" s="1869"/>
      <c r="L3" s="1869"/>
      <c r="M3" s="1869"/>
      <c r="N3" s="1869"/>
      <c r="O3" s="1869"/>
      <c r="P3" s="1869"/>
      <c r="Q3" s="1869"/>
      <c r="R3" s="1869"/>
      <c r="S3" s="1869"/>
      <c r="T3" s="1869"/>
      <c r="U3" s="1869"/>
      <c r="V3" s="1869"/>
      <c r="W3" s="1869"/>
      <c r="X3" s="1869"/>
      <c r="Y3" s="1869"/>
      <c r="Z3" s="1869"/>
      <c r="AA3" s="1869"/>
      <c r="AB3" s="1869"/>
      <c r="AC3" s="1869"/>
      <c r="AD3" s="1869"/>
      <c r="AE3" s="1869"/>
      <c r="AF3" s="1869"/>
      <c r="AG3" s="1869"/>
      <c r="AH3" s="1869"/>
      <c r="AI3" s="1869"/>
      <c r="AJ3" s="1869"/>
      <c r="AK3" s="1869"/>
      <c r="AL3" s="1869"/>
      <c r="AM3" s="1869"/>
      <c r="AN3" s="1869"/>
      <c r="AO3" s="1869"/>
      <c r="AP3" s="1869"/>
      <c r="AQ3" s="1869"/>
      <c r="AR3" s="1869"/>
      <c r="AS3" s="1869"/>
      <c r="AT3" s="565"/>
      <c r="AU3" s="1872">
        <f>'Surat-02'!AP17</f>
        <v>0.4</v>
      </c>
      <c r="AV3" s="1873"/>
      <c r="AW3" s="566"/>
      <c r="AX3" s="530"/>
      <c r="BB3" s="551"/>
      <c r="BC3" s="551"/>
      <c r="BD3" s="551"/>
      <c r="BE3" s="551"/>
      <c r="BF3" s="551"/>
      <c r="BG3" s="551"/>
      <c r="BH3" s="551"/>
      <c r="BI3" s="551"/>
      <c r="BJ3" s="558"/>
      <c r="BK3" s="559"/>
      <c r="BL3" s="558"/>
      <c r="CD3" s="562"/>
      <c r="CE3" s="562"/>
      <c r="CF3" s="562"/>
      <c r="CG3" s="562"/>
    </row>
    <row r="4" spans="1:125" ht="15" customHeight="1" thickBot="1">
      <c r="B4" s="1870"/>
      <c r="C4" s="1871"/>
      <c r="D4" s="1871"/>
      <c r="E4" s="1871"/>
      <c r="F4" s="1871"/>
      <c r="G4" s="1871"/>
      <c r="H4" s="1871"/>
      <c r="I4" s="1871"/>
      <c r="J4" s="1871"/>
      <c r="K4" s="1871"/>
      <c r="L4" s="1871"/>
      <c r="M4" s="1871"/>
      <c r="N4" s="1871"/>
      <c r="O4" s="1871"/>
      <c r="P4" s="1871"/>
      <c r="Q4" s="1871"/>
      <c r="R4" s="1871"/>
      <c r="S4" s="1871"/>
      <c r="T4" s="1871"/>
      <c r="U4" s="1871"/>
      <c r="V4" s="1871"/>
      <c r="W4" s="1871"/>
      <c r="X4" s="1871"/>
      <c r="Y4" s="1871"/>
      <c r="Z4" s="1871"/>
      <c r="AA4" s="1871"/>
      <c r="AB4" s="1871"/>
      <c r="AC4" s="1871"/>
      <c r="AD4" s="1871"/>
      <c r="AE4" s="1871"/>
      <c r="AF4" s="1871"/>
      <c r="AG4" s="1871"/>
      <c r="AH4" s="1871"/>
      <c r="AI4" s="1871"/>
      <c r="AJ4" s="1871"/>
      <c r="AK4" s="1871"/>
      <c r="AL4" s="1871"/>
      <c r="AM4" s="1871"/>
      <c r="AN4" s="1871"/>
      <c r="AO4" s="1871"/>
      <c r="AP4" s="1871"/>
      <c r="AQ4" s="1871"/>
      <c r="AR4" s="1871"/>
      <c r="AS4" s="1871"/>
      <c r="AT4" s="567"/>
      <c r="AU4" s="1874"/>
      <c r="AV4" s="1875"/>
      <c r="AX4" s="530"/>
      <c r="AZ4" s="551"/>
      <c r="BB4" s="551"/>
      <c r="BC4" s="551"/>
      <c r="BD4" s="551"/>
      <c r="BE4" s="551"/>
      <c r="BF4" s="551"/>
      <c r="BG4" s="551"/>
      <c r="BH4" s="551"/>
      <c r="BI4" s="551"/>
      <c r="BJ4" s="558"/>
      <c r="BK4" s="559"/>
      <c r="BL4" s="558"/>
      <c r="BS4" s="531"/>
      <c r="BT4" s="531"/>
      <c r="CD4" s="562"/>
      <c r="CE4" s="562"/>
      <c r="CF4" s="562"/>
      <c r="CG4" s="562"/>
    </row>
    <row r="5" spans="1:125" ht="19.5" customHeight="1">
      <c r="B5" s="1860" t="s">
        <v>1991</v>
      </c>
      <c r="C5" s="1861"/>
      <c r="D5" s="1861"/>
      <c r="E5" s="1861"/>
      <c r="F5" s="1861"/>
      <c r="G5" s="1861"/>
      <c r="H5" s="1861"/>
      <c r="I5" s="1861"/>
      <c r="J5" s="1861"/>
      <c r="K5" s="1861"/>
      <c r="L5" s="1861"/>
      <c r="M5" s="1862"/>
      <c r="N5" s="1860" t="s">
        <v>1992</v>
      </c>
      <c r="O5" s="1861"/>
      <c r="P5" s="1861"/>
      <c r="Q5" s="1861"/>
      <c r="R5" s="1861"/>
      <c r="S5" s="1861"/>
      <c r="T5" s="1861"/>
      <c r="U5" s="1861"/>
      <c r="V5" s="1861"/>
      <c r="W5" s="1861"/>
      <c r="X5" s="1861"/>
      <c r="Y5" s="1861"/>
      <c r="Z5" s="1861"/>
      <c r="AA5" s="1862"/>
      <c r="AB5" s="1860" t="s">
        <v>1993</v>
      </c>
      <c r="AC5" s="1861"/>
      <c r="AD5" s="1862"/>
      <c r="AE5" s="1860" t="s">
        <v>1994</v>
      </c>
      <c r="AF5" s="1861"/>
      <c r="AG5" s="1861"/>
      <c r="AH5" s="1862"/>
      <c r="AI5" s="1860" t="s">
        <v>1995</v>
      </c>
      <c r="AJ5" s="1861"/>
      <c r="AK5" s="1861"/>
      <c r="AL5" s="1862"/>
      <c r="AM5" s="1860" t="s">
        <v>1996</v>
      </c>
      <c r="AN5" s="1862"/>
      <c r="AO5" s="1860" t="s">
        <v>1997</v>
      </c>
      <c r="AP5" s="1861"/>
      <c r="AQ5" s="1861"/>
      <c r="AR5" s="1862"/>
      <c r="AS5" s="1860" t="s">
        <v>1998</v>
      </c>
      <c r="AT5" s="1861"/>
      <c r="AU5" s="1861"/>
      <c r="AV5" s="1862"/>
      <c r="AX5" s="530"/>
      <c r="BB5" s="551"/>
      <c r="BC5" s="551"/>
      <c r="BD5" s="551"/>
      <c r="BE5" s="551"/>
      <c r="BF5" s="551"/>
      <c r="BG5" s="551"/>
      <c r="BH5" s="551"/>
      <c r="BI5" s="551"/>
      <c r="BJ5" s="558"/>
      <c r="BK5" s="559"/>
      <c r="BL5" s="558"/>
      <c r="CD5" s="562"/>
      <c r="CE5" s="562"/>
      <c r="CF5" s="562"/>
      <c r="CG5" s="562"/>
    </row>
    <row r="6" spans="1:125" ht="19.5" customHeight="1">
      <c r="B6" s="1863"/>
      <c r="C6" s="1864"/>
      <c r="D6" s="1864"/>
      <c r="E6" s="1864"/>
      <c r="F6" s="1864"/>
      <c r="G6" s="1864"/>
      <c r="H6" s="1864"/>
      <c r="I6" s="1864"/>
      <c r="J6" s="1864"/>
      <c r="K6" s="1864"/>
      <c r="L6" s="1864"/>
      <c r="M6" s="1865"/>
      <c r="N6" s="1863"/>
      <c r="O6" s="1864"/>
      <c r="P6" s="1864"/>
      <c r="Q6" s="1864"/>
      <c r="R6" s="1864"/>
      <c r="S6" s="1864"/>
      <c r="T6" s="1864"/>
      <c r="U6" s="1864"/>
      <c r="V6" s="1864"/>
      <c r="W6" s="1864"/>
      <c r="X6" s="1864"/>
      <c r="Y6" s="1864"/>
      <c r="Z6" s="1864"/>
      <c r="AA6" s="1865"/>
      <c r="AB6" s="1863"/>
      <c r="AC6" s="1864"/>
      <c r="AD6" s="1865"/>
      <c r="AE6" s="1863"/>
      <c r="AF6" s="1864"/>
      <c r="AG6" s="1864"/>
      <c r="AH6" s="1865"/>
      <c r="AI6" s="1863"/>
      <c r="AJ6" s="1864"/>
      <c r="AK6" s="1864"/>
      <c r="AL6" s="1865"/>
      <c r="AM6" s="1863"/>
      <c r="AN6" s="1865"/>
      <c r="AO6" s="1863"/>
      <c r="AP6" s="1864"/>
      <c r="AQ6" s="1864"/>
      <c r="AR6" s="1865"/>
      <c r="AS6" s="1863"/>
      <c r="AT6" s="1864"/>
      <c r="AU6" s="1864"/>
      <c r="AV6" s="1865"/>
      <c r="AW6" s="555"/>
      <c r="AX6" s="530"/>
      <c r="BB6" s="551"/>
      <c r="BC6" s="551"/>
      <c r="BD6" s="551"/>
      <c r="BE6" s="551"/>
      <c r="BF6" s="551"/>
      <c r="BG6" s="551"/>
      <c r="BH6" s="551"/>
      <c r="BI6" s="551"/>
      <c r="BJ6" s="558"/>
      <c r="BK6" s="559"/>
      <c r="BL6" s="558"/>
      <c r="CD6" s="568"/>
      <c r="CE6" s="568"/>
      <c r="CF6" s="568"/>
      <c r="CG6" s="568"/>
    </row>
    <row r="7" spans="1:125" ht="15" customHeight="1">
      <c r="B7" s="556" t="s">
        <v>1983</v>
      </c>
      <c r="C7" s="1804" t="s">
        <v>1999</v>
      </c>
      <c r="D7" s="1804"/>
      <c r="E7" s="1804"/>
      <c r="F7" s="1804"/>
      <c r="G7" s="1804"/>
      <c r="H7" s="1804"/>
      <c r="I7" s="1804"/>
      <c r="J7" s="1804"/>
      <c r="K7" s="1804"/>
      <c r="L7" s="1804"/>
      <c r="M7" s="1805"/>
      <c r="N7" s="1855" t="str">
        <f>'B1'!K46</f>
        <v>Tidak ada</v>
      </c>
      <c r="O7" s="1856"/>
      <c r="P7" s="1856"/>
      <c r="Q7" s="1856"/>
      <c r="R7" s="1856"/>
      <c r="S7" s="1856"/>
      <c r="T7" s="1856"/>
      <c r="U7" s="1856"/>
      <c r="V7" s="1856"/>
      <c r="W7" s="1856"/>
      <c r="X7" s="1856"/>
      <c r="Y7" s="1856"/>
      <c r="Z7" s="1856"/>
      <c r="AA7" s="1857"/>
      <c r="AB7" s="1852">
        <f>IF(N7="Tidak ada",0,IF(N7="-",0,N7))</f>
        <v>0</v>
      </c>
      <c r="AC7" s="1853"/>
      <c r="AD7" s="1854"/>
      <c r="AE7" s="1811">
        <v>1000000</v>
      </c>
      <c r="AF7" s="1812"/>
      <c r="AG7" s="1812"/>
      <c r="AH7" s="1813"/>
      <c r="AI7" s="1789">
        <f t="shared" ref="AI7:AI14" si="0">AE7*AB7</f>
        <v>0</v>
      </c>
      <c r="AJ7" s="1790"/>
      <c r="AK7" s="1790"/>
      <c r="AL7" s="1791"/>
      <c r="AM7" s="1814">
        <v>1</v>
      </c>
      <c r="AN7" s="1815"/>
      <c r="AO7" s="1789">
        <f t="shared" ref="AO7:AO19" si="1">AI7*(1-AM7)</f>
        <v>0</v>
      </c>
      <c r="AP7" s="1790"/>
      <c r="AQ7" s="1790"/>
      <c r="AR7" s="1791"/>
      <c r="AS7" s="1789">
        <f t="shared" ref="AS7:AS19" si="2">AO7*(1-$AU$3)</f>
        <v>0</v>
      </c>
      <c r="AT7" s="1790"/>
      <c r="AU7" s="1790"/>
      <c r="AV7" s="1791"/>
      <c r="AW7" s="555"/>
      <c r="AX7" s="530"/>
      <c r="BB7" s="551"/>
      <c r="BC7" s="551"/>
      <c r="BD7" s="551"/>
      <c r="BE7" s="551"/>
      <c r="BF7" s="551"/>
      <c r="BG7" s="551"/>
      <c r="BH7" s="551"/>
      <c r="BI7" s="551"/>
      <c r="BJ7" s="558"/>
      <c r="BK7" s="559"/>
      <c r="BL7" s="558"/>
      <c r="BM7" s="561"/>
    </row>
    <row r="8" spans="1:125" s="534" customFormat="1" ht="15" customHeight="1">
      <c r="A8" s="528"/>
      <c r="B8" s="556" t="s">
        <v>1983</v>
      </c>
      <c r="C8" s="1804" t="s">
        <v>2000</v>
      </c>
      <c r="D8" s="1804"/>
      <c r="E8" s="1804"/>
      <c r="F8" s="1804"/>
      <c r="G8" s="1804"/>
      <c r="H8" s="1804"/>
      <c r="I8" s="1804"/>
      <c r="J8" s="1804"/>
      <c r="K8" s="1804"/>
      <c r="L8" s="1804"/>
      <c r="M8" s="1805"/>
      <c r="N8" s="1840" t="str">
        <f>'B1'!K45</f>
        <v>Tidak ada</v>
      </c>
      <c r="O8" s="1841"/>
      <c r="P8" s="1841"/>
      <c r="Q8" s="1858" t="str">
        <f>'B1'!N45</f>
        <v>- - - - - - - - - -</v>
      </c>
      <c r="R8" s="1858"/>
      <c r="S8" s="1858"/>
      <c r="T8" s="1858"/>
      <c r="U8" s="1858"/>
      <c r="V8" s="1858"/>
      <c r="W8" s="1858"/>
      <c r="X8" s="1858"/>
      <c r="Y8" s="1858"/>
      <c r="Z8" s="1858"/>
      <c r="AA8" s="1859"/>
      <c r="AB8" s="1852">
        <f>IF(N8="Tidak ada",0,IF(N8="-",0,N8))</f>
        <v>0</v>
      </c>
      <c r="AC8" s="1853"/>
      <c r="AD8" s="1854"/>
      <c r="AE8" s="1811">
        <v>4000000</v>
      </c>
      <c r="AF8" s="1812"/>
      <c r="AG8" s="1812"/>
      <c r="AH8" s="1813"/>
      <c r="AI8" s="1789">
        <f t="shared" si="0"/>
        <v>0</v>
      </c>
      <c r="AJ8" s="1790"/>
      <c r="AK8" s="1790"/>
      <c r="AL8" s="1791"/>
      <c r="AM8" s="1814">
        <v>0.4</v>
      </c>
      <c r="AN8" s="1815"/>
      <c r="AO8" s="1789">
        <f t="shared" si="1"/>
        <v>0</v>
      </c>
      <c r="AP8" s="1790"/>
      <c r="AQ8" s="1790"/>
      <c r="AR8" s="1791"/>
      <c r="AS8" s="1789">
        <f t="shared" si="2"/>
        <v>0</v>
      </c>
      <c r="AT8" s="1790"/>
      <c r="AU8" s="1790"/>
      <c r="AV8" s="1791"/>
      <c r="AW8" s="555"/>
      <c r="AX8" s="530"/>
      <c r="AY8" s="529"/>
      <c r="AZ8" s="529"/>
      <c r="BA8" s="546"/>
      <c r="BB8" s="551"/>
      <c r="BC8" s="551"/>
      <c r="BD8" s="551"/>
      <c r="BE8" s="551"/>
      <c r="BF8" s="551"/>
      <c r="BG8" s="551"/>
      <c r="BH8" s="551"/>
      <c r="BI8" s="551"/>
      <c r="BJ8" s="558"/>
      <c r="BK8" s="559"/>
      <c r="BL8" s="558"/>
      <c r="BM8" s="528"/>
      <c r="BN8" s="528"/>
      <c r="BO8" s="528"/>
      <c r="BP8" s="528"/>
      <c r="BQ8" s="528"/>
      <c r="BR8" s="528"/>
      <c r="BS8" s="528"/>
      <c r="BT8" s="528"/>
      <c r="BU8" s="531"/>
      <c r="BV8" s="532"/>
      <c r="BW8" s="528"/>
      <c r="BX8" s="528"/>
      <c r="BY8" s="528"/>
      <c r="BZ8" s="528"/>
      <c r="CA8" s="528"/>
      <c r="CB8" s="528"/>
      <c r="CC8" s="528"/>
      <c r="CD8" s="528"/>
      <c r="CE8" s="528"/>
      <c r="CF8" s="528"/>
      <c r="CG8" s="528"/>
      <c r="CI8" s="528"/>
      <c r="CJ8" s="528"/>
      <c r="CK8" s="528"/>
      <c r="CL8" s="528"/>
      <c r="CM8" s="528"/>
      <c r="CN8" s="528"/>
      <c r="CO8" s="528"/>
      <c r="CP8" s="528"/>
      <c r="CQ8" s="528"/>
      <c r="CR8" s="528"/>
      <c r="CS8" s="528"/>
      <c r="CT8" s="528"/>
      <c r="CU8" s="528"/>
      <c r="CV8" s="528"/>
      <c r="CW8" s="528"/>
      <c r="CX8" s="528"/>
      <c r="CY8" s="528"/>
      <c r="CZ8" s="528"/>
      <c r="DA8" s="528"/>
      <c r="DB8" s="528"/>
      <c r="DC8" s="528"/>
      <c r="DD8" s="528"/>
      <c r="DE8" s="528"/>
      <c r="DF8" s="528"/>
      <c r="DG8" s="528"/>
      <c r="DH8" s="528"/>
      <c r="DI8" s="528"/>
      <c r="DJ8" s="528"/>
      <c r="DK8" s="528"/>
      <c r="DL8" s="528"/>
      <c r="DM8" s="528"/>
      <c r="DN8" s="528"/>
      <c r="DO8" s="528"/>
      <c r="DP8" s="528"/>
      <c r="DQ8" s="528"/>
      <c r="DR8" s="528"/>
      <c r="DS8" s="528"/>
      <c r="DT8" s="528"/>
      <c r="DU8" s="528"/>
    </row>
    <row r="9" spans="1:125" ht="15" customHeight="1">
      <c r="B9" s="556" t="s">
        <v>1983</v>
      </c>
      <c r="C9" s="1804" t="s">
        <v>2001</v>
      </c>
      <c r="D9" s="1804"/>
      <c r="E9" s="1804"/>
      <c r="F9" s="1804"/>
      <c r="G9" s="1804"/>
      <c r="H9" s="1804"/>
      <c r="I9" s="1804"/>
      <c r="J9" s="1804"/>
      <c r="K9" s="1804"/>
      <c r="L9" s="1804"/>
      <c r="M9" s="1805"/>
      <c r="N9" s="569"/>
      <c r="O9" s="570"/>
      <c r="P9" s="570"/>
      <c r="Q9" s="570"/>
      <c r="R9" s="570"/>
      <c r="S9" s="570"/>
      <c r="T9" s="570"/>
      <c r="U9" s="570"/>
      <c r="V9" s="570"/>
      <c r="W9" s="570"/>
      <c r="X9" s="570"/>
      <c r="Y9" s="570"/>
      <c r="Z9" s="570"/>
      <c r="AA9" s="571"/>
      <c r="AB9" s="1843">
        <v>0</v>
      </c>
      <c r="AC9" s="1844"/>
      <c r="AD9" s="1845"/>
      <c r="AE9" s="1811">
        <v>50000000</v>
      </c>
      <c r="AF9" s="1812"/>
      <c r="AG9" s="1812"/>
      <c r="AH9" s="1813"/>
      <c r="AI9" s="1789">
        <f>AE9*AB9</f>
        <v>0</v>
      </c>
      <c r="AJ9" s="1790"/>
      <c r="AK9" s="1790"/>
      <c r="AL9" s="1791"/>
      <c r="AM9" s="1814">
        <v>0.4</v>
      </c>
      <c r="AN9" s="1815"/>
      <c r="AO9" s="1789">
        <f>AI9*(1-AM9)</f>
        <v>0</v>
      </c>
      <c r="AP9" s="1790"/>
      <c r="AQ9" s="1790"/>
      <c r="AR9" s="1791"/>
      <c r="AS9" s="1789">
        <f t="shared" si="2"/>
        <v>0</v>
      </c>
      <c r="AT9" s="1790"/>
      <c r="AU9" s="1790"/>
      <c r="AV9" s="1791"/>
      <c r="AW9" s="555"/>
      <c r="AX9" s="530"/>
      <c r="BB9" s="551"/>
      <c r="BC9" s="551"/>
      <c r="BD9" s="551"/>
      <c r="BE9" s="551"/>
      <c r="BF9" s="551"/>
      <c r="BG9" s="551"/>
      <c r="BH9" s="551"/>
      <c r="BI9" s="551"/>
      <c r="BJ9" s="558"/>
      <c r="BK9" s="559"/>
      <c r="BL9" s="558"/>
    </row>
    <row r="10" spans="1:125" ht="15" customHeight="1">
      <c r="B10" s="556" t="s">
        <v>1983</v>
      </c>
      <c r="C10" s="1804" t="s">
        <v>2481</v>
      </c>
      <c r="D10" s="1804"/>
      <c r="E10" s="1804"/>
      <c r="F10" s="1804"/>
      <c r="G10" s="1804"/>
      <c r="H10" s="1804"/>
      <c r="I10" s="1804"/>
      <c r="J10" s="1804"/>
      <c r="K10" s="1804"/>
      <c r="L10" s="1804"/>
      <c r="M10" s="1805"/>
      <c r="N10" s="572" t="str">
        <f>'B1'!AE44</f>
        <v>Tidak ada</v>
      </c>
      <c r="O10" s="573"/>
      <c r="P10" s="573" t="s">
        <v>2002</v>
      </c>
      <c r="Q10" s="573"/>
      <c r="R10" s="1850">
        <v>0</v>
      </c>
      <c r="S10" s="1850"/>
      <c r="T10" s="1850"/>
      <c r="U10" s="1850"/>
      <c r="V10" s="1850"/>
      <c r="W10" s="1850"/>
      <c r="X10" s="1850"/>
      <c r="Y10" s="1850"/>
      <c r="Z10" s="1850"/>
      <c r="AA10" s="1851"/>
      <c r="AB10" s="1808">
        <f>R10</f>
        <v>0</v>
      </c>
      <c r="AC10" s="1809"/>
      <c r="AD10" s="1810"/>
      <c r="AE10" s="1811">
        <v>475000</v>
      </c>
      <c r="AF10" s="1812"/>
      <c r="AG10" s="1812"/>
      <c r="AH10" s="1813"/>
      <c r="AI10" s="1789">
        <f t="shared" si="0"/>
        <v>0</v>
      </c>
      <c r="AJ10" s="1790"/>
      <c r="AK10" s="1790"/>
      <c r="AL10" s="1791"/>
      <c r="AM10" s="1814">
        <v>0.15</v>
      </c>
      <c r="AN10" s="1815"/>
      <c r="AO10" s="1789">
        <f t="shared" si="1"/>
        <v>0</v>
      </c>
      <c r="AP10" s="1790"/>
      <c r="AQ10" s="1790"/>
      <c r="AR10" s="1791"/>
      <c r="AS10" s="1789">
        <f t="shared" si="2"/>
        <v>0</v>
      </c>
      <c r="AT10" s="1790"/>
      <c r="AU10" s="1790"/>
      <c r="AV10" s="1791"/>
      <c r="AW10" s="555"/>
      <c r="AX10" s="530"/>
      <c r="BB10" s="551"/>
      <c r="BC10" s="551"/>
      <c r="BD10" s="551"/>
      <c r="BE10" s="551"/>
      <c r="BF10" s="551"/>
      <c r="BG10" s="551"/>
      <c r="BH10" s="551"/>
      <c r="BI10" s="551"/>
      <c r="BJ10" s="558"/>
      <c r="BK10" s="559"/>
      <c r="BL10" s="558"/>
      <c r="CD10" s="560"/>
      <c r="CE10" s="560"/>
      <c r="CF10" s="560"/>
      <c r="CG10" s="560"/>
      <c r="CH10" s="531"/>
    </row>
    <row r="11" spans="1:125" ht="15" customHeight="1">
      <c r="B11" s="556" t="s">
        <v>1983</v>
      </c>
      <c r="C11" s="1804" t="s">
        <v>2003</v>
      </c>
      <c r="D11" s="1804"/>
      <c r="E11" s="1804"/>
      <c r="F11" s="1804"/>
      <c r="G11" s="1804"/>
      <c r="H11" s="1804"/>
      <c r="I11" s="1804"/>
      <c r="J11" s="1804"/>
      <c r="K11" s="1804"/>
      <c r="L11" s="1804"/>
      <c r="M11" s="1805"/>
      <c r="N11" s="572"/>
      <c r="O11" s="573"/>
      <c r="P11" s="573" t="s">
        <v>2002</v>
      </c>
      <c r="Q11" s="573"/>
      <c r="R11" s="1850">
        <v>0</v>
      </c>
      <c r="S11" s="1850"/>
      <c r="T11" s="1850"/>
      <c r="U11" s="1850"/>
      <c r="V11" s="1850"/>
      <c r="W11" s="1850"/>
      <c r="X11" s="1850"/>
      <c r="Y11" s="1850"/>
      <c r="Z11" s="1850"/>
      <c r="AA11" s="1851"/>
      <c r="AB11" s="1808">
        <f>R11</f>
        <v>0</v>
      </c>
      <c r="AC11" s="1809"/>
      <c r="AD11" s="1810"/>
      <c r="AE11" s="1811">
        <v>2000000</v>
      </c>
      <c r="AF11" s="1812"/>
      <c r="AG11" s="1812"/>
      <c r="AH11" s="1813"/>
      <c r="AI11" s="1789">
        <f>AE11*AB11</f>
        <v>0</v>
      </c>
      <c r="AJ11" s="1790"/>
      <c r="AK11" s="1790"/>
      <c r="AL11" s="1791"/>
      <c r="AM11" s="1814">
        <v>0.3</v>
      </c>
      <c r="AN11" s="1815"/>
      <c r="AO11" s="1789">
        <f>AI11*(1-AM11)</f>
        <v>0</v>
      </c>
      <c r="AP11" s="1790"/>
      <c r="AQ11" s="1790"/>
      <c r="AR11" s="1791"/>
      <c r="AS11" s="1789">
        <f t="shared" si="2"/>
        <v>0</v>
      </c>
      <c r="AT11" s="1790"/>
      <c r="AU11" s="1790"/>
      <c r="AV11" s="1791"/>
      <c r="AW11" s="555"/>
      <c r="AX11" s="530"/>
      <c r="BB11" s="551"/>
      <c r="BC11" s="551"/>
      <c r="BD11" s="551"/>
      <c r="BE11" s="551"/>
      <c r="BF11" s="551"/>
      <c r="BG11" s="551"/>
      <c r="BH11" s="551"/>
      <c r="BI11" s="551"/>
      <c r="BK11" s="559"/>
      <c r="BL11" s="558"/>
      <c r="CD11" s="560"/>
      <c r="CE11" s="560"/>
      <c r="CF11" s="560"/>
      <c r="CG11" s="560"/>
      <c r="CH11" s="531"/>
    </row>
    <row r="12" spans="1:125" ht="15" customHeight="1">
      <c r="B12" s="556" t="s">
        <v>1983</v>
      </c>
      <c r="C12" s="1804" t="s">
        <v>2466</v>
      </c>
      <c r="D12" s="1804"/>
      <c r="E12" s="1804"/>
      <c r="F12" s="1804"/>
      <c r="G12" s="1804"/>
      <c r="H12" s="1804"/>
      <c r="I12" s="1804"/>
      <c r="J12" s="1804"/>
      <c r="K12" s="1804"/>
      <c r="L12" s="1804"/>
      <c r="M12" s="1805"/>
      <c r="N12" s="574" t="str">
        <f>'B1'!AH39</f>
        <v>Tanpa pagar</v>
      </c>
      <c r="O12" s="575"/>
      <c r="P12" s="575"/>
      <c r="Q12" s="575"/>
      <c r="R12" s="575"/>
      <c r="S12" s="575"/>
      <c r="T12" s="1846">
        <v>0</v>
      </c>
      <c r="U12" s="1846"/>
      <c r="V12" s="1846"/>
      <c r="W12" s="1846"/>
      <c r="X12" s="1847">
        <v>0</v>
      </c>
      <c r="Y12" s="1847"/>
      <c r="Z12" s="1847"/>
      <c r="AA12" s="1848"/>
      <c r="AB12" s="1808">
        <f>T12</f>
        <v>0</v>
      </c>
      <c r="AC12" s="1809"/>
      <c r="AD12" s="1810"/>
      <c r="AE12" s="1811">
        <v>750000</v>
      </c>
      <c r="AF12" s="1812"/>
      <c r="AG12" s="1812"/>
      <c r="AH12" s="1813"/>
      <c r="AI12" s="1789">
        <f t="shared" si="0"/>
        <v>0</v>
      </c>
      <c r="AJ12" s="1790"/>
      <c r="AK12" s="1790"/>
      <c r="AL12" s="1791"/>
      <c r="AM12" s="1814">
        <v>0.15</v>
      </c>
      <c r="AN12" s="1815"/>
      <c r="AO12" s="1789">
        <f t="shared" si="1"/>
        <v>0</v>
      </c>
      <c r="AP12" s="1790"/>
      <c r="AQ12" s="1790"/>
      <c r="AR12" s="1791"/>
      <c r="AS12" s="1789">
        <f t="shared" si="2"/>
        <v>0</v>
      </c>
      <c r="AT12" s="1790"/>
      <c r="AU12" s="1790"/>
      <c r="AV12" s="1791"/>
      <c r="AW12" s="535"/>
      <c r="AX12" s="576"/>
      <c r="AY12" s="534"/>
      <c r="BB12" s="551"/>
      <c r="BC12" s="551"/>
      <c r="BD12" s="551"/>
      <c r="BE12" s="551"/>
      <c r="BF12" s="551"/>
      <c r="BG12" s="551"/>
      <c r="BH12" s="551"/>
      <c r="BI12" s="551"/>
      <c r="BJ12" s="558"/>
      <c r="BK12" s="559"/>
      <c r="BL12" s="558"/>
      <c r="BW12" s="1849"/>
      <c r="BX12" s="1849"/>
      <c r="BY12" s="1849"/>
      <c r="BZ12" s="1849"/>
      <c r="CA12" s="1849"/>
      <c r="CB12" s="1849"/>
      <c r="CD12" s="560"/>
      <c r="CE12" s="560"/>
      <c r="CF12" s="560"/>
      <c r="CG12" s="560"/>
      <c r="CH12" s="531"/>
    </row>
    <row r="13" spans="1:125" ht="15" customHeight="1">
      <c r="B13" s="556" t="s">
        <v>1983</v>
      </c>
      <c r="C13" s="1804" t="s">
        <v>2004</v>
      </c>
      <c r="D13" s="1804"/>
      <c r="E13" s="1804"/>
      <c r="F13" s="1804"/>
      <c r="G13" s="1804"/>
      <c r="H13" s="1804"/>
      <c r="I13" s="1804"/>
      <c r="J13" s="1804"/>
      <c r="K13" s="1804"/>
      <c r="L13" s="1804"/>
      <c r="M13" s="1805"/>
      <c r="N13" s="1824" t="str">
        <f>'B1'!M30</f>
        <v>Cukup tertata</v>
      </c>
      <c r="O13" s="1825"/>
      <c r="P13" s="1825"/>
      <c r="Q13" s="1825"/>
      <c r="R13" s="1825"/>
      <c r="S13" s="573" t="s">
        <v>2002</v>
      </c>
      <c r="T13" s="573"/>
      <c r="U13" s="1850">
        <v>0</v>
      </c>
      <c r="V13" s="1850"/>
      <c r="W13" s="1850"/>
      <c r="X13" s="1850"/>
      <c r="Y13" s="1850"/>
      <c r="Z13" s="1850"/>
      <c r="AA13" s="1851"/>
      <c r="AB13" s="1808">
        <f>U13</f>
        <v>0</v>
      </c>
      <c r="AC13" s="1809"/>
      <c r="AD13" s="1810"/>
      <c r="AE13" s="1811">
        <v>250000</v>
      </c>
      <c r="AF13" s="1812"/>
      <c r="AG13" s="1812"/>
      <c r="AH13" s="1813"/>
      <c r="AI13" s="1789">
        <f t="shared" si="0"/>
        <v>0</v>
      </c>
      <c r="AJ13" s="1790"/>
      <c r="AK13" s="1790"/>
      <c r="AL13" s="1791"/>
      <c r="AM13" s="1814">
        <v>0.3</v>
      </c>
      <c r="AN13" s="1815"/>
      <c r="AO13" s="1789">
        <f t="shared" si="1"/>
        <v>0</v>
      </c>
      <c r="AP13" s="1790"/>
      <c r="AQ13" s="1790"/>
      <c r="AR13" s="1791"/>
      <c r="AS13" s="1789">
        <f t="shared" si="2"/>
        <v>0</v>
      </c>
      <c r="AT13" s="1790"/>
      <c r="AU13" s="1790"/>
      <c r="AV13" s="1791"/>
      <c r="AW13" s="535"/>
      <c r="AX13" s="530"/>
      <c r="BB13" s="551"/>
      <c r="BC13" s="551"/>
      <c r="BD13" s="551"/>
      <c r="BE13" s="551"/>
      <c r="BF13" s="551"/>
      <c r="BG13" s="551"/>
      <c r="BH13" s="551"/>
      <c r="BI13" s="551"/>
      <c r="BJ13" s="558"/>
      <c r="BK13" s="559"/>
      <c r="BL13" s="558"/>
      <c r="BW13" s="1849"/>
      <c r="BX13" s="1849"/>
      <c r="BY13" s="1849"/>
      <c r="BZ13" s="1849"/>
      <c r="CA13" s="1849"/>
      <c r="CB13" s="1849"/>
      <c r="CI13" s="534"/>
      <c r="CJ13" s="534"/>
      <c r="CK13" s="534"/>
      <c r="CL13" s="534"/>
      <c r="CM13" s="534"/>
      <c r="CN13" s="534"/>
      <c r="CO13" s="534"/>
      <c r="CP13" s="534"/>
      <c r="CQ13" s="534"/>
      <c r="CR13" s="534"/>
      <c r="CS13" s="534"/>
      <c r="CT13" s="534"/>
      <c r="CU13" s="534"/>
      <c r="CV13" s="534"/>
      <c r="CW13" s="534"/>
      <c r="CX13" s="534"/>
      <c r="CY13" s="534"/>
      <c r="CZ13" s="534"/>
      <c r="DA13" s="534"/>
      <c r="DB13" s="534"/>
      <c r="DC13" s="534"/>
      <c r="DD13" s="534"/>
      <c r="DE13" s="534"/>
      <c r="DF13" s="534"/>
      <c r="DG13" s="534"/>
      <c r="DH13" s="534"/>
      <c r="DI13" s="534"/>
      <c r="DJ13" s="534"/>
      <c r="DK13" s="534"/>
      <c r="DL13" s="534"/>
      <c r="DM13" s="534"/>
      <c r="DN13" s="534"/>
      <c r="DO13" s="534"/>
      <c r="DP13" s="534"/>
      <c r="DQ13" s="534"/>
      <c r="DR13" s="534"/>
      <c r="DS13" s="534"/>
      <c r="DT13" s="534"/>
      <c r="DU13" s="534"/>
    </row>
    <row r="14" spans="1:125" ht="15" customHeight="1">
      <c r="B14" s="556" t="s">
        <v>1983</v>
      </c>
      <c r="C14" s="1804" t="s">
        <v>2005</v>
      </c>
      <c r="D14" s="1804"/>
      <c r="E14" s="1804"/>
      <c r="F14" s="1804"/>
      <c r="G14" s="1804"/>
      <c r="H14" s="1804"/>
      <c r="I14" s="1804"/>
      <c r="J14" s="1804"/>
      <c r="K14" s="1804"/>
      <c r="L14" s="1804"/>
      <c r="M14" s="1805"/>
      <c r="N14" s="574"/>
      <c r="O14" s="575"/>
      <c r="P14" s="575"/>
      <c r="Q14" s="575"/>
      <c r="R14" s="575"/>
      <c r="S14" s="575"/>
      <c r="T14" s="1846">
        <v>0</v>
      </c>
      <c r="U14" s="1846"/>
      <c r="V14" s="1846"/>
      <c r="W14" s="1846"/>
      <c r="X14" s="1847">
        <v>0</v>
      </c>
      <c r="Y14" s="1847"/>
      <c r="Z14" s="1847"/>
      <c r="AA14" s="1848"/>
      <c r="AB14" s="1808">
        <f>T14</f>
        <v>0</v>
      </c>
      <c r="AC14" s="1809"/>
      <c r="AD14" s="1810"/>
      <c r="AE14" s="1811">
        <v>1000000</v>
      </c>
      <c r="AF14" s="1812"/>
      <c r="AG14" s="1812"/>
      <c r="AH14" s="1813"/>
      <c r="AI14" s="1789">
        <f t="shared" si="0"/>
        <v>0</v>
      </c>
      <c r="AJ14" s="1790"/>
      <c r="AK14" s="1790"/>
      <c r="AL14" s="1791"/>
      <c r="AM14" s="1814">
        <v>0.4</v>
      </c>
      <c r="AN14" s="1815"/>
      <c r="AO14" s="1789">
        <f t="shared" si="1"/>
        <v>0</v>
      </c>
      <c r="AP14" s="1790"/>
      <c r="AQ14" s="1790"/>
      <c r="AR14" s="1791"/>
      <c r="AS14" s="1789">
        <f t="shared" si="2"/>
        <v>0</v>
      </c>
      <c r="AT14" s="1790"/>
      <c r="AU14" s="1790"/>
      <c r="AV14" s="1791"/>
      <c r="AW14" s="535"/>
      <c r="AX14" s="576"/>
      <c r="AY14" s="534"/>
      <c r="BB14" s="551"/>
      <c r="BC14" s="551"/>
      <c r="BD14" s="551"/>
      <c r="BE14" s="551"/>
      <c r="BF14" s="551"/>
      <c r="BG14" s="551"/>
      <c r="BH14" s="551"/>
      <c r="BI14" s="551"/>
      <c r="BJ14" s="558"/>
      <c r="BK14" s="559"/>
      <c r="BL14" s="558"/>
      <c r="CD14" s="560"/>
      <c r="CE14" s="560"/>
      <c r="CF14" s="560"/>
      <c r="CG14" s="560"/>
      <c r="CH14" s="531"/>
    </row>
    <row r="15" spans="1:125" ht="15" customHeight="1">
      <c r="B15" s="556" t="s">
        <v>1983</v>
      </c>
      <c r="C15" s="1804" t="s">
        <v>2006</v>
      </c>
      <c r="D15" s="1804"/>
      <c r="E15" s="1804"/>
      <c r="F15" s="1804"/>
      <c r="G15" s="1804"/>
      <c r="H15" s="1804"/>
      <c r="I15" s="1804"/>
      <c r="J15" s="1804"/>
      <c r="K15" s="1804"/>
      <c r="L15" s="1804"/>
      <c r="M15" s="1805"/>
      <c r="N15" s="1840" t="str">
        <f>'B1'!AE45</f>
        <v>Tidak ada</v>
      </c>
      <c r="O15" s="1841"/>
      <c r="P15" s="1841"/>
      <c r="Q15" s="1841"/>
      <c r="R15" s="1841"/>
      <c r="S15" s="1841"/>
      <c r="T15" s="1841"/>
      <c r="U15" s="1841"/>
      <c r="V15" s="1841"/>
      <c r="W15" s="1841"/>
      <c r="X15" s="1841"/>
      <c r="Y15" s="1841"/>
      <c r="Z15" s="1841"/>
      <c r="AA15" s="1842"/>
      <c r="AB15" s="1843">
        <v>0</v>
      </c>
      <c r="AC15" s="1844"/>
      <c r="AD15" s="1845"/>
      <c r="AE15" s="1811">
        <v>3000000</v>
      </c>
      <c r="AF15" s="1812"/>
      <c r="AG15" s="1812"/>
      <c r="AH15" s="1813"/>
      <c r="AI15" s="1789">
        <f>AE15*AB15</f>
        <v>0</v>
      </c>
      <c r="AJ15" s="1790"/>
      <c r="AK15" s="1790"/>
      <c r="AL15" s="1791"/>
      <c r="AM15" s="1814">
        <v>0.5</v>
      </c>
      <c r="AN15" s="1815"/>
      <c r="AO15" s="1789">
        <f t="shared" si="1"/>
        <v>0</v>
      </c>
      <c r="AP15" s="1790"/>
      <c r="AQ15" s="1790"/>
      <c r="AR15" s="1791"/>
      <c r="AS15" s="1789">
        <f t="shared" si="2"/>
        <v>0</v>
      </c>
      <c r="AT15" s="1790"/>
      <c r="AU15" s="1790"/>
      <c r="AV15" s="1791"/>
      <c r="AW15" s="535"/>
      <c r="AX15" s="530"/>
      <c r="BB15" s="551"/>
      <c r="BC15" s="551"/>
      <c r="BD15" s="551"/>
      <c r="BE15" s="551"/>
      <c r="BF15" s="551"/>
      <c r="BG15" s="551"/>
      <c r="BH15" s="551"/>
      <c r="BI15" s="551"/>
      <c r="BJ15" s="558"/>
      <c r="BK15" s="559"/>
      <c r="BL15" s="558"/>
    </row>
    <row r="16" spans="1:125" ht="15" customHeight="1">
      <c r="B16" s="556" t="s">
        <v>1983</v>
      </c>
      <c r="C16" s="1804" t="s">
        <v>2007</v>
      </c>
      <c r="D16" s="1804"/>
      <c r="E16" s="1804"/>
      <c r="F16" s="1804"/>
      <c r="G16" s="1804"/>
      <c r="H16" s="1804"/>
      <c r="I16" s="1804"/>
      <c r="J16" s="1804"/>
      <c r="K16" s="1804"/>
      <c r="L16" s="1804"/>
      <c r="M16" s="1805"/>
      <c r="N16" s="1840" t="str">
        <f>'B1'!AE46</f>
        <v>Tidak ada</v>
      </c>
      <c r="O16" s="1841"/>
      <c r="P16" s="1841"/>
      <c r="Q16" s="1841"/>
      <c r="R16" s="1841"/>
      <c r="S16" s="1841"/>
      <c r="T16" s="1841"/>
      <c r="U16" s="1841"/>
      <c r="V16" s="1841"/>
      <c r="W16" s="1841"/>
      <c r="X16" s="1841"/>
      <c r="Y16" s="1841"/>
      <c r="Z16" s="1841"/>
      <c r="AA16" s="1842"/>
      <c r="AB16" s="1843">
        <v>0</v>
      </c>
      <c r="AC16" s="1844"/>
      <c r="AD16" s="1845"/>
      <c r="AE16" s="1811">
        <v>5000000</v>
      </c>
      <c r="AF16" s="1812"/>
      <c r="AG16" s="1812"/>
      <c r="AH16" s="1813"/>
      <c r="AI16" s="1789">
        <f>AE16*AB16</f>
        <v>0</v>
      </c>
      <c r="AJ16" s="1790"/>
      <c r="AK16" s="1790"/>
      <c r="AL16" s="1791"/>
      <c r="AM16" s="1814">
        <v>0.4</v>
      </c>
      <c r="AN16" s="1815"/>
      <c r="AO16" s="1789">
        <f t="shared" si="1"/>
        <v>0</v>
      </c>
      <c r="AP16" s="1790"/>
      <c r="AQ16" s="1790"/>
      <c r="AR16" s="1791"/>
      <c r="AS16" s="1789">
        <f t="shared" si="2"/>
        <v>0</v>
      </c>
      <c r="AT16" s="1790"/>
      <c r="AU16" s="1790"/>
      <c r="AV16" s="1791"/>
      <c r="AW16" s="535"/>
      <c r="AX16" s="530"/>
      <c r="BB16" s="551"/>
      <c r="BC16" s="551"/>
      <c r="BD16" s="551"/>
      <c r="BE16" s="551"/>
      <c r="BF16" s="551"/>
      <c r="BG16" s="551"/>
      <c r="BH16" s="551"/>
      <c r="BI16" s="551"/>
      <c r="BJ16" s="558"/>
      <c r="BK16" s="559"/>
      <c r="BL16" s="558"/>
    </row>
    <row r="17" spans="1:88" ht="15" customHeight="1">
      <c r="B17" s="556" t="s">
        <v>1983</v>
      </c>
      <c r="C17" s="1804" t="s">
        <v>2008</v>
      </c>
      <c r="D17" s="1804"/>
      <c r="E17" s="1804"/>
      <c r="F17" s="1804"/>
      <c r="G17" s="1804"/>
      <c r="H17" s="1804"/>
      <c r="I17" s="1804"/>
      <c r="J17" s="1804"/>
      <c r="K17" s="1804"/>
      <c r="L17" s="1804"/>
      <c r="M17" s="1805"/>
      <c r="N17" s="1834">
        <v>0</v>
      </c>
      <c r="O17" s="1835"/>
      <c r="P17" s="1835"/>
      <c r="Q17" s="1835"/>
      <c r="R17" s="1835"/>
      <c r="S17" s="1835"/>
      <c r="T17" s="1835"/>
      <c r="U17" s="1835"/>
      <c r="V17" s="1835"/>
      <c r="W17" s="1835"/>
      <c r="X17" s="1835"/>
      <c r="Y17" s="1835"/>
      <c r="Z17" s="1835"/>
      <c r="AA17" s="1836"/>
      <c r="AB17" s="1837">
        <f>N17</f>
        <v>0</v>
      </c>
      <c r="AC17" s="1838"/>
      <c r="AD17" s="1839"/>
      <c r="AE17" s="1811">
        <v>325000</v>
      </c>
      <c r="AF17" s="1812"/>
      <c r="AG17" s="1812"/>
      <c r="AH17" s="1813"/>
      <c r="AI17" s="1789">
        <f>AE17*AB17</f>
        <v>0</v>
      </c>
      <c r="AJ17" s="1790"/>
      <c r="AK17" s="1790"/>
      <c r="AL17" s="1791"/>
      <c r="AM17" s="1814">
        <v>0.2</v>
      </c>
      <c r="AN17" s="1815"/>
      <c r="AO17" s="1789">
        <f t="shared" si="1"/>
        <v>0</v>
      </c>
      <c r="AP17" s="1790"/>
      <c r="AQ17" s="1790"/>
      <c r="AR17" s="1791"/>
      <c r="AS17" s="1789">
        <f t="shared" si="2"/>
        <v>0</v>
      </c>
      <c r="AT17" s="1790"/>
      <c r="AU17" s="1790"/>
      <c r="AV17" s="1791"/>
      <c r="AW17" s="577"/>
      <c r="AX17" s="530"/>
      <c r="BB17" s="551"/>
      <c r="BC17" s="551"/>
      <c r="BD17" s="551"/>
      <c r="BE17" s="551"/>
      <c r="BF17" s="551"/>
      <c r="BG17" s="551"/>
      <c r="BH17" s="551"/>
      <c r="BI17" s="551"/>
      <c r="BJ17" s="558"/>
      <c r="BK17" s="559"/>
      <c r="BL17" s="558"/>
    </row>
    <row r="18" spans="1:88" ht="15" customHeight="1">
      <c r="B18" s="556" t="s">
        <v>1983</v>
      </c>
      <c r="C18" s="1804" t="s">
        <v>2009</v>
      </c>
      <c r="D18" s="1804"/>
      <c r="E18" s="1804"/>
      <c r="F18" s="1804"/>
      <c r="G18" s="1804"/>
      <c r="H18" s="1804"/>
      <c r="I18" s="1804"/>
      <c r="J18" s="1804"/>
      <c r="K18" s="1804"/>
      <c r="L18" s="1804"/>
      <c r="M18" s="1805"/>
      <c r="N18" s="1828">
        <v>0</v>
      </c>
      <c r="O18" s="1829"/>
      <c r="P18" s="1829"/>
      <c r="Q18" s="1829"/>
      <c r="R18" s="1829"/>
      <c r="S18" s="1829"/>
      <c r="T18" s="1829"/>
      <c r="U18" s="1829"/>
      <c r="V18" s="1829"/>
      <c r="W18" s="1829"/>
      <c r="X18" s="1829"/>
      <c r="Y18" s="1829"/>
      <c r="Z18" s="1829"/>
      <c r="AA18" s="1830"/>
      <c r="AB18" s="1831">
        <f>N18</f>
        <v>0</v>
      </c>
      <c r="AC18" s="1832"/>
      <c r="AD18" s="1833"/>
      <c r="AE18" s="1811">
        <v>10000000</v>
      </c>
      <c r="AF18" s="1812"/>
      <c r="AG18" s="1812"/>
      <c r="AH18" s="1813"/>
      <c r="AI18" s="1789">
        <f>AE18*AB18</f>
        <v>0</v>
      </c>
      <c r="AJ18" s="1790"/>
      <c r="AK18" s="1790"/>
      <c r="AL18" s="1791"/>
      <c r="AM18" s="1814">
        <v>0.35</v>
      </c>
      <c r="AN18" s="1815"/>
      <c r="AO18" s="1789">
        <f t="shared" si="1"/>
        <v>0</v>
      </c>
      <c r="AP18" s="1790"/>
      <c r="AQ18" s="1790"/>
      <c r="AR18" s="1791"/>
      <c r="AS18" s="1789">
        <f t="shared" si="2"/>
        <v>0</v>
      </c>
      <c r="AT18" s="1790"/>
      <c r="AU18" s="1790"/>
      <c r="AV18" s="1791"/>
      <c r="AW18" s="577"/>
      <c r="AX18" s="530"/>
      <c r="BB18" s="551"/>
      <c r="BC18" s="551"/>
      <c r="BD18" s="551"/>
      <c r="BE18" s="551"/>
      <c r="BF18" s="551"/>
      <c r="BG18" s="551"/>
      <c r="BH18" s="551"/>
      <c r="BI18" s="551"/>
      <c r="BJ18" s="558"/>
      <c r="BK18" s="559"/>
      <c r="BL18" s="558"/>
      <c r="CI18" s="531"/>
      <c r="CJ18" s="531"/>
    </row>
    <row r="19" spans="1:88" ht="15" customHeight="1">
      <c r="B19" s="556" t="s">
        <v>1983</v>
      </c>
      <c r="C19" s="1804" t="s">
        <v>2010</v>
      </c>
      <c r="D19" s="1804"/>
      <c r="E19" s="1804"/>
      <c r="F19" s="1804"/>
      <c r="G19" s="1804"/>
      <c r="H19" s="1804"/>
      <c r="I19" s="1804"/>
      <c r="J19" s="1804"/>
      <c r="K19" s="1804"/>
      <c r="L19" s="1804"/>
      <c r="M19" s="1805"/>
      <c r="N19" s="1824" t="str">
        <f>'B1'!AE47</f>
        <v>Tidak ada</v>
      </c>
      <c r="O19" s="1825"/>
      <c r="P19" s="573" t="s">
        <v>2011</v>
      </c>
      <c r="Q19" s="573"/>
      <c r="R19" s="573"/>
      <c r="S19" s="573"/>
      <c r="T19" s="1826">
        <v>0</v>
      </c>
      <c r="U19" s="1826"/>
      <c r="V19" s="1826"/>
      <c r="W19" s="1826"/>
      <c r="X19" s="1826"/>
      <c r="Y19" s="1826"/>
      <c r="Z19" s="1826"/>
      <c r="AA19" s="1827"/>
      <c r="AB19" s="1808">
        <f>T19</f>
        <v>0</v>
      </c>
      <c r="AC19" s="1809"/>
      <c r="AD19" s="1810"/>
      <c r="AE19" s="1811">
        <v>0</v>
      </c>
      <c r="AF19" s="1812"/>
      <c r="AG19" s="1812"/>
      <c r="AH19" s="1813"/>
      <c r="AI19" s="1789">
        <f>AE19*AB19</f>
        <v>0</v>
      </c>
      <c r="AJ19" s="1790"/>
      <c r="AK19" s="1790"/>
      <c r="AL19" s="1791"/>
      <c r="AM19" s="1814">
        <v>0.4</v>
      </c>
      <c r="AN19" s="1815"/>
      <c r="AO19" s="1789">
        <f t="shared" si="1"/>
        <v>0</v>
      </c>
      <c r="AP19" s="1790"/>
      <c r="AQ19" s="1790"/>
      <c r="AR19" s="1791"/>
      <c r="AS19" s="1789">
        <f t="shared" si="2"/>
        <v>0</v>
      </c>
      <c r="AT19" s="1790"/>
      <c r="AU19" s="1790"/>
      <c r="AV19" s="1791"/>
      <c r="AW19" s="578"/>
      <c r="AX19" s="579"/>
      <c r="AY19" s="308"/>
      <c r="BB19" s="551"/>
      <c r="BC19" s="551"/>
      <c r="BD19" s="551"/>
      <c r="BE19" s="551"/>
      <c r="BF19" s="551"/>
      <c r="BG19" s="551"/>
      <c r="BH19" s="551"/>
      <c r="BI19" s="551"/>
      <c r="BJ19" s="558"/>
      <c r="BK19" s="559"/>
      <c r="BL19" s="558"/>
      <c r="CI19" s="531"/>
      <c r="CJ19" s="531"/>
    </row>
    <row r="20" spans="1:88" ht="15" customHeight="1">
      <c r="B20" s="1818" t="str">
        <f>"TOTAL "&amp;B3&amp;""</f>
        <v>TOTAL SARANA PELENGKAP</v>
      </c>
      <c r="C20" s="1819"/>
      <c r="D20" s="1819"/>
      <c r="E20" s="1819"/>
      <c r="F20" s="1819"/>
      <c r="G20" s="1819"/>
      <c r="H20" s="1819"/>
      <c r="I20" s="1819"/>
      <c r="J20" s="1819"/>
      <c r="K20" s="1819"/>
      <c r="L20" s="1819"/>
      <c r="M20" s="1819"/>
      <c r="N20" s="1819"/>
      <c r="O20" s="1819"/>
      <c r="P20" s="1819"/>
      <c r="Q20" s="1819"/>
      <c r="R20" s="1819"/>
      <c r="S20" s="1819"/>
      <c r="T20" s="1819"/>
      <c r="U20" s="1819"/>
      <c r="V20" s="1819"/>
      <c r="W20" s="1819"/>
      <c r="X20" s="1819"/>
      <c r="Y20" s="1819"/>
      <c r="Z20" s="1819"/>
      <c r="AA20" s="1819"/>
      <c r="AB20" s="1819"/>
      <c r="AC20" s="1819"/>
      <c r="AD20" s="1819"/>
      <c r="AE20" s="1819"/>
      <c r="AF20" s="1819"/>
      <c r="AG20" s="1819"/>
      <c r="AH20" s="1820"/>
      <c r="AI20" s="1798">
        <f>SUM(AI7:AL19)</f>
        <v>0</v>
      </c>
      <c r="AJ20" s="1799"/>
      <c r="AK20" s="1799"/>
      <c r="AL20" s="1800"/>
      <c r="AM20" s="580"/>
      <c r="AN20" s="581"/>
      <c r="AO20" s="1798">
        <f>SUM(AO7:AR19)</f>
        <v>0</v>
      </c>
      <c r="AP20" s="1799"/>
      <c r="AQ20" s="1799"/>
      <c r="AR20" s="1800"/>
      <c r="AS20" s="1798">
        <f>SUM(AS7:AV19)</f>
        <v>0</v>
      </c>
      <c r="AT20" s="1799"/>
      <c r="AU20" s="1799"/>
      <c r="AV20" s="1800"/>
      <c r="AW20" s="582"/>
      <c r="AX20" s="583"/>
      <c r="AY20" s="582"/>
      <c r="BB20" s="551"/>
      <c r="BC20" s="551"/>
      <c r="BD20" s="551"/>
      <c r="BE20" s="551"/>
      <c r="BF20" s="551"/>
      <c r="BG20" s="551"/>
      <c r="BH20" s="551"/>
      <c r="BI20" s="551"/>
      <c r="BJ20" s="558"/>
      <c r="BK20" s="559"/>
      <c r="BL20" s="558"/>
    </row>
    <row r="21" spans="1:88" ht="15" customHeight="1">
      <c r="B21" s="1821"/>
      <c r="C21" s="1822"/>
      <c r="D21" s="1822"/>
      <c r="E21" s="1822"/>
      <c r="F21" s="1822"/>
      <c r="G21" s="1822"/>
      <c r="H21" s="1822"/>
      <c r="I21" s="1822"/>
      <c r="J21" s="1822"/>
      <c r="K21" s="1822"/>
      <c r="L21" s="1822"/>
      <c r="M21" s="1822"/>
      <c r="N21" s="1822"/>
      <c r="O21" s="1822"/>
      <c r="P21" s="1822"/>
      <c r="Q21" s="1822"/>
      <c r="R21" s="1822"/>
      <c r="S21" s="1822"/>
      <c r="T21" s="1822"/>
      <c r="U21" s="1822"/>
      <c r="V21" s="1822"/>
      <c r="W21" s="1822"/>
      <c r="X21" s="1822"/>
      <c r="Y21" s="1822"/>
      <c r="Z21" s="1822"/>
      <c r="AA21" s="1822"/>
      <c r="AB21" s="1822"/>
      <c r="AC21" s="1822"/>
      <c r="AD21" s="1822"/>
      <c r="AE21" s="1822"/>
      <c r="AF21" s="1822"/>
      <c r="AG21" s="1822"/>
      <c r="AH21" s="1823"/>
      <c r="AI21" s="1801"/>
      <c r="AJ21" s="1802"/>
      <c r="AK21" s="1802"/>
      <c r="AL21" s="1803"/>
      <c r="AM21" s="584"/>
      <c r="AN21" s="585"/>
      <c r="AO21" s="1801"/>
      <c r="AP21" s="1802"/>
      <c r="AQ21" s="1802"/>
      <c r="AR21" s="1803"/>
      <c r="AS21" s="1801"/>
      <c r="AT21" s="1802"/>
      <c r="AU21" s="1802"/>
      <c r="AV21" s="1803"/>
      <c r="AW21" s="586"/>
      <c r="AX21" s="587"/>
      <c r="AY21" s="586"/>
      <c r="BB21" s="551"/>
      <c r="BC21" s="551"/>
      <c r="BD21" s="551"/>
      <c r="BE21" s="551"/>
      <c r="BF21" s="551"/>
      <c r="BG21" s="551"/>
      <c r="BH21" s="551"/>
      <c r="BI21" s="551"/>
      <c r="BK21" s="559"/>
      <c r="BL21" s="558"/>
    </row>
    <row r="22" spans="1:88" ht="15" customHeight="1">
      <c r="B22" s="588" t="s">
        <v>2012</v>
      </c>
      <c r="C22" s="589"/>
      <c r="D22" s="589"/>
      <c r="E22" s="589"/>
      <c r="F22" s="589"/>
      <c r="G22" s="589"/>
      <c r="H22" s="589"/>
      <c r="I22" s="589"/>
      <c r="J22" s="589"/>
      <c r="K22" s="589"/>
      <c r="L22" s="589"/>
      <c r="M22" s="589"/>
      <c r="N22" s="590"/>
      <c r="O22" s="590"/>
      <c r="P22" s="590"/>
      <c r="Q22" s="590"/>
      <c r="R22" s="590"/>
      <c r="S22" s="590"/>
      <c r="T22" s="590"/>
      <c r="U22" s="590"/>
      <c r="V22" s="590"/>
      <c r="W22" s="590"/>
      <c r="X22" s="590"/>
      <c r="Y22" s="590"/>
      <c r="Z22" s="590"/>
      <c r="AA22" s="590"/>
      <c r="AB22" s="590"/>
      <c r="AC22" s="590"/>
      <c r="AD22" s="590"/>
      <c r="AE22" s="590"/>
      <c r="AF22" s="590"/>
      <c r="AG22" s="590"/>
      <c r="AH22" s="591"/>
      <c r="AI22" s="592"/>
      <c r="AJ22" s="593"/>
      <c r="AK22" s="593"/>
      <c r="AL22" s="594"/>
      <c r="AM22" s="595"/>
      <c r="AN22" s="596"/>
      <c r="AO22" s="592"/>
      <c r="AP22" s="593"/>
      <c r="AQ22" s="593"/>
      <c r="AR22" s="594"/>
      <c r="AS22" s="592"/>
      <c r="AT22" s="593"/>
      <c r="AU22" s="593"/>
      <c r="AV22" s="594"/>
      <c r="AW22" s="545"/>
      <c r="AX22" s="530"/>
      <c r="BB22" s="551"/>
      <c r="BC22" s="551"/>
      <c r="BD22" s="551"/>
      <c r="BE22" s="551"/>
      <c r="BF22" s="551"/>
      <c r="BG22" s="551"/>
      <c r="BH22" s="551"/>
      <c r="BI22" s="551"/>
      <c r="BJ22" s="558"/>
      <c r="BK22" s="559"/>
      <c r="BL22" s="558"/>
    </row>
    <row r="23" spans="1:88" ht="15" customHeight="1">
      <c r="B23" s="556" t="s">
        <v>1983</v>
      </c>
      <c r="C23" s="1804" t="str">
        <f>C10</f>
        <v>Perkerasan &amp; Canopy Carport</v>
      </c>
      <c r="D23" s="1804"/>
      <c r="E23" s="1804"/>
      <c r="F23" s="1804"/>
      <c r="G23" s="1804"/>
      <c r="H23" s="1804"/>
      <c r="I23" s="1804"/>
      <c r="J23" s="1804"/>
      <c r="K23" s="1804"/>
      <c r="L23" s="1804"/>
      <c r="M23" s="1805"/>
      <c r="N23" s="597" t="str">
        <f>N10</f>
        <v>Tidak ada</v>
      </c>
      <c r="O23" s="598"/>
      <c r="P23" s="598" t="s">
        <v>2002</v>
      </c>
      <c r="Q23" s="598"/>
      <c r="R23" s="1816">
        <v>0</v>
      </c>
      <c r="S23" s="1816"/>
      <c r="T23" s="1816"/>
      <c r="U23" s="1816"/>
      <c r="V23" s="1816"/>
      <c r="W23" s="1816"/>
      <c r="X23" s="1816"/>
      <c r="Y23" s="1816"/>
      <c r="Z23" s="1816"/>
      <c r="AA23" s="1817"/>
      <c r="AB23" s="1808">
        <f>R23</f>
        <v>0</v>
      </c>
      <c r="AC23" s="1809"/>
      <c r="AD23" s="1810"/>
      <c r="AE23" s="1811">
        <f>AE10</f>
        <v>475000</v>
      </c>
      <c r="AF23" s="1812"/>
      <c r="AG23" s="1812"/>
      <c r="AH23" s="1813"/>
      <c r="AI23" s="1789">
        <f>AE23*AB23</f>
        <v>0</v>
      </c>
      <c r="AJ23" s="1790"/>
      <c r="AK23" s="1790"/>
      <c r="AL23" s="1791"/>
      <c r="AM23" s="1814">
        <f>AM10</f>
        <v>0.15</v>
      </c>
      <c r="AN23" s="1815"/>
      <c r="AO23" s="1789">
        <f>AI23*(1-AM23)</f>
        <v>0</v>
      </c>
      <c r="AP23" s="1790"/>
      <c r="AQ23" s="1790"/>
      <c r="AR23" s="1791"/>
      <c r="AS23" s="1789">
        <f>AO23*(1-$AU$3)</f>
        <v>0</v>
      </c>
      <c r="AT23" s="1790"/>
      <c r="AU23" s="1790"/>
      <c r="AV23" s="1791"/>
      <c r="AW23" s="545"/>
      <c r="AX23" s="530"/>
      <c r="BB23" s="551"/>
      <c r="BC23" s="551"/>
      <c r="BD23" s="551"/>
      <c r="BE23" s="551"/>
      <c r="BF23" s="551"/>
      <c r="BG23" s="551"/>
      <c r="BH23" s="551"/>
      <c r="BI23" s="551"/>
      <c r="BJ23" s="558"/>
      <c r="BK23" s="559"/>
      <c r="BL23" s="558"/>
    </row>
    <row r="24" spans="1:88" ht="15" customHeight="1">
      <c r="B24" s="556" t="s">
        <v>1983</v>
      </c>
      <c r="C24" s="1804" t="str">
        <f>C12</f>
        <v>Pagar depan</v>
      </c>
      <c r="D24" s="1804"/>
      <c r="E24" s="1804"/>
      <c r="F24" s="1804"/>
      <c r="G24" s="1804"/>
      <c r="H24" s="1804"/>
      <c r="I24" s="1804"/>
      <c r="J24" s="1804"/>
      <c r="K24" s="1804"/>
      <c r="L24" s="1804"/>
      <c r="M24" s="1805"/>
      <c r="N24" s="597"/>
      <c r="O24" s="598"/>
      <c r="P24" s="598" t="s">
        <v>2002</v>
      </c>
      <c r="Q24" s="598"/>
      <c r="R24" s="1816">
        <v>0</v>
      </c>
      <c r="S24" s="1816"/>
      <c r="T24" s="1816"/>
      <c r="U24" s="1816"/>
      <c r="V24" s="1816"/>
      <c r="W24" s="1816"/>
      <c r="X24" s="1816"/>
      <c r="Y24" s="1816"/>
      <c r="Z24" s="1816"/>
      <c r="AA24" s="1817"/>
      <c r="AB24" s="1808">
        <f>R24</f>
        <v>0</v>
      </c>
      <c r="AC24" s="1809"/>
      <c r="AD24" s="1810"/>
      <c r="AE24" s="1811">
        <f>AE12</f>
        <v>750000</v>
      </c>
      <c r="AF24" s="1812"/>
      <c r="AG24" s="1812"/>
      <c r="AH24" s="1813"/>
      <c r="AI24" s="1789">
        <f>AE24*AB24</f>
        <v>0</v>
      </c>
      <c r="AJ24" s="1790"/>
      <c r="AK24" s="1790"/>
      <c r="AL24" s="1791"/>
      <c r="AM24" s="1814">
        <f>AM12</f>
        <v>0.15</v>
      </c>
      <c r="AN24" s="1815"/>
      <c r="AO24" s="1789">
        <f>AI24*(1-AM24)</f>
        <v>0</v>
      </c>
      <c r="AP24" s="1790"/>
      <c r="AQ24" s="1790"/>
      <c r="AR24" s="1791"/>
      <c r="AS24" s="1789">
        <f>AO24*(1-$AU$3)</f>
        <v>0</v>
      </c>
      <c r="AT24" s="1790"/>
      <c r="AU24" s="1790"/>
      <c r="AV24" s="1791"/>
      <c r="AW24" s="545"/>
      <c r="AX24" s="530"/>
      <c r="BB24" s="551"/>
      <c r="BC24" s="551"/>
      <c r="BD24" s="551"/>
      <c r="BE24" s="551"/>
      <c r="BF24" s="551"/>
      <c r="BG24" s="551"/>
      <c r="BH24" s="551"/>
      <c r="BI24" s="551"/>
      <c r="BJ24" s="558"/>
      <c r="BK24" s="559"/>
      <c r="BL24" s="558"/>
      <c r="BX24" s="531"/>
      <c r="BY24" s="531"/>
    </row>
    <row r="25" spans="1:88" ht="15" customHeight="1">
      <c r="B25" s="556" t="s">
        <v>1983</v>
      </c>
      <c r="C25" s="1804" t="str">
        <f>C11</f>
        <v>Pembuatan Gazebo</v>
      </c>
      <c r="D25" s="1804"/>
      <c r="E25" s="1804"/>
      <c r="F25" s="1804"/>
      <c r="G25" s="1804"/>
      <c r="H25" s="1804"/>
      <c r="I25" s="1804"/>
      <c r="J25" s="1804"/>
      <c r="K25" s="1804"/>
      <c r="L25" s="1804"/>
      <c r="M25" s="1805"/>
      <c r="N25" s="597"/>
      <c r="O25" s="598"/>
      <c r="P25" s="598" t="s">
        <v>2002</v>
      </c>
      <c r="Q25" s="598"/>
      <c r="R25" s="1816">
        <v>0</v>
      </c>
      <c r="S25" s="1816"/>
      <c r="T25" s="1816"/>
      <c r="U25" s="1816"/>
      <c r="V25" s="1816"/>
      <c r="W25" s="1816"/>
      <c r="X25" s="1816"/>
      <c r="Y25" s="1816"/>
      <c r="Z25" s="1816"/>
      <c r="AA25" s="1817"/>
      <c r="AB25" s="1808">
        <f>R25</f>
        <v>0</v>
      </c>
      <c r="AC25" s="1809"/>
      <c r="AD25" s="1810"/>
      <c r="AE25" s="1811">
        <v>2000000</v>
      </c>
      <c r="AF25" s="1812"/>
      <c r="AG25" s="1812"/>
      <c r="AH25" s="1813"/>
      <c r="AI25" s="1789">
        <f>AE25*AB25</f>
        <v>0</v>
      </c>
      <c r="AJ25" s="1790"/>
      <c r="AK25" s="1790"/>
      <c r="AL25" s="1791"/>
      <c r="AM25" s="1814">
        <f>AM11</f>
        <v>0.3</v>
      </c>
      <c r="AN25" s="1815"/>
      <c r="AO25" s="1789">
        <f>AI25*(1-AM25)</f>
        <v>0</v>
      </c>
      <c r="AP25" s="1790"/>
      <c r="AQ25" s="1790"/>
      <c r="AR25" s="1791"/>
      <c r="AS25" s="1789">
        <f>AO25*(1-$AU$3)</f>
        <v>0</v>
      </c>
      <c r="AT25" s="1790"/>
      <c r="AU25" s="1790"/>
      <c r="AV25" s="1791"/>
      <c r="AW25" s="545"/>
      <c r="AX25" s="530"/>
      <c r="BB25" s="551"/>
      <c r="BC25" s="551"/>
      <c r="BD25" s="551"/>
      <c r="BE25" s="551"/>
      <c r="BF25" s="551"/>
      <c r="BG25" s="551"/>
      <c r="BH25" s="551"/>
      <c r="BI25" s="551"/>
      <c r="BJ25" s="558"/>
      <c r="BK25" s="559"/>
      <c r="BL25" s="558"/>
    </row>
    <row r="26" spans="1:88" ht="15" customHeight="1">
      <c r="B26" s="556" t="s">
        <v>1983</v>
      </c>
      <c r="C26" s="1804" t="str">
        <f>C13</f>
        <v>Pembuatan taman &amp; halaman</v>
      </c>
      <c r="D26" s="1804"/>
      <c r="E26" s="1804"/>
      <c r="F26" s="1804"/>
      <c r="G26" s="1804"/>
      <c r="H26" s="1804"/>
      <c r="I26" s="1804"/>
      <c r="J26" s="1804"/>
      <c r="K26" s="1804"/>
      <c r="L26" s="1804"/>
      <c r="M26" s="1805"/>
      <c r="N26" s="574" t="str">
        <f>N13</f>
        <v>Cukup tertata</v>
      </c>
      <c r="O26" s="575"/>
      <c r="P26" s="575"/>
      <c r="Q26" s="575"/>
      <c r="R26" s="575"/>
      <c r="S26" s="575" t="str">
        <f>S13</f>
        <v>seluas</v>
      </c>
      <c r="T26" s="599"/>
      <c r="U26" s="599"/>
      <c r="V26" s="1806">
        <v>0</v>
      </c>
      <c r="W26" s="1806"/>
      <c r="X26" s="1806"/>
      <c r="Y26" s="1806"/>
      <c r="Z26" s="1806"/>
      <c r="AA26" s="1807"/>
      <c r="AB26" s="1808">
        <f>V26</f>
        <v>0</v>
      </c>
      <c r="AC26" s="1809"/>
      <c r="AD26" s="1810"/>
      <c r="AE26" s="1811">
        <f>AE13</f>
        <v>250000</v>
      </c>
      <c r="AF26" s="1812"/>
      <c r="AG26" s="1812"/>
      <c r="AH26" s="1813"/>
      <c r="AI26" s="1789">
        <f>AE26*AB26</f>
        <v>0</v>
      </c>
      <c r="AJ26" s="1790"/>
      <c r="AK26" s="1790"/>
      <c r="AL26" s="1791"/>
      <c r="AM26" s="1814">
        <f>AM13</f>
        <v>0.3</v>
      </c>
      <c r="AN26" s="1815"/>
      <c r="AO26" s="1789">
        <f>AI26*(1-AM26)</f>
        <v>0</v>
      </c>
      <c r="AP26" s="1790"/>
      <c r="AQ26" s="1790"/>
      <c r="AR26" s="1791"/>
      <c r="AS26" s="1789">
        <f>AO26*(1-$AU$3)</f>
        <v>0</v>
      </c>
      <c r="AT26" s="1790"/>
      <c r="AU26" s="1790"/>
      <c r="AV26" s="1791"/>
      <c r="AW26" s="545"/>
      <c r="AX26" s="530"/>
      <c r="BB26" s="551"/>
      <c r="BC26" s="551"/>
      <c r="BD26" s="551"/>
      <c r="BE26" s="551"/>
      <c r="BF26" s="551"/>
      <c r="BG26" s="551"/>
      <c r="BH26" s="551"/>
      <c r="BI26" s="551"/>
      <c r="BJ26" s="558"/>
      <c r="BK26" s="559"/>
      <c r="BL26" s="558"/>
    </row>
    <row r="27" spans="1:88" ht="15" customHeight="1">
      <c r="B27" s="600"/>
      <c r="C27" s="600"/>
      <c r="D27" s="600"/>
      <c r="E27" s="600"/>
      <c r="F27" s="600"/>
      <c r="G27" s="600"/>
      <c r="H27" s="600"/>
      <c r="I27" s="600"/>
      <c r="J27" s="600"/>
      <c r="K27" s="600"/>
      <c r="L27" s="600"/>
      <c r="M27" s="600"/>
      <c r="N27" s="600"/>
      <c r="O27" s="600"/>
      <c r="P27" s="600"/>
      <c r="Q27" s="600"/>
      <c r="R27" s="600"/>
      <c r="S27" s="600"/>
      <c r="T27" s="600"/>
      <c r="U27" s="600"/>
      <c r="V27" s="600"/>
      <c r="W27" s="600"/>
      <c r="X27" s="600"/>
      <c r="Y27" s="600"/>
      <c r="Z27" s="600"/>
      <c r="AA27" s="600"/>
      <c r="AB27" s="600"/>
      <c r="AC27" s="600"/>
      <c r="AD27" s="600"/>
      <c r="AE27" s="600"/>
      <c r="AF27" s="600"/>
      <c r="AG27" s="600"/>
      <c r="AH27" s="600"/>
      <c r="AI27" s="600"/>
      <c r="AJ27" s="600"/>
      <c r="AK27" s="600"/>
      <c r="AL27" s="600"/>
      <c r="AM27" s="601"/>
      <c r="AN27" s="601"/>
      <c r="AO27" s="601"/>
      <c r="AP27" s="601"/>
      <c r="AQ27" s="601"/>
      <c r="AR27" s="601"/>
      <c r="AS27" s="601"/>
      <c r="AT27" s="601"/>
      <c r="AU27" s="601"/>
      <c r="AV27" s="601"/>
      <c r="AW27" s="545"/>
      <c r="AX27" s="530"/>
      <c r="BB27" s="551"/>
      <c r="BC27" s="551"/>
      <c r="BD27" s="551"/>
      <c r="BE27" s="551"/>
      <c r="BF27" s="551"/>
      <c r="BG27" s="551"/>
      <c r="BH27" s="551"/>
      <c r="BI27" s="551"/>
      <c r="BJ27" s="558"/>
      <c r="BK27" s="559"/>
      <c r="BL27" s="558"/>
    </row>
    <row r="28" spans="1:88" ht="15" customHeight="1">
      <c r="B28" s="1792" t="s">
        <v>2013</v>
      </c>
      <c r="C28" s="1793"/>
      <c r="D28" s="1793"/>
      <c r="E28" s="1793"/>
      <c r="F28" s="1793"/>
      <c r="G28" s="1793"/>
      <c r="H28" s="1793"/>
      <c r="I28" s="1793"/>
      <c r="J28" s="1793"/>
      <c r="K28" s="1793"/>
      <c r="L28" s="1793"/>
      <c r="M28" s="1793"/>
      <c r="N28" s="1793"/>
      <c r="O28" s="1793"/>
      <c r="P28" s="1793"/>
      <c r="Q28" s="1793"/>
      <c r="R28" s="1793"/>
      <c r="S28" s="1793"/>
      <c r="T28" s="1793"/>
      <c r="U28" s="1793"/>
      <c r="V28" s="1793"/>
      <c r="W28" s="1793"/>
      <c r="X28" s="1793"/>
      <c r="Y28" s="1793"/>
      <c r="Z28" s="1793"/>
      <c r="AA28" s="1793"/>
      <c r="AB28" s="1793"/>
      <c r="AC28" s="1793"/>
      <c r="AD28" s="1793"/>
      <c r="AE28" s="1793"/>
      <c r="AF28" s="1793"/>
      <c r="AG28" s="1793"/>
      <c r="AH28" s="1794"/>
      <c r="AI28" s="1798">
        <f>+AI7+AI8+AI9+AI25+AI14+AI15+AI16+AI17+AI18+AI19+AI23+AI24+AI26</f>
        <v>0</v>
      </c>
      <c r="AJ28" s="1799"/>
      <c r="AK28" s="1799"/>
      <c r="AL28" s="1800"/>
      <c r="AM28" s="602"/>
      <c r="AN28" s="603"/>
      <c r="AO28" s="1798">
        <f>+AO7+AO8+AO9+AO25+AO14+AO15+AO16+AO17+AO18+AO19+AO23+AO24+AO26</f>
        <v>0</v>
      </c>
      <c r="AP28" s="1799"/>
      <c r="AQ28" s="1799"/>
      <c r="AR28" s="1800"/>
      <c r="AS28" s="1798">
        <f>+AS7+AS8+AS9+AS25+AS14+AS15+AS16+AS17+AS18+AS19+AS23+AS24+AS26</f>
        <v>0</v>
      </c>
      <c r="AT28" s="1799"/>
      <c r="AU28" s="1799"/>
      <c r="AV28" s="1800"/>
      <c r="AW28" s="545"/>
      <c r="AX28" s="530"/>
      <c r="BB28" s="551"/>
      <c r="BC28" s="551"/>
      <c r="BD28" s="551"/>
      <c r="BE28" s="551"/>
      <c r="BF28" s="551"/>
      <c r="BG28" s="551"/>
      <c r="BH28" s="551"/>
      <c r="BI28" s="551"/>
      <c r="BJ28" s="558"/>
      <c r="BK28" s="559"/>
      <c r="BL28" s="558"/>
    </row>
    <row r="29" spans="1:88" ht="15" customHeight="1">
      <c r="B29" s="1795"/>
      <c r="C29" s="1796"/>
      <c r="D29" s="1796"/>
      <c r="E29" s="1796"/>
      <c r="F29" s="1796"/>
      <c r="G29" s="1796"/>
      <c r="H29" s="1796"/>
      <c r="I29" s="1796"/>
      <c r="J29" s="1796"/>
      <c r="K29" s="1796"/>
      <c r="L29" s="1796"/>
      <c r="M29" s="1796"/>
      <c r="N29" s="1796"/>
      <c r="O29" s="1796"/>
      <c r="P29" s="1796"/>
      <c r="Q29" s="1796"/>
      <c r="R29" s="1796"/>
      <c r="S29" s="1796"/>
      <c r="T29" s="1796"/>
      <c r="U29" s="1796"/>
      <c r="V29" s="1796"/>
      <c r="W29" s="1796"/>
      <c r="X29" s="1796"/>
      <c r="Y29" s="1796"/>
      <c r="Z29" s="1796"/>
      <c r="AA29" s="1796"/>
      <c r="AB29" s="1796"/>
      <c r="AC29" s="1796"/>
      <c r="AD29" s="1796"/>
      <c r="AE29" s="1796"/>
      <c r="AF29" s="1796"/>
      <c r="AG29" s="1796"/>
      <c r="AH29" s="1797"/>
      <c r="AI29" s="1801"/>
      <c r="AJ29" s="1802"/>
      <c r="AK29" s="1802"/>
      <c r="AL29" s="1803"/>
      <c r="AM29" s="595"/>
      <c r="AN29" s="596"/>
      <c r="AO29" s="1801"/>
      <c r="AP29" s="1802"/>
      <c r="AQ29" s="1802"/>
      <c r="AR29" s="1803"/>
      <c r="AS29" s="1801"/>
      <c r="AT29" s="1802"/>
      <c r="AU29" s="1802"/>
      <c r="AV29" s="1803"/>
      <c r="AW29" s="545"/>
      <c r="AX29" s="530"/>
      <c r="BB29" s="551"/>
      <c r="BC29" s="551"/>
      <c r="BD29" s="551"/>
      <c r="BE29" s="551"/>
      <c r="BF29" s="551"/>
      <c r="BG29" s="551"/>
      <c r="BH29" s="551"/>
      <c r="BI29" s="551"/>
      <c r="BJ29" s="558"/>
      <c r="BK29" s="559"/>
      <c r="BL29" s="558"/>
    </row>
    <row r="30" spans="1:88" ht="15" customHeight="1">
      <c r="W30" s="529"/>
      <c r="AI30" s="1787"/>
      <c r="AJ30" s="1788"/>
      <c r="AK30" s="1788"/>
      <c r="AL30" s="1788"/>
      <c r="AW30" s="545"/>
      <c r="AX30" s="530"/>
      <c r="BB30" s="551"/>
      <c r="BC30" s="551"/>
      <c r="BD30" s="551"/>
      <c r="BE30" s="551"/>
      <c r="BF30" s="551"/>
      <c r="BG30" s="551"/>
      <c r="BH30" s="551"/>
      <c r="BI30" s="551"/>
      <c r="BJ30" s="558"/>
      <c r="BK30" s="559"/>
      <c r="BL30" s="558"/>
    </row>
    <row r="31" spans="1:88" ht="15" customHeight="1">
      <c r="W31" s="529"/>
      <c r="X31" s="308"/>
      <c r="AW31" s="545"/>
      <c r="AX31" s="530"/>
      <c r="BB31" s="551"/>
      <c r="BC31" s="551"/>
      <c r="BD31" s="551"/>
      <c r="BE31" s="551"/>
      <c r="BF31" s="551"/>
      <c r="BG31" s="551"/>
      <c r="BH31" s="551"/>
      <c r="BI31" s="551"/>
      <c r="BJ31" s="558"/>
      <c r="BK31" s="559"/>
      <c r="BL31" s="558"/>
    </row>
    <row r="32" spans="1:88" ht="15" customHeight="1">
      <c r="A32" s="604"/>
      <c r="B32" s="604"/>
      <c r="C32" s="604"/>
      <c r="D32" s="604"/>
      <c r="E32" s="604"/>
      <c r="F32" s="604"/>
      <c r="G32" s="604"/>
      <c r="H32" s="604"/>
      <c r="I32" s="604"/>
      <c r="J32" s="604"/>
      <c r="K32" s="604"/>
      <c r="L32" s="604"/>
      <c r="M32" s="604"/>
      <c r="N32" s="604"/>
      <c r="O32" s="604"/>
      <c r="P32" s="604"/>
      <c r="Q32" s="604"/>
      <c r="R32" s="604"/>
      <c r="S32" s="604"/>
      <c r="T32" s="604"/>
      <c r="U32" s="604"/>
      <c r="V32" s="604"/>
      <c r="W32" s="604"/>
      <c r="X32" s="604"/>
      <c r="Y32" s="604"/>
      <c r="Z32" s="604"/>
      <c r="AA32" s="604"/>
      <c r="AB32" s="604"/>
      <c r="AC32" s="604"/>
      <c r="AD32" s="604"/>
      <c r="AE32" s="604"/>
      <c r="AF32" s="604"/>
      <c r="AG32" s="604"/>
      <c r="AH32" s="604"/>
      <c r="AI32" s="604"/>
      <c r="AJ32" s="604"/>
      <c r="AK32" s="604"/>
      <c r="AL32" s="604"/>
      <c r="AM32" s="605"/>
      <c r="AN32" s="605"/>
      <c r="AO32" s="605"/>
      <c r="AP32" s="605"/>
      <c r="AQ32" s="605"/>
      <c r="AR32" s="605"/>
      <c r="AS32" s="605"/>
      <c r="AT32" s="605"/>
      <c r="AU32" s="605"/>
      <c r="AV32" s="605"/>
      <c r="AW32" s="605"/>
      <c r="AX32" s="605"/>
      <c r="AY32" s="605"/>
      <c r="AZ32" s="605"/>
      <c r="BA32" s="605"/>
      <c r="BB32" s="605"/>
      <c r="BC32" s="605"/>
      <c r="BD32" s="605"/>
      <c r="BE32" s="605"/>
      <c r="BF32" s="605"/>
      <c r="BG32" s="605"/>
      <c r="BH32" s="605"/>
      <c r="BI32" s="605"/>
      <c r="BJ32" s="605"/>
      <c r="BK32" s="605"/>
      <c r="BL32" s="605"/>
      <c r="BM32" s="605"/>
      <c r="BN32" s="605"/>
      <c r="BO32" s="605"/>
      <c r="BP32" s="605"/>
      <c r="BQ32" s="605"/>
      <c r="BR32" s="605"/>
      <c r="BS32" s="605"/>
      <c r="BT32" s="605"/>
      <c r="BU32" s="605"/>
      <c r="BV32" s="605"/>
    </row>
    <row r="33" spans="1:88" ht="15" customHeight="1">
      <c r="BB33" s="551"/>
      <c r="BC33" s="551"/>
      <c r="BD33" s="551"/>
      <c r="BE33" s="551"/>
      <c r="BF33" s="551"/>
      <c r="BG33" s="551"/>
      <c r="BH33" s="551"/>
      <c r="BI33" s="551"/>
      <c r="BJ33" s="558"/>
      <c r="BK33" s="559"/>
      <c r="BL33" s="558"/>
    </row>
    <row r="34" spans="1:88" ht="15" customHeight="1">
      <c r="AY34" s="308"/>
      <c r="AZ34" s="308"/>
      <c r="BB34" s="551"/>
      <c r="BC34" s="551"/>
      <c r="BD34" s="551"/>
      <c r="BE34" s="551"/>
      <c r="BF34" s="551"/>
      <c r="BG34" s="551"/>
      <c r="BH34" s="551"/>
      <c r="BI34" s="551"/>
      <c r="BJ34" s="558"/>
      <c r="BK34" s="559"/>
      <c r="BL34" s="558"/>
    </row>
    <row r="35" spans="1:88" ht="15" customHeight="1">
      <c r="AY35" s="308"/>
      <c r="AZ35" s="308"/>
      <c r="BB35" s="551"/>
      <c r="BC35" s="551"/>
      <c r="BD35" s="551"/>
      <c r="BE35" s="551"/>
      <c r="BF35" s="551"/>
      <c r="BG35" s="551"/>
      <c r="BH35" s="551"/>
      <c r="BI35" s="551"/>
      <c r="BJ35" s="558"/>
      <c r="BK35" s="559"/>
      <c r="BL35" s="558"/>
    </row>
    <row r="36" spans="1:88" ht="15" customHeight="1">
      <c r="AY36" s="308"/>
      <c r="AZ36" s="308"/>
      <c r="BB36" s="551"/>
      <c r="BC36" s="551"/>
      <c r="BD36" s="551"/>
      <c r="BE36" s="551"/>
      <c r="BF36" s="551"/>
      <c r="BG36" s="551"/>
      <c r="BH36" s="551"/>
      <c r="BI36" s="551"/>
      <c r="BJ36" s="558"/>
      <c r="BK36" s="559"/>
      <c r="BL36" s="558"/>
    </row>
    <row r="37" spans="1:88" ht="15" customHeight="1">
      <c r="AY37" s="539"/>
      <c r="AZ37" s="539"/>
      <c r="BB37" s="551"/>
      <c r="BC37" s="551"/>
      <c r="BD37" s="551"/>
      <c r="BE37" s="551"/>
      <c r="BF37" s="551"/>
      <c r="BG37" s="551"/>
      <c r="BH37" s="551"/>
      <c r="BI37" s="551"/>
      <c r="BJ37" s="558"/>
      <c r="BK37" s="559"/>
      <c r="BL37" s="558"/>
    </row>
    <row r="38" spans="1:88" ht="15" customHeight="1">
      <c r="AY38" s="541"/>
      <c r="AZ38" s="541"/>
      <c r="BB38" s="551"/>
      <c r="BC38" s="551"/>
      <c r="BD38" s="551"/>
      <c r="BE38" s="551"/>
      <c r="BF38" s="551"/>
      <c r="BG38" s="551"/>
      <c r="BH38" s="551"/>
      <c r="BI38" s="551"/>
      <c r="BJ38" s="558"/>
      <c r="BK38" s="559"/>
      <c r="BL38" s="558"/>
    </row>
    <row r="39" spans="1:88" ht="15" customHeight="1">
      <c r="AY39" s="542"/>
      <c r="AZ39" s="542"/>
      <c r="BB39" s="551"/>
      <c r="BC39" s="551"/>
      <c r="BD39" s="551"/>
      <c r="BE39" s="551"/>
      <c r="BF39" s="551"/>
      <c r="BG39" s="551"/>
      <c r="BH39" s="551"/>
      <c r="BI39" s="551"/>
      <c r="BJ39" s="558"/>
      <c r="BK39" s="559"/>
      <c r="BL39" s="558"/>
    </row>
    <row r="40" spans="1:88" ht="15" customHeight="1">
      <c r="AY40" s="542"/>
      <c r="AZ40" s="542"/>
      <c r="BB40" s="551"/>
      <c r="BC40" s="551"/>
      <c r="BD40" s="551"/>
      <c r="BE40" s="551"/>
      <c r="BF40" s="551"/>
      <c r="BG40" s="551"/>
      <c r="BH40" s="551"/>
      <c r="BI40" s="551"/>
      <c r="BJ40" s="558"/>
      <c r="BK40" s="559"/>
      <c r="BL40" s="558"/>
    </row>
    <row r="41" spans="1:88" ht="15" customHeight="1">
      <c r="AY41" s="542"/>
      <c r="AZ41" s="542"/>
      <c r="BB41" s="551"/>
      <c r="BC41" s="551"/>
      <c r="BD41" s="551"/>
      <c r="BE41" s="551"/>
      <c r="BF41" s="551"/>
      <c r="BG41" s="551"/>
      <c r="BH41" s="551"/>
      <c r="BI41" s="551"/>
      <c r="BJ41" s="558"/>
      <c r="BK41" s="559"/>
      <c r="BL41" s="558"/>
    </row>
    <row r="42" spans="1:88" ht="15" customHeight="1">
      <c r="AY42" s="542"/>
      <c r="AZ42" s="542"/>
      <c r="BB42" s="551"/>
      <c r="BC42" s="551"/>
      <c r="BD42" s="551"/>
      <c r="BE42" s="551"/>
      <c r="BF42" s="551"/>
      <c r="BG42" s="551"/>
      <c r="BH42" s="551"/>
      <c r="BI42" s="551"/>
      <c r="BJ42" s="308"/>
      <c r="BK42" s="308"/>
      <c r="BL42" s="308"/>
      <c r="BM42" s="308"/>
      <c r="BN42" s="308"/>
      <c r="BO42" s="308"/>
    </row>
    <row r="43" spans="1:88" s="533" customFormat="1" ht="15" customHeight="1">
      <c r="A43" s="528"/>
      <c r="B43" s="528"/>
      <c r="C43" s="528"/>
      <c r="D43" s="528"/>
      <c r="E43" s="528"/>
      <c r="F43" s="528"/>
      <c r="G43" s="528"/>
      <c r="H43" s="528"/>
      <c r="I43" s="528"/>
      <c r="J43" s="528"/>
      <c r="K43" s="528"/>
      <c r="L43" s="528"/>
      <c r="M43" s="528"/>
      <c r="N43" s="528"/>
      <c r="O43" s="528"/>
      <c r="P43" s="528"/>
      <c r="Q43" s="528"/>
      <c r="R43" s="528"/>
      <c r="S43" s="528"/>
      <c r="T43" s="528"/>
      <c r="U43" s="528"/>
      <c r="V43" s="528"/>
      <c r="W43" s="528"/>
      <c r="X43" s="528"/>
      <c r="Y43" s="528"/>
      <c r="Z43" s="528"/>
      <c r="AA43" s="528"/>
      <c r="AB43" s="528"/>
      <c r="AC43" s="528"/>
      <c r="AD43" s="528"/>
      <c r="AE43" s="528"/>
      <c r="AF43" s="528"/>
      <c r="AG43" s="528"/>
      <c r="AH43" s="528"/>
      <c r="AI43" s="528"/>
      <c r="AJ43" s="528"/>
      <c r="AK43" s="528"/>
      <c r="AL43" s="528"/>
      <c r="AM43" s="529"/>
      <c r="AN43" s="529"/>
      <c r="AO43" s="529"/>
      <c r="AP43" s="529"/>
      <c r="AQ43" s="529"/>
      <c r="AR43" s="529"/>
      <c r="AS43" s="529"/>
      <c r="AT43" s="529"/>
      <c r="AU43" s="529"/>
      <c r="AV43" s="529"/>
      <c r="AW43" s="529"/>
      <c r="AX43" s="529"/>
      <c r="AY43" s="544"/>
      <c r="AZ43" s="544"/>
      <c r="BA43" s="529"/>
      <c r="BB43" s="551"/>
      <c r="BC43" s="551"/>
      <c r="BD43" s="551"/>
      <c r="BE43" s="551"/>
      <c r="BF43" s="551"/>
      <c r="BG43" s="551"/>
      <c r="BH43" s="551"/>
      <c r="BI43" s="551"/>
      <c r="BJ43" s="308"/>
      <c r="BK43" s="308"/>
      <c r="BL43" s="308"/>
      <c r="BM43" s="308"/>
      <c r="BN43" s="308"/>
      <c r="BO43" s="308"/>
      <c r="BP43" s="308"/>
      <c r="BQ43" s="308"/>
      <c r="BR43" s="308"/>
      <c r="BS43" s="308"/>
      <c r="BT43" s="308"/>
      <c r="BU43" s="308"/>
      <c r="BV43" s="579"/>
      <c r="BW43" s="308"/>
      <c r="BX43" s="308"/>
      <c r="BY43" s="308"/>
      <c r="BZ43" s="308"/>
      <c r="CA43" s="308"/>
      <c r="CB43" s="308"/>
      <c r="CC43" s="308"/>
      <c r="CD43" s="308"/>
      <c r="CE43" s="308"/>
      <c r="CF43" s="308"/>
      <c r="CG43" s="308"/>
      <c r="CH43" s="528"/>
      <c r="CI43" s="528"/>
      <c r="CJ43" s="528"/>
    </row>
    <row r="44" spans="1:88" s="533" customFormat="1" ht="15" customHeight="1">
      <c r="A44" s="528"/>
      <c r="B44" s="528"/>
      <c r="C44" s="528"/>
      <c r="D44" s="528"/>
      <c r="E44" s="528"/>
      <c r="F44" s="528"/>
      <c r="G44" s="528"/>
      <c r="H44" s="528"/>
      <c r="I44" s="528"/>
      <c r="J44" s="528"/>
      <c r="K44" s="528"/>
      <c r="L44" s="528"/>
      <c r="M44" s="528"/>
      <c r="N44" s="528"/>
      <c r="O44" s="528"/>
      <c r="P44" s="528"/>
      <c r="Q44" s="528"/>
      <c r="R44" s="528"/>
      <c r="S44" s="528"/>
      <c r="T44" s="528"/>
      <c r="U44" s="528"/>
      <c r="V44" s="528"/>
      <c r="W44" s="528"/>
      <c r="X44" s="528"/>
      <c r="Y44" s="528"/>
      <c r="Z44" s="528"/>
      <c r="AA44" s="528"/>
      <c r="AB44" s="528"/>
      <c r="AC44" s="528"/>
      <c r="AD44" s="528"/>
      <c r="AE44" s="528"/>
      <c r="AF44" s="528"/>
      <c r="AG44" s="528"/>
      <c r="AH44" s="528"/>
      <c r="AI44" s="528"/>
      <c r="AJ44" s="528"/>
      <c r="AK44" s="528"/>
      <c r="AL44" s="528"/>
      <c r="AM44" s="529"/>
      <c r="AN44" s="529"/>
      <c r="AO44" s="529"/>
      <c r="AP44" s="529"/>
      <c r="AQ44" s="529"/>
      <c r="AR44" s="529"/>
      <c r="AS44" s="529"/>
      <c r="AT44" s="529"/>
      <c r="AU44" s="529"/>
      <c r="AV44" s="529"/>
      <c r="AW44" s="529"/>
      <c r="AX44" s="529"/>
      <c r="AY44" s="545"/>
      <c r="AZ44" s="545"/>
      <c r="BA44" s="529"/>
      <c r="BB44" s="551"/>
      <c r="BC44" s="551"/>
      <c r="BD44" s="551"/>
      <c r="BE44" s="551"/>
      <c r="BF44" s="551"/>
      <c r="BG44" s="551"/>
      <c r="BH44" s="551"/>
      <c r="BI44" s="551"/>
      <c r="BJ44" s="308"/>
      <c r="BK44" s="308"/>
      <c r="BL44" s="308"/>
      <c r="BM44" s="308"/>
      <c r="BN44" s="308"/>
      <c r="BO44" s="308"/>
      <c r="BP44" s="308"/>
      <c r="BQ44" s="308"/>
      <c r="BR44" s="308"/>
      <c r="BS44" s="308"/>
      <c r="BT44" s="308"/>
      <c r="BU44" s="308"/>
      <c r="BV44" s="579"/>
      <c r="BW44" s="308"/>
      <c r="BX44" s="308"/>
      <c r="BY44" s="308"/>
      <c r="BZ44" s="308"/>
      <c r="CA44" s="308"/>
      <c r="CB44" s="308"/>
      <c r="CC44" s="308"/>
      <c r="CD44" s="308"/>
      <c r="CE44" s="308"/>
      <c r="CF44" s="308"/>
      <c r="CG44" s="308"/>
      <c r="CH44" s="528"/>
      <c r="CI44" s="528"/>
      <c r="CJ44" s="528"/>
    </row>
    <row r="45" spans="1:88" s="536" customFormat="1" ht="15" customHeight="1">
      <c r="A45" s="528"/>
      <c r="B45" s="528"/>
      <c r="C45" s="528"/>
      <c r="D45" s="528"/>
      <c r="E45" s="528"/>
      <c r="F45" s="528"/>
      <c r="G45" s="528"/>
      <c r="H45" s="528"/>
      <c r="I45" s="528"/>
      <c r="J45" s="528"/>
      <c r="K45" s="528"/>
      <c r="L45" s="528"/>
      <c r="M45" s="528"/>
      <c r="N45" s="528"/>
      <c r="O45" s="528"/>
      <c r="P45" s="528"/>
      <c r="Q45" s="528"/>
      <c r="R45" s="528"/>
      <c r="S45" s="528"/>
      <c r="T45" s="528"/>
      <c r="U45" s="528"/>
      <c r="V45" s="528"/>
      <c r="W45" s="528"/>
      <c r="X45" s="528"/>
      <c r="Y45" s="528"/>
      <c r="Z45" s="528"/>
      <c r="AA45" s="528"/>
      <c r="AB45" s="528"/>
      <c r="AC45" s="528"/>
      <c r="AD45" s="528"/>
      <c r="AE45" s="528"/>
      <c r="AF45" s="528"/>
      <c r="AG45" s="528"/>
      <c r="AH45" s="528"/>
      <c r="AI45" s="528"/>
      <c r="AJ45" s="528"/>
      <c r="AK45" s="528"/>
      <c r="AL45" s="528"/>
      <c r="AM45" s="529"/>
      <c r="AN45" s="529"/>
      <c r="AO45" s="529"/>
      <c r="AP45" s="529"/>
      <c r="AQ45" s="529"/>
      <c r="AR45" s="529"/>
      <c r="AS45" s="529"/>
      <c r="AT45" s="529"/>
      <c r="AU45" s="529"/>
      <c r="AV45" s="529"/>
      <c r="AW45" s="529"/>
      <c r="AX45" s="529"/>
      <c r="AY45" s="545"/>
      <c r="AZ45" s="545"/>
      <c r="BA45" s="529"/>
      <c r="BB45" s="551"/>
      <c r="BC45" s="551"/>
      <c r="BD45" s="551"/>
      <c r="BE45" s="551"/>
      <c r="BF45" s="551"/>
      <c r="BG45" s="551"/>
      <c r="BH45" s="551"/>
      <c r="BI45" s="551"/>
      <c r="BJ45" s="308"/>
      <c r="BK45" s="308"/>
      <c r="BL45" s="308"/>
      <c r="BM45" s="308"/>
      <c r="BN45" s="308"/>
      <c r="BO45" s="308"/>
      <c r="BP45" s="308"/>
      <c r="BQ45" s="308"/>
      <c r="BR45" s="308"/>
      <c r="BS45" s="308"/>
      <c r="BT45" s="308"/>
      <c r="BU45" s="308"/>
      <c r="BV45" s="579"/>
      <c r="BW45" s="308"/>
      <c r="BX45" s="308"/>
      <c r="BY45" s="308"/>
      <c r="BZ45" s="308"/>
      <c r="CA45" s="308"/>
      <c r="CB45" s="308"/>
      <c r="CC45" s="308"/>
      <c r="CD45" s="308"/>
      <c r="CE45" s="308"/>
      <c r="CF45" s="308"/>
      <c r="CG45" s="308"/>
      <c r="CH45" s="528"/>
      <c r="CI45" s="528"/>
      <c r="CJ45" s="528"/>
    </row>
    <row r="46" spans="1:88" s="537" customFormat="1" ht="15" customHeight="1">
      <c r="A46" s="528"/>
      <c r="B46" s="528"/>
      <c r="C46" s="528"/>
      <c r="D46" s="528"/>
      <c r="E46" s="528"/>
      <c r="F46" s="528"/>
      <c r="G46" s="528"/>
      <c r="H46" s="528"/>
      <c r="I46" s="528"/>
      <c r="J46" s="528"/>
      <c r="K46" s="528"/>
      <c r="L46" s="528"/>
      <c r="M46" s="528"/>
      <c r="N46" s="528"/>
      <c r="O46" s="528"/>
      <c r="P46" s="528"/>
      <c r="Q46" s="528"/>
      <c r="R46" s="528"/>
      <c r="S46" s="528"/>
      <c r="T46" s="528"/>
      <c r="U46" s="528"/>
      <c r="V46" s="528"/>
      <c r="W46" s="528"/>
      <c r="X46" s="528"/>
      <c r="Y46" s="528"/>
      <c r="Z46" s="528"/>
      <c r="AA46" s="528"/>
      <c r="AB46" s="528"/>
      <c r="AC46" s="528"/>
      <c r="AD46" s="528"/>
      <c r="AE46" s="528"/>
      <c r="AF46" s="528"/>
      <c r="AG46" s="528"/>
      <c r="AH46" s="528"/>
      <c r="AI46" s="528"/>
      <c r="AJ46" s="528"/>
      <c r="AK46" s="528"/>
      <c r="AL46" s="528"/>
      <c r="AM46" s="529"/>
      <c r="AN46" s="529"/>
      <c r="AO46" s="529"/>
      <c r="AP46" s="529"/>
      <c r="AQ46" s="529"/>
      <c r="AR46" s="529"/>
      <c r="AS46" s="529"/>
      <c r="AT46" s="529"/>
      <c r="AU46" s="529"/>
      <c r="AV46" s="529"/>
      <c r="AW46" s="529"/>
      <c r="AX46" s="529"/>
      <c r="AY46" s="545"/>
      <c r="AZ46" s="545"/>
      <c r="BA46" s="529"/>
      <c r="BB46" s="551"/>
      <c r="BC46" s="551"/>
      <c r="BD46" s="551"/>
      <c r="BE46" s="551"/>
      <c r="BF46" s="551"/>
      <c r="BG46" s="551"/>
      <c r="BH46" s="551"/>
      <c r="BI46" s="551"/>
      <c r="BJ46" s="308"/>
      <c r="BK46" s="308"/>
      <c r="BL46" s="308"/>
      <c r="BM46" s="308"/>
      <c r="BN46" s="308"/>
      <c r="BO46" s="308"/>
      <c r="BP46" s="308"/>
      <c r="BQ46" s="308"/>
      <c r="BR46" s="308"/>
      <c r="BS46" s="308"/>
      <c r="BT46" s="308"/>
      <c r="BU46" s="308"/>
      <c r="BV46" s="579"/>
      <c r="BW46" s="308"/>
      <c r="BX46" s="308"/>
      <c r="BY46" s="308"/>
      <c r="BZ46" s="308"/>
      <c r="CA46" s="308"/>
      <c r="CB46" s="308"/>
      <c r="CC46" s="308"/>
      <c r="CD46" s="308"/>
      <c r="CE46" s="308"/>
      <c r="CF46" s="308"/>
      <c r="CG46" s="308"/>
      <c r="CH46" s="540"/>
      <c r="CI46" s="540"/>
      <c r="CJ46" s="540"/>
    </row>
    <row r="47" spans="1:88" s="538" customFormat="1" ht="15" customHeight="1">
      <c r="A47" s="528"/>
      <c r="B47" s="528"/>
      <c r="C47" s="528"/>
      <c r="D47" s="528"/>
      <c r="E47" s="528"/>
      <c r="F47" s="528"/>
      <c r="G47" s="528"/>
      <c r="H47" s="528"/>
      <c r="I47" s="528"/>
      <c r="J47" s="528"/>
      <c r="K47" s="528"/>
      <c r="L47" s="528"/>
      <c r="M47" s="528"/>
      <c r="N47" s="528"/>
      <c r="O47" s="528"/>
      <c r="P47" s="528"/>
      <c r="Q47" s="528"/>
      <c r="R47" s="528"/>
      <c r="S47" s="528"/>
      <c r="T47" s="528"/>
      <c r="U47" s="528"/>
      <c r="V47" s="528"/>
      <c r="W47" s="528"/>
      <c r="X47" s="528"/>
      <c r="Y47" s="528"/>
      <c r="Z47" s="528"/>
      <c r="AA47" s="528"/>
      <c r="AB47" s="528"/>
      <c r="AC47" s="528"/>
      <c r="AD47" s="528"/>
      <c r="AE47" s="528"/>
      <c r="AF47" s="528"/>
      <c r="AG47" s="528"/>
      <c r="AH47" s="528"/>
      <c r="AI47" s="528"/>
      <c r="AJ47" s="528"/>
      <c r="AK47" s="528"/>
      <c r="AL47" s="528"/>
      <c r="AM47" s="529"/>
      <c r="AN47" s="529"/>
      <c r="AO47" s="529"/>
      <c r="AP47" s="529"/>
      <c r="AQ47" s="529"/>
      <c r="AR47" s="529"/>
      <c r="AS47" s="529"/>
      <c r="AT47" s="529"/>
      <c r="AU47" s="529"/>
      <c r="AV47" s="529"/>
      <c r="AW47" s="529"/>
      <c r="AX47" s="529"/>
      <c r="AY47" s="545"/>
      <c r="AZ47" s="545"/>
      <c r="BA47" s="529"/>
      <c r="BB47" s="551"/>
      <c r="BC47" s="551"/>
      <c r="BD47" s="551"/>
      <c r="BE47" s="551"/>
      <c r="BF47" s="551"/>
      <c r="BG47" s="551"/>
      <c r="BH47" s="551"/>
      <c r="BI47" s="551"/>
      <c r="BJ47" s="308"/>
      <c r="BK47" s="308"/>
      <c r="BL47" s="308"/>
      <c r="BM47" s="308"/>
      <c r="BN47" s="308"/>
      <c r="BO47" s="308"/>
      <c r="BP47" s="308"/>
      <c r="BQ47" s="308"/>
      <c r="BR47" s="308"/>
      <c r="BS47" s="308"/>
      <c r="BT47" s="308"/>
      <c r="BU47" s="308"/>
      <c r="BV47" s="579"/>
      <c r="BW47" s="308"/>
      <c r="BX47" s="308"/>
      <c r="BY47" s="308"/>
      <c r="BZ47" s="308"/>
      <c r="CA47" s="308"/>
      <c r="CB47" s="308"/>
      <c r="CC47" s="308"/>
      <c r="CD47" s="308"/>
      <c r="CE47" s="308"/>
      <c r="CF47" s="308"/>
      <c r="CG47" s="308"/>
      <c r="CH47" s="540"/>
      <c r="CI47" s="540"/>
      <c r="CJ47" s="540"/>
    </row>
    <row r="48" spans="1:88" s="536" customFormat="1" ht="15" customHeight="1">
      <c r="A48" s="528"/>
      <c r="B48" s="528"/>
      <c r="C48" s="528"/>
      <c r="D48" s="528"/>
      <c r="E48" s="528"/>
      <c r="F48" s="528"/>
      <c r="G48" s="528"/>
      <c r="H48" s="528"/>
      <c r="I48" s="528"/>
      <c r="J48" s="528"/>
      <c r="K48" s="528"/>
      <c r="L48" s="528"/>
      <c r="M48" s="528"/>
      <c r="N48" s="528"/>
      <c r="O48" s="528"/>
      <c r="P48" s="528"/>
      <c r="Q48" s="528"/>
      <c r="R48" s="528"/>
      <c r="S48" s="528"/>
      <c r="T48" s="528"/>
      <c r="U48" s="528"/>
      <c r="V48" s="528"/>
      <c r="W48" s="528"/>
      <c r="X48" s="528"/>
      <c r="Y48" s="528"/>
      <c r="Z48" s="528"/>
      <c r="AA48" s="528"/>
      <c r="AB48" s="528"/>
      <c r="AC48" s="528"/>
      <c r="AD48" s="528"/>
      <c r="AE48" s="528"/>
      <c r="AF48" s="528"/>
      <c r="AG48" s="528"/>
      <c r="AH48" s="528"/>
      <c r="AI48" s="528"/>
      <c r="AJ48" s="528"/>
      <c r="AK48" s="528"/>
      <c r="AL48" s="528"/>
      <c r="AM48" s="529"/>
      <c r="AN48" s="529"/>
      <c r="AO48" s="529"/>
      <c r="AP48" s="529"/>
      <c r="AQ48" s="529"/>
      <c r="AR48" s="529"/>
      <c r="AS48" s="529"/>
      <c r="AT48" s="529"/>
      <c r="AU48" s="529"/>
      <c r="AV48" s="529"/>
      <c r="AW48" s="529"/>
      <c r="AX48" s="529"/>
      <c r="AY48" s="545"/>
      <c r="AZ48" s="545"/>
      <c r="BA48" s="529"/>
      <c r="BB48" s="551"/>
      <c r="BC48" s="551"/>
      <c r="BD48" s="551"/>
      <c r="BE48" s="551"/>
      <c r="BF48" s="551"/>
      <c r="BG48" s="551"/>
      <c r="BH48" s="551"/>
      <c r="BI48" s="551"/>
      <c r="BJ48" s="308"/>
      <c r="BK48" s="308"/>
      <c r="BL48" s="308"/>
      <c r="BM48" s="308"/>
      <c r="BN48" s="308"/>
      <c r="BO48" s="308"/>
      <c r="BP48" s="308"/>
      <c r="BQ48" s="308"/>
      <c r="BR48" s="308"/>
      <c r="BS48" s="308"/>
      <c r="BT48" s="308"/>
      <c r="BU48" s="308"/>
      <c r="BV48" s="579"/>
      <c r="BW48" s="308"/>
      <c r="BX48" s="308"/>
      <c r="BY48" s="308"/>
      <c r="BZ48" s="308"/>
      <c r="CA48" s="308"/>
      <c r="CB48" s="308"/>
      <c r="CC48" s="308"/>
      <c r="CD48" s="308"/>
      <c r="CE48" s="308"/>
      <c r="CF48" s="308"/>
      <c r="CG48" s="308"/>
      <c r="CH48" s="528"/>
      <c r="CI48" s="528"/>
      <c r="CJ48" s="528"/>
    </row>
    <row r="49" spans="1:88" s="536" customFormat="1" ht="15" customHeight="1">
      <c r="A49" s="528"/>
      <c r="B49" s="528"/>
      <c r="C49" s="528"/>
      <c r="D49" s="528"/>
      <c r="E49" s="528"/>
      <c r="F49" s="528"/>
      <c r="G49" s="528"/>
      <c r="H49" s="528"/>
      <c r="I49" s="528"/>
      <c r="J49" s="528"/>
      <c r="K49" s="528"/>
      <c r="L49" s="528"/>
      <c r="M49" s="528"/>
      <c r="N49" s="528"/>
      <c r="O49" s="528"/>
      <c r="P49" s="528"/>
      <c r="Q49" s="528"/>
      <c r="R49" s="528"/>
      <c r="S49" s="528"/>
      <c r="T49" s="528"/>
      <c r="U49" s="528"/>
      <c r="V49" s="528"/>
      <c r="W49" s="528"/>
      <c r="X49" s="528"/>
      <c r="Y49" s="528"/>
      <c r="Z49" s="528"/>
      <c r="AA49" s="528"/>
      <c r="AB49" s="528"/>
      <c r="AC49" s="528"/>
      <c r="AD49" s="528"/>
      <c r="AE49" s="528"/>
      <c r="AF49" s="528"/>
      <c r="AG49" s="528"/>
      <c r="AH49" s="528"/>
      <c r="AI49" s="528"/>
      <c r="AJ49" s="528"/>
      <c r="AK49" s="528"/>
      <c r="AL49" s="528"/>
      <c r="AM49" s="529"/>
      <c r="AN49" s="529"/>
      <c r="AO49" s="529"/>
      <c r="AP49" s="529"/>
      <c r="AQ49" s="529"/>
      <c r="AR49" s="529"/>
      <c r="AS49" s="529"/>
      <c r="AT49" s="529"/>
      <c r="AU49" s="529"/>
      <c r="AV49" s="529"/>
      <c r="AW49" s="529"/>
      <c r="AX49" s="529"/>
      <c r="AY49" s="545"/>
      <c r="AZ49" s="545"/>
      <c r="BA49" s="529"/>
      <c r="BB49" s="551"/>
      <c r="BC49" s="551"/>
      <c r="BD49" s="551"/>
      <c r="BE49" s="551"/>
      <c r="BF49" s="551"/>
      <c r="BG49" s="551"/>
      <c r="BH49" s="551"/>
      <c r="BI49" s="551"/>
      <c r="BJ49" s="308"/>
      <c r="BK49" s="308"/>
      <c r="BL49" s="308"/>
      <c r="BM49" s="308"/>
      <c r="BN49" s="308"/>
      <c r="BO49" s="308"/>
      <c r="BP49" s="308"/>
      <c r="BQ49" s="308"/>
      <c r="BR49" s="308"/>
      <c r="BS49" s="308"/>
      <c r="BT49" s="308"/>
      <c r="BU49" s="308"/>
      <c r="BV49" s="579"/>
      <c r="BW49" s="308"/>
      <c r="BX49" s="308"/>
      <c r="BY49" s="308"/>
      <c r="BZ49" s="308"/>
      <c r="CA49" s="308"/>
      <c r="CB49" s="308"/>
      <c r="CC49" s="308"/>
      <c r="CD49" s="308"/>
      <c r="CE49" s="308"/>
      <c r="CF49" s="308"/>
      <c r="CG49" s="308"/>
      <c r="CH49" s="528"/>
      <c r="CI49" s="528"/>
      <c r="CJ49" s="528"/>
    </row>
    <row r="50" spans="1:88" s="536" customFormat="1" ht="15" customHeight="1">
      <c r="A50" s="528"/>
      <c r="B50" s="528"/>
      <c r="C50" s="528"/>
      <c r="D50" s="528"/>
      <c r="E50" s="528"/>
      <c r="F50" s="528"/>
      <c r="G50" s="528"/>
      <c r="H50" s="528"/>
      <c r="I50" s="528"/>
      <c r="J50" s="528"/>
      <c r="K50" s="528"/>
      <c r="L50" s="528"/>
      <c r="M50" s="528"/>
      <c r="N50" s="528"/>
      <c r="O50" s="528"/>
      <c r="P50" s="528"/>
      <c r="Q50" s="528"/>
      <c r="R50" s="528"/>
      <c r="S50" s="528"/>
      <c r="T50" s="528"/>
      <c r="U50" s="528"/>
      <c r="V50" s="528"/>
      <c r="W50" s="528"/>
      <c r="X50" s="528"/>
      <c r="Y50" s="528"/>
      <c r="Z50" s="528"/>
      <c r="AA50" s="528"/>
      <c r="AB50" s="528"/>
      <c r="AC50" s="528"/>
      <c r="AD50" s="528"/>
      <c r="AE50" s="528"/>
      <c r="AF50" s="528"/>
      <c r="AG50" s="528"/>
      <c r="AH50" s="528"/>
      <c r="AI50" s="528"/>
      <c r="AJ50" s="528"/>
      <c r="AK50" s="528"/>
      <c r="AL50" s="528"/>
      <c r="AM50" s="529"/>
      <c r="AN50" s="529"/>
      <c r="AO50" s="529"/>
      <c r="AP50" s="529"/>
      <c r="AQ50" s="529"/>
      <c r="AR50" s="529"/>
      <c r="AS50" s="529"/>
      <c r="AT50" s="529"/>
      <c r="AU50" s="529"/>
      <c r="AV50" s="529"/>
      <c r="AW50" s="529"/>
      <c r="AX50" s="529"/>
      <c r="AY50" s="547"/>
      <c r="AZ50" s="547"/>
      <c r="BA50" s="529"/>
      <c r="BB50" s="551"/>
      <c r="BC50" s="551"/>
      <c r="BD50" s="551"/>
      <c r="BE50" s="551"/>
      <c r="BF50" s="551"/>
      <c r="BG50" s="551"/>
      <c r="BH50" s="551"/>
      <c r="BI50" s="551"/>
      <c r="BJ50" s="308"/>
      <c r="BK50" s="308"/>
      <c r="BL50" s="308"/>
      <c r="BM50" s="308"/>
      <c r="BN50" s="308"/>
      <c r="BO50" s="308"/>
      <c r="BP50" s="308"/>
      <c r="BQ50" s="308"/>
      <c r="BR50" s="308"/>
      <c r="BS50" s="308"/>
      <c r="BT50" s="308"/>
      <c r="BU50" s="308"/>
      <c r="BV50" s="579"/>
      <c r="BW50" s="308"/>
      <c r="BX50" s="308"/>
      <c r="BY50" s="308"/>
      <c r="BZ50" s="308"/>
      <c r="CA50" s="308"/>
      <c r="CB50" s="308"/>
      <c r="CC50" s="308"/>
      <c r="CD50" s="308"/>
      <c r="CE50" s="308"/>
      <c r="CF50" s="308"/>
      <c r="CG50" s="308"/>
      <c r="CH50" s="528"/>
      <c r="CI50" s="528"/>
      <c r="CJ50" s="528"/>
    </row>
    <row r="51" spans="1:88" s="536" customFormat="1" ht="15" customHeight="1">
      <c r="A51" s="528"/>
      <c r="B51" s="528"/>
      <c r="C51" s="528"/>
      <c r="D51" s="528"/>
      <c r="E51" s="528"/>
      <c r="F51" s="528"/>
      <c r="G51" s="528"/>
      <c r="H51" s="528"/>
      <c r="I51" s="528"/>
      <c r="J51" s="528"/>
      <c r="K51" s="528"/>
      <c r="L51" s="528"/>
      <c r="M51" s="528"/>
      <c r="N51" s="528"/>
      <c r="O51" s="528"/>
      <c r="P51" s="528"/>
      <c r="Q51" s="528"/>
      <c r="R51" s="528"/>
      <c r="S51" s="528"/>
      <c r="T51" s="528"/>
      <c r="U51" s="528"/>
      <c r="V51" s="528"/>
      <c r="W51" s="528"/>
      <c r="X51" s="528"/>
      <c r="Y51" s="528"/>
      <c r="Z51" s="528"/>
      <c r="AA51" s="528"/>
      <c r="AB51" s="528"/>
      <c r="AC51" s="528"/>
      <c r="AD51" s="528"/>
      <c r="AE51" s="528"/>
      <c r="AF51" s="528"/>
      <c r="AG51" s="528"/>
      <c r="AH51" s="528"/>
      <c r="AI51" s="528"/>
      <c r="AJ51" s="528"/>
      <c r="AK51" s="528"/>
      <c r="AL51" s="528"/>
      <c r="AM51" s="529"/>
      <c r="AN51" s="529"/>
      <c r="AO51" s="529"/>
      <c r="AP51" s="529"/>
      <c r="AQ51" s="529"/>
      <c r="AR51" s="529"/>
      <c r="AS51" s="529"/>
      <c r="AT51" s="529"/>
      <c r="AU51" s="529"/>
      <c r="AV51" s="529"/>
      <c r="AW51" s="529"/>
      <c r="AX51" s="529"/>
      <c r="AY51" s="547"/>
      <c r="AZ51" s="547"/>
      <c r="BA51" s="529"/>
      <c r="BB51" s="551"/>
      <c r="BC51" s="551"/>
      <c r="BD51" s="551"/>
      <c r="BE51" s="551"/>
      <c r="BF51" s="551"/>
      <c r="BG51" s="551"/>
      <c r="BH51" s="551"/>
      <c r="BI51" s="551"/>
      <c r="BJ51" s="308"/>
      <c r="BK51" s="308"/>
      <c r="BL51" s="308"/>
      <c r="BM51" s="308"/>
      <c r="BN51" s="308"/>
      <c r="BO51" s="308"/>
      <c r="BP51" s="308"/>
      <c r="BQ51" s="308"/>
      <c r="BR51" s="308"/>
      <c r="BS51" s="308"/>
      <c r="BT51" s="308"/>
      <c r="BU51" s="308"/>
      <c r="BV51" s="579"/>
      <c r="BW51" s="308"/>
      <c r="BX51" s="308"/>
      <c r="BY51" s="308"/>
      <c r="BZ51" s="308"/>
      <c r="CA51" s="308"/>
      <c r="CB51" s="308"/>
      <c r="CC51" s="308"/>
      <c r="CD51" s="308"/>
      <c r="CE51" s="308"/>
      <c r="CF51" s="308"/>
      <c r="CG51" s="308"/>
      <c r="CH51" s="528"/>
      <c r="CI51" s="528"/>
      <c r="CJ51" s="528"/>
    </row>
    <row r="52" spans="1:88" s="536" customFormat="1" ht="15" customHeight="1">
      <c r="A52" s="528"/>
      <c r="B52" s="528"/>
      <c r="C52" s="528"/>
      <c r="D52" s="528"/>
      <c r="E52" s="528"/>
      <c r="F52" s="528"/>
      <c r="G52" s="528"/>
      <c r="H52" s="528"/>
      <c r="I52" s="528"/>
      <c r="J52" s="528"/>
      <c r="K52" s="528"/>
      <c r="L52" s="528"/>
      <c r="M52" s="528"/>
      <c r="N52" s="528"/>
      <c r="O52" s="528"/>
      <c r="P52" s="528"/>
      <c r="Q52" s="528"/>
      <c r="R52" s="528"/>
      <c r="S52" s="528"/>
      <c r="T52" s="528"/>
      <c r="U52" s="528"/>
      <c r="V52" s="528"/>
      <c r="W52" s="528"/>
      <c r="X52" s="528"/>
      <c r="Y52" s="528"/>
      <c r="Z52" s="528"/>
      <c r="AA52" s="528"/>
      <c r="AB52" s="528"/>
      <c r="AC52" s="528"/>
      <c r="AD52" s="528"/>
      <c r="AE52" s="528"/>
      <c r="AF52" s="528"/>
      <c r="AG52" s="528"/>
      <c r="AH52" s="528"/>
      <c r="AI52" s="528"/>
      <c r="AJ52" s="528"/>
      <c r="AK52" s="528"/>
      <c r="AL52" s="528"/>
      <c r="AM52" s="529"/>
      <c r="AN52" s="529"/>
      <c r="AO52" s="529"/>
      <c r="AP52" s="529"/>
      <c r="AQ52" s="529"/>
      <c r="AR52" s="529"/>
      <c r="AS52" s="529"/>
      <c r="AT52" s="529"/>
      <c r="AU52" s="529"/>
      <c r="AV52" s="529"/>
      <c r="AW52" s="529"/>
      <c r="AX52" s="529"/>
      <c r="AY52" s="547"/>
      <c r="AZ52" s="547"/>
      <c r="BA52" s="529"/>
      <c r="BB52" s="551"/>
      <c r="BC52" s="551"/>
      <c r="BD52" s="551"/>
      <c r="BE52" s="551"/>
      <c r="BF52" s="551"/>
      <c r="BG52" s="551"/>
      <c r="BH52" s="551"/>
      <c r="BI52" s="551"/>
      <c r="BJ52" s="308"/>
      <c r="BK52" s="308"/>
      <c r="BL52" s="308"/>
      <c r="BM52" s="308"/>
      <c r="BN52" s="308"/>
      <c r="BO52" s="308"/>
      <c r="BP52" s="308"/>
      <c r="BQ52" s="308"/>
      <c r="BR52" s="308"/>
      <c r="BS52" s="308"/>
      <c r="BT52" s="308"/>
      <c r="BU52" s="308"/>
      <c r="BV52" s="579"/>
      <c r="BW52" s="308"/>
      <c r="BX52" s="308"/>
      <c r="BY52" s="308"/>
      <c r="BZ52" s="308"/>
      <c r="CA52" s="308"/>
      <c r="CB52" s="308"/>
      <c r="CC52" s="308"/>
      <c r="CD52" s="308"/>
      <c r="CE52" s="308"/>
      <c r="CF52" s="308"/>
      <c r="CG52" s="308"/>
      <c r="CH52" s="528"/>
      <c r="CI52" s="528"/>
      <c r="CJ52" s="528"/>
    </row>
    <row r="53" spans="1:88" s="536" customFormat="1" ht="15" customHeight="1">
      <c r="A53" s="528"/>
      <c r="B53" s="528"/>
      <c r="C53" s="528"/>
      <c r="D53" s="528"/>
      <c r="E53" s="528"/>
      <c r="F53" s="528"/>
      <c r="G53" s="528"/>
      <c r="H53" s="528"/>
      <c r="I53" s="528"/>
      <c r="J53" s="528"/>
      <c r="K53" s="528"/>
      <c r="L53" s="528"/>
      <c r="M53" s="528"/>
      <c r="N53" s="528"/>
      <c r="O53" s="528"/>
      <c r="P53" s="528"/>
      <c r="Q53" s="528"/>
      <c r="R53" s="528"/>
      <c r="S53" s="528"/>
      <c r="T53" s="528"/>
      <c r="U53" s="528"/>
      <c r="V53" s="528"/>
      <c r="W53" s="528"/>
      <c r="X53" s="528"/>
      <c r="Y53" s="528"/>
      <c r="Z53" s="528"/>
      <c r="AA53" s="528"/>
      <c r="AB53" s="528"/>
      <c r="AC53" s="528"/>
      <c r="AD53" s="528"/>
      <c r="AE53" s="528"/>
      <c r="AF53" s="528"/>
      <c r="AG53" s="528"/>
      <c r="AH53" s="528"/>
      <c r="AI53" s="528"/>
      <c r="AJ53" s="528"/>
      <c r="AK53" s="528"/>
      <c r="AL53" s="528"/>
      <c r="AM53" s="529"/>
      <c r="AN53" s="529"/>
      <c r="AO53" s="529"/>
      <c r="AP53" s="529"/>
      <c r="AQ53" s="529"/>
      <c r="AR53" s="529"/>
      <c r="AS53" s="529"/>
      <c r="AT53" s="529"/>
      <c r="AU53" s="529"/>
      <c r="AV53" s="529"/>
      <c r="AW53" s="529"/>
      <c r="AX53" s="529"/>
      <c r="AY53" s="547"/>
      <c r="AZ53" s="547"/>
      <c r="BA53" s="529"/>
      <c r="BB53" s="551"/>
      <c r="BC53" s="551"/>
      <c r="BD53" s="551"/>
      <c r="BE53" s="551"/>
      <c r="BF53" s="551"/>
      <c r="BG53" s="551"/>
      <c r="BH53" s="551"/>
      <c r="BI53" s="551"/>
      <c r="BJ53" s="308"/>
      <c r="BK53" s="308"/>
      <c r="BL53" s="308"/>
      <c r="BM53" s="308"/>
      <c r="BN53" s="308"/>
      <c r="BO53" s="308"/>
      <c r="BP53" s="308"/>
      <c r="BQ53" s="308"/>
      <c r="BR53" s="308"/>
      <c r="BS53" s="308"/>
      <c r="BT53" s="308"/>
      <c r="BU53" s="308"/>
      <c r="BV53" s="579"/>
      <c r="BW53" s="308"/>
      <c r="BX53" s="308"/>
      <c r="BY53" s="308"/>
      <c r="BZ53" s="308"/>
      <c r="CA53" s="308"/>
      <c r="CB53" s="308"/>
      <c r="CC53" s="308"/>
      <c r="CD53" s="308"/>
      <c r="CE53" s="308"/>
      <c r="CF53" s="308"/>
      <c r="CG53" s="308"/>
      <c r="CH53" s="528"/>
    </row>
    <row r="54" spans="1:88" s="533" customFormat="1" ht="15" customHeight="1">
      <c r="A54" s="528"/>
      <c r="B54" s="528"/>
      <c r="C54" s="528"/>
      <c r="D54" s="528"/>
      <c r="E54" s="528"/>
      <c r="F54" s="528"/>
      <c r="G54" s="528"/>
      <c r="H54" s="528"/>
      <c r="I54" s="528"/>
      <c r="J54" s="528"/>
      <c r="K54" s="528"/>
      <c r="L54" s="528"/>
      <c r="M54" s="528"/>
      <c r="N54" s="528"/>
      <c r="O54" s="528"/>
      <c r="P54" s="528"/>
      <c r="Q54" s="528"/>
      <c r="R54" s="528"/>
      <c r="S54" s="528"/>
      <c r="T54" s="528"/>
      <c r="U54" s="528"/>
      <c r="V54" s="528"/>
      <c r="W54" s="528"/>
      <c r="X54" s="528"/>
      <c r="Y54" s="528"/>
      <c r="Z54" s="528"/>
      <c r="AA54" s="528"/>
      <c r="AB54" s="528"/>
      <c r="AC54" s="528"/>
      <c r="AD54" s="528"/>
      <c r="AE54" s="528"/>
      <c r="AF54" s="528"/>
      <c r="AG54" s="528"/>
      <c r="AH54" s="528"/>
      <c r="AI54" s="528"/>
      <c r="AJ54" s="528"/>
      <c r="AK54" s="528"/>
      <c r="AL54" s="528"/>
      <c r="AM54" s="529"/>
      <c r="AN54" s="529"/>
      <c r="AO54" s="529"/>
      <c r="AP54" s="529"/>
      <c r="AQ54" s="529"/>
      <c r="AR54" s="529"/>
      <c r="AS54" s="529"/>
      <c r="AT54" s="529"/>
      <c r="AU54" s="529"/>
      <c r="AV54" s="529"/>
      <c r="AW54" s="529"/>
      <c r="AX54" s="529"/>
      <c r="AY54" s="547"/>
      <c r="AZ54" s="547"/>
      <c r="BA54" s="529"/>
      <c r="BB54" s="308"/>
      <c r="BC54" s="308"/>
      <c r="BD54" s="308"/>
      <c r="BE54" s="308"/>
      <c r="BF54" s="308"/>
      <c r="BG54" s="308"/>
      <c r="BH54" s="308"/>
      <c r="BI54" s="308"/>
      <c r="BJ54" s="308"/>
      <c r="BK54" s="308"/>
      <c r="BL54" s="308"/>
      <c r="BM54" s="308"/>
      <c r="BN54" s="308"/>
      <c r="BO54" s="308"/>
      <c r="BP54" s="308"/>
      <c r="BQ54" s="308"/>
      <c r="BR54" s="308"/>
      <c r="BS54" s="308"/>
      <c r="BT54" s="308"/>
      <c r="BU54" s="308"/>
      <c r="BV54" s="579"/>
      <c r="BW54" s="308"/>
      <c r="BX54" s="308"/>
      <c r="BY54" s="308"/>
      <c r="BZ54" s="308"/>
      <c r="CA54" s="308"/>
      <c r="CB54" s="308"/>
      <c r="CC54" s="308"/>
      <c r="CD54" s="308"/>
      <c r="CE54" s="308"/>
      <c r="CF54" s="308"/>
      <c r="CG54" s="308"/>
      <c r="CH54" s="528"/>
    </row>
    <row r="55" spans="1:88" s="533" customFormat="1" ht="15" customHeight="1">
      <c r="A55" s="528"/>
      <c r="B55" s="528"/>
      <c r="C55" s="528"/>
      <c r="D55" s="528"/>
      <c r="E55" s="528"/>
      <c r="F55" s="528"/>
      <c r="G55" s="528"/>
      <c r="H55" s="528"/>
      <c r="I55" s="528"/>
      <c r="J55" s="528"/>
      <c r="K55" s="528"/>
      <c r="L55" s="528"/>
      <c r="M55" s="528"/>
      <c r="N55" s="528"/>
      <c r="O55" s="528"/>
      <c r="P55" s="528"/>
      <c r="Q55" s="528"/>
      <c r="R55" s="528"/>
      <c r="S55" s="528"/>
      <c r="T55" s="528"/>
      <c r="U55" s="528"/>
      <c r="V55" s="528"/>
      <c r="W55" s="528"/>
      <c r="X55" s="528"/>
      <c r="Y55" s="528"/>
      <c r="Z55" s="528"/>
      <c r="AA55" s="528"/>
      <c r="AB55" s="528"/>
      <c r="AC55" s="528"/>
      <c r="AD55" s="528"/>
      <c r="AE55" s="528"/>
      <c r="AF55" s="528"/>
      <c r="AG55" s="528"/>
      <c r="AH55" s="528"/>
      <c r="AI55" s="528"/>
      <c r="AJ55" s="528"/>
      <c r="AK55" s="528"/>
      <c r="AL55" s="528"/>
      <c r="AM55" s="529"/>
      <c r="AN55" s="529"/>
      <c r="AO55" s="529"/>
      <c r="AP55" s="529"/>
      <c r="AQ55" s="529"/>
      <c r="AR55" s="529"/>
      <c r="AS55" s="529"/>
      <c r="AT55" s="529"/>
      <c r="AU55" s="529"/>
      <c r="AV55" s="529"/>
      <c r="AW55" s="529"/>
      <c r="AX55" s="529"/>
      <c r="AY55" s="547"/>
      <c r="AZ55" s="547"/>
      <c r="BA55" s="529"/>
      <c r="BB55" s="308"/>
      <c r="BC55" s="308"/>
      <c r="BD55" s="308"/>
      <c r="BE55" s="308"/>
      <c r="BF55" s="308"/>
      <c r="BG55" s="308"/>
      <c r="BH55" s="308"/>
      <c r="BI55" s="308"/>
      <c r="BJ55" s="308"/>
      <c r="BK55" s="308"/>
      <c r="BL55" s="308"/>
      <c r="BM55" s="308"/>
      <c r="BN55" s="308"/>
      <c r="BO55" s="308"/>
      <c r="BP55" s="308"/>
      <c r="BQ55" s="308"/>
      <c r="BR55" s="308"/>
      <c r="BS55" s="308"/>
      <c r="BT55" s="308"/>
      <c r="BU55" s="308"/>
      <c r="BV55" s="579"/>
      <c r="BW55" s="308"/>
      <c r="BX55" s="308"/>
      <c r="BY55" s="308"/>
      <c r="BZ55" s="308"/>
      <c r="CA55" s="308"/>
      <c r="CB55" s="308"/>
      <c r="CC55" s="308"/>
      <c r="CD55" s="308"/>
      <c r="CE55" s="308"/>
      <c r="CF55" s="308"/>
      <c r="CG55" s="308"/>
      <c r="CH55" s="528"/>
    </row>
    <row r="56" spans="1:88" s="533" customFormat="1" ht="15" customHeight="1">
      <c r="A56" s="528"/>
      <c r="B56" s="528"/>
      <c r="C56" s="528"/>
      <c r="D56" s="528"/>
      <c r="E56" s="528"/>
      <c r="F56" s="528"/>
      <c r="G56" s="528"/>
      <c r="H56" s="528"/>
      <c r="I56" s="528"/>
      <c r="J56" s="528"/>
      <c r="K56" s="528"/>
      <c r="L56" s="528"/>
      <c r="M56" s="528"/>
      <c r="N56" s="528"/>
      <c r="O56" s="528"/>
      <c r="P56" s="528"/>
      <c r="Q56" s="528"/>
      <c r="R56" s="528"/>
      <c r="S56" s="528"/>
      <c r="T56" s="528"/>
      <c r="U56" s="528"/>
      <c r="V56" s="528"/>
      <c r="W56" s="528"/>
      <c r="X56" s="528"/>
      <c r="Y56" s="528"/>
      <c r="Z56" s="528"/>
      <c r="AA56" s="528"/>
      <c r="AB56" s="528"/>
      <c r="AC56" s="528"/>
      <c r="AD56" s="528"/>
      <c r="AE56" s="528"/>
      <c r="AF56" s="528"/>
      <c r="AG56" s="528"/>
      <c r="AH56" s="528"/>
      <c r="AI56" s="528"/>
      <c r="AJ56" s="528"/>
      <c r="AK56" s="528"/>
      <c r="AL56" s="528"/>
      <c r="AM56" s="529"/>
      <c r="AN56" s="529"/>
      <c r="AO56" s="529"/>
      <c r="AP56" s="529"/>
      <c r="AQ56" s="529"/>
      <c r="AR56" s="529"/>
      <c r="AS56" s="529"/>
      <c r="AT56" s="529"/>
      <c r="AU56" s="529"/>
      <c r="AV56" s="529"/>
      <c r="AW56" s="529"/>
      <c r="AX56" s="529"/>
      <c r="AY56" s="547"/>
      <c r="AZ56" s="547"/>
      <c r="BA56" s="529"/>
      <c r="BB56" s="308"/>
      <c r="BC56" s="308"/>
      <c r="BD56" s="308"/>
      <c r="BE56" s="308"/>
      <c r="BF56" s="308"/>
      <c r="BG56" s="308"/>
      <c r="BH56" s="308"/>
      <c r="BI56" s="308"/>
      <c r="BJ56" s="308"/>
      <c r="BK56" s="308"/>
      <c r="BL56" s="308"/>
      <c r="BM56" s="308"/>
      <c r="BN56" s="308"/>
      <c r="BO56" s="308"/>
      <c r="BP56" s="308"/>
      <c r="BQ56" s="308"/>
      <c r="BR56" s="308"/>
      <c r="BS56" s="308"/>
      <c r="BT56" s="308"/>
      <c r="BU56" s="308"/>
      <c r="BV56" s="579"/>
      <c r="BW56" s="308"/>
      <c r="BX56" s="308"/>
      <c r="BY56" s="308"/>
      <c r="BZ56" s="308"/>
      <c r="CA56" s="308"/>
      <c r="CB56" s="308"/>
      <c r="CC56" s="308"/>
      <c r="CD56" s="308"/>
      <c r="CE56" s="308"/>
      <c r="CF56" s="308"/>
      <c r="CG56" s="308"/>
      <c r="CH56" s="528"/>
    </row>
    <row r="57" spans="1:88" s="533" customFormat="1" ht="15" customHeight="1">
      <c r="A57" s="528"/>
      <c r="B57" s="528"/>
      <c r="C57" s="528"/>
      <c r="D57" s="528"/>
      <c r="E57" s="528"/>
      <c r="F57" s="528"/>
      <c r="G57" s="528"/>
      <c r="H57" s="528"/>
      <c r="I57" s="528"/>
      <c r="J57" s="528"/>
      <c r="K57" s="528"/>
      <c r="L57" s="528"/>
      <c r="M57" s="528"/>
      <c r="N57" s="528"/>
      <c r="O57" s="528"/>
      <c r="P57" s="528"/>
      <c r="Q57" s="528"/>
      <c r="R57" s="528"/>
      <c r="S57" s="528"/>
      <c r="T57" s="528"/>
      <c r="U57" s="528"/>
      <c r="V57" s="528"/>
      <c r="W57" s="528"/>
      <c r="X57" s="528"/>
      <c r="Y57" s="528"/>
      <c r="Z57" s="528"/>
      <c r="AA57" s="528"/>
      <c r="AB57" s="528"/>
      <c r="AC57" s="528"/>
      <c r="AD57" s="528"/>
      <c r="AE57" s="528"/>
      <c r="AF57" s="528"/>
      <c r="AG57" s="528"/>
      <c r="AH57" s="528"/>
      <c r="AI57" s="528"/>
      <c r="AJ57" s="528"/>
      <c r="AK57" s="528"/>
      <c r="AL57" s="528"/>
      <c r="AM57" s="529"/>
      <c r="AN57" s="529"/>
      <c r="AO57" s="529"/>
      <c r="AP57" s="529"/>
      <c r="AQ57" s="529"/>
      <c r="AR57" s="529"/>
      <c r="AS57" s="529"/>
      <c r="AT57" s="529"/>
      <c r="AU57" s="529"/>
      <c r="AV57" s="529"/>
      <c r="AW57" s="529"/>
      <c r="AX57" s="529"/>
      <c r="AY57" s="547"/>
      <c r="AZ57" s="547"/>
      <c r="BA57" s="529"/>
      <c r="BB57" s="308"/>
      <c r="BC57" s="308"/>
      <c r="BD57" s="308"/>
      <c r="BE57" s="308"/>
      <c r="BF57" s="308"/>
      <c r="BG57" s="308"/>
      <c r="BH57" s="308"/>
      <c r="BI57" s="308"/>
      <c r="BJ57" s="308"/>
      <c r="BK57" s="308"/>
      <c r="BL57" s="308"/>
      <c r="BM57" s="308"/>
      <c r="BN57" s="308"/>
      <c r="BO57" s="308"/>
      <c r="BP57" s="308"/>
      <c r="BQ57" s="308"/>
      <c r="BR57" s="308"/>
      <c r="BS57" s="308"/>
      <c r="BT57" s="308"/>
      <c r="BU57" s="308"/>
      <c r="BV57" s="579"/>
      <c r="BW57" s="308"/>
      <c r="BX57" s="308"/>
      <c r="BY57" s="308"/>
      <c r="BZ57" s="308"/>
      <c r="CA57" s="308"/>
      <c r="CB57" s="308"/>
      <c r="CC57" s="308"/>
      <c r="CD57" s="308"/>
      <c r="CE57" s="308"/>
      <c r="CF57" s="308"/>
      <c r="CG57" s="308"/>
      <c r="CH57" s="528"/>
    </row>
    <row r="58" spans="1:88" s="533" customFormat="1" ht="15" customHeight="1">
      <c r="A58" s="528"/>
      <c r="B58" s="528"/>
      <c r="C58" s="528"/>
      <c r="D58" s="528"/>
      <c r="E58" s="528"/>
      <c r="F58" s="528"/>
      <c r="G58" s="528"/>
      <c r="H58" s="528"/>
      <c r="I58" s="528"/>
      <c r="J58" s="528"/>
      <c r="K58" s="528"/>
      <c r="L58" s="528"/>
      <c r="M58" s="528"/>
      <c r="N58" s="528"/>
      <c r="O58" s="528"/>
      <c r="P58" s="528"/>
      <c r="Q58" s="528"/>
      <c r="R58" s="528"/>
      <c r="S58" s="528"/>
      <c r="T58" s="528"/>
      <c r="U58" s="528"/>
      <c r="V58" s="528"/>
      <c r="W58" s="528"/>
      <c r="X58" s="528"/>
      <c r="Y58" s="528"/>
      <c r="Z58" s="528"/>
      <c r="AA58" s="528"/>
      <c r="AB58" s="528"/>
      <c r="AC58" s="528"/>
      <c r="AD58" s="528"/>
      <c r="AE58" s="528"/>
      <c r="AF58" s="528"/>
      <c r="AG58" s="528"/>
      <c r="AH58" s="528"/>
      <c r="AI58" s="528"/>
      <c r="AJ58" s="528"/>
      <c r="AK58" s="528"/>
      <c r="AL58" s="528"/>
      <c r="AM58" s="529"/>
      <c r="AN58" s="529"/>
      <c r="AO58" s="529"/>
      <c r="AP58" s="529"/>
      <c r="AQ58" s="529"/>
      <c r="AR58" s="529"/>
      <c r="AS58" s="529"/>
      <c r="AT58" s="529"/>
      <c r="AU58" s="529"/>
      <c r="AV58" s="529"/>
      <c r="AW58" s="529"/>
      <c r="AX58" s="529"/>
      <c r="AY58" s="547"/>
      <c r="AZ58" s="547"/>
      <c r="BA58" s="529"/>
      <c r="BB58" s="308"/>
      <c r="BC58" s="308"/>
      <c r="BD58" s="308"/>
      <c r="BE58" s="308"/>
      <c r="BF58" s="308"/>
      <c r="BG58" s="308"/>
      <c r="BH58" s="308"/>
      <c r="BI58" s="308"/>
      <c r="BJ58" s="308"/>
      <c r="BK58" s="308"/>
      <c r="BL58" s="308"/>
      <c r="BM58" s="308"/>
      <c r="BN58" s="308"/>
      <c r="BO58" s="308"/>
      <c r="BP58" s="308"/>
      <c r="BQ58" s="308"/>
      <c r="BR58" s="308"/>
      <c r="BS58" s="308"/>
      <c r="BT58" s="308"/>
      <c r="BU58" s="308"/>
      <c r="BV58" s="579"/>
      <c r="BW58" s="308"/>
      <c r="BX58" s="308"/>
      <c r="BY58" s="308"/>
      <c r="BZ58" s="308"/>
      <c r="CA58" s="308"/>
      <c r="CB58" s="308"/>
      <c r="CC58" s="308"/>
      <c r="CD58" s="308"/>
      <c r="CE58" s="308"/>
      <c r="CF58" s="308"/>
      <c r="CG58" s="308"/>
      <c r="CH58" s="543"/>
    </row>
    <row r="59" spans="1:88" s="533" customFormat="1" ht="15" customHeight="1">
      <c r="A59" s="528"/>
      <c r="B59" s="528"/>
      <c r="C59" s="528"/>
      <c r="D59" s="528"/>
      <c r="E59" s="528"/>
      <c r="F59" s="528"/>
      <c r="G59" s="528"/>
      <c r="H59" s="528"/>
      <c r="I59" s="528"/>
      <c r="J59" s="528"/>
      <c r="K59" s="528"/>
      <c r="L59" s="528"/>
      <c r="M59" s="528"/>
      <c r="N59" s="528"/>
      <c r="O59" s="528"/>
      <c r="P59" s="528"/>
      <c r="Q59" s="528"/>
      <c r="R59" s="528"/>
      <c r="S59" s="528"/>
      <c r="T59" s="528"/>
      <c r="U59" s="528"/>
      <c r="V59" s="528"/>
      <c r="W59" s="528"/>
      <c r="X59" s="528"/>
      <c r="Y59" s="528"/>
      <c r="Z59" s="528"/>
      <c r="AA59" s="528"/>
      <c r="AB59" s="528"/>
      <c r="AC59" s="528"/>
      <c r="AD59" s="528"/>
      <c r="AE59" s="528"/>
      <c r="AF59" s="528"/>
      <c r="AG59" s="528"/>
      <c r="AH59" s="528"/>
      <c r="AI59" s="528"/>
      <c r="AJ59" s="528"/>
      <c r="AK59" s="528"/>
      <c r="AL59" s="528"/>
      <c r="AM59" s="529"/>
      <c r="AN59" s="529"/>
      <c r="AO59" s="529"/>
      <c r="AP59" s="529"/>
      <c r="AQ59" s="529"/>
      <c r="AR59" s="529"/>
      <c r="AS59" s="529"/>
      <c r="AT59" s="529"/>
      <c r="AU59" s="529"/>
      <c r="AV59" s="529"/>
      <c r="AW59" s="529"/>
      <c r="AX59" s="529"/>
      <c r="AY59" s="547"/>
      <c r="AZ59" s="547"/>
      <c r="BA59" s="550"/>
      <c r="BB59" s="308"/>
      <c r="BC59" s="308"/>
      <c r="BD59" s="308"/>
      <c r="BE59" s="308"/>
      <c r="BF59" s="308"/>
      <c r="BG59" s="308"/>
      <c r="BH59" s="308"/>
      <c r="BI59" s="308"/>
      <c r="BJ59" s="308"/>
      <c r="BK59" s="308"/>
      <c r="BL59" s="308"/>
      <c r="BM59" s="308"/>
      <c r="BN59" s="308"/>
      <c r="BO59" s="308"/>
      <c r="BP59" s="308"/>
      <c r="BQ59" s="308"/>
      <c r="BR59" s="308"/>
      <c r="BS59" s="308"/>
      <c r="BT59" s="308"/>
      <c r="BU59" s="308"/>
      <c r="BV59" s="579"/>
      <c r="BW59" s="308"/>
      <c r="BX59" s="308"/>
      <c r="BY59" s="308"/>
      <c r="BZ59" s="308"/>
      <c r="CA59" s="308"/>
      <c r="CB59" s="308"/>
      <c r="CC59" s="308"/>
      <c r="CD59" s="308"/>
      <c r="CE59" s="308"/>
      <c r="CF59" s="308"/>
      <c r="CG59" s="308"/>
      <c r="CH59" s="528"/>
    </row>
    <row r="60" spans="1:88" s="534" customFormat="1" ht="15" customHeight="1">
      <c r="A60" s="528"/>
      <c r="B60" s="528"/>
      <c r="C60" s="528"/>
      <c r="D60" s="528"/>
      <c r="E60" s="528"/>
      <c r="F60" s="528"/>
      <c r="G60" s="528"/>
      <c r="H60" s="528"/>
      <c r="I60" s="528"/>
      <c r="J60" s="528"/>
      <c r="K60" s="528"/>
      <c r="L60" s="528"/>
      <c r="M60" s="528"/>
      <c r="N60" s="528"/>
      <c r="O60" s="528"/>
      <c r="P60" s="528"/>
      <c r="Q60" s="528"/>
      <c r="R60" s="528"/>
      <c r="S60" s="528"/>
      <c r="T60" s="528"/>
      <c r="U60" s="528"/>
      <c r="V60" s="528"/>
      <c r="W60" s="528"/>
      <c r="X60" s="528"/>
      <c r="Y60" s="528"/>
      <c r="Z60" s="528"/>
      <c r="AA60" s="528"/>
      <c r="AB60" s="528"/>
      <c r="AC60" s="528"/>
      <c r="AD60" s="528"/>
      <c r="AE60" s="528"/>
      <c r="AF60" s="528"/>
      <c r="AG60" s="528"/>
      <c r="AH60" s="528"/>
      <c r="AI60" s="528"/>
      <c r="AJ60" s="528"/>
      <c r="AK60" s="528"/>
      <c r="AL60" s="528"/>
      <c r="AM60" s="529"/>
      <c r="AN60" s="529"/>
      <c r="AO60" s="529"/>
      <c r="AP60" s="529"/>
      <c r="AQ60" s="529"/>
      <c r="AR60" s="529"/>
      <c r="AS60" s="529"/>
      <c r="AT60" s="529"/>
      <c r="AU60" s="529"/>
      <c r="AV60" s="529"/>
      <c r="AW60" s="529"/>
      <c r="AX60" s="529"/>
      <c r="AY60" s="547"/>
      <c r="AZ60" s="547"/>
      <c r="BA60" s="550"/>
      <c r="BB60" s="308"/>
      <c r="BC60" s="308"/>
      <c r="BD60" s="308"/>
      <c r="BE60" s="308"/>
      <c r="BF60" s="308"/>
      <c r="BG60" s="308"/>
      <c r="BH60" s="308"/>
      <c r="BI60" s="308"/>
      <c r="BJ60" s="308"/>
      <c r="BK60" s="308"/>
      <c r="BL60" s="308"/>
      <c r="BM60" s="308"/>
      <c r="BN60" s="308"/>
      <c r="BO60" s="308"/>
      <c r="BP60" s="308"/>
      <c r="BQ60" s="308"/>
      <c r="BR60" s="308"/>
      <c r="BS60" s="308"/>
      <c r="BT60" s="308"/>
      <c r="BU60" s="308"/>
      <c r="BV60" s="579"/>
      <c r="BW60" s="308"/>
      <c r="BX60" s="308"/>
      <c r="BY60" s="308"/>
      <c r="BZ60" s="308"/>
      <c r="CA60" s="308"/>
      <c r="CB60" s="308"/>
      <c r="CC60" s="308"/>
      <c r="CD60" s="308"/>
      <c r="CE60" s="308"/>
      <c r="CF60" s="308"/>
      <c r="CG60" s="308"/>
      <c r="CH60" s="528"/>
    </row>
    <row r="61" spans="1:88" ht="15" customHeight="1">
      <c r="AY61" s="547"/>
      <c r="AZ61" s="547"/>
      <c r="BA61" s="552"/>
      <c r="BB61" s="308"/>
      <c r="BC61" s="308"/>
      <c r="BD61" s="308"/>
      <c r="BE61" s="308"/>
      <c r="BF61" s="308"/>
      <c r="BG61" s="308"/>
      <c r="BH61" s="308"/>
      <c r="BI61" s="308"/>
      <c r="BJ61" s="308"/>
      <c r="BK61" s="308"/>
      <c r="BL61" s="308"/>
      <c r="BM61" s="308"/>
      <c r="BN61" s="308"/>
      <c r="BO61" s="308"/>
      <c r="BP61" s="308"/>
      <c r="BQ61" s="308"/>
      <c r="BR61" s="308"/>
      <c r="BS61" s="308"/>
      <c r="BT61" s="308"/>
      <c r="BU61" s="308"/>
      <c r="BV61" s="579"/>
      <c r="BW61" s="308"/>
      <c r="BX61" s="308"/>
      <c r="BY61" s="308"/>
      <c r="BZ61" s="308"/>
      <c r="CA61" s="308"/>
      <c r="CB61" s="308"/>
      <c r="CC61" s="308"/>
      <c r="CD61" s="308"/>
      <c r="CE61" s="308"/>
      <c r="CF61" s="308"/>
      <c r="CG61" s="308"/>
    </row>
    <row r="62" spans="1:88" ht="15" customHeight="1">
      <c r="AY62" s="547"/>
      <c r="AZ62" s="547"/>
      <c r="BA62" s="553"/>
      <c r="BB62" s="308"/>
      <c r="BC62" s="308"/>
      <c r="BD62" s="308"/>
      <c r="BE62" s="308"/>
      <c r="BF62" s="308"/>
      <c r="BG62" s="308"/>
      <c r="BH62" s="308"/>
      <c r="BI62" s="308"/>
      <c r="BJ62" s="308"/>
      <c r="BK62" s="308"/>
      <c r="BL62" s="308"/>
      <c r="BM62" s="308"/>
      <c r="BN62" s="308"/>
      <c r="BO62" s="308"/>
      <c r="BP62" s="308"/>
      <c r="BQ62" s="308"/>
      <c r="BR62" s="308"/>
      <c r="BS62" s="308"/>
      <c r="BT62" s="308"/>
      <c r="BU62" s="308"/>
      <c r="BV62" s="579"/>
      <c r="BW62" s="308"/>
      <c r="BX62" s="308"/>
      <c r="BY62" s="308"/>
      <c r="BZ62" s="308"/>
      <c r="CA62" s="308"/>
      <c r="CB62" s="308"/>
      <c r="CC62" s="308"/>
      <c r="CD62" s="308"/>
      <c r="CE62" s="308"/>
      <c r="CF62" s="308"/>
      <c r="CG62" s="308"/>
    </row>
    <row r="63" spans="1:88" ht="15" customHeight="1">
      <c r="AY63" s="547"/>
      <c r="AZ63" s="547"/>
      <c r="BA63" s="553"/>
      <c r="BB63" s="308"/>
      <c r="BC63" s="308"/>
      <c r="BD63" s="308"/>
      <c r="BE63" s="308"/>
      <c r="BF63" s="308"/>
      <c r="BG63" s="308"/>
      <c r="BH63" s="308"/>
      <c r="BI63" s="308"/>
      <c r="BJ63" s="308"/>
      <c r="BK63" s="308"/>
      <c r="BL63" s="308"/>
      <c r="BM63" s="308"/>
      <c r="BN63" s="308"/>
      <c r="BO63" s="308"/>
      <c r="BP63" s="308"/>
      <c r="BQ63" s="308"/>
      <c r="BR63" s="308"/>
      <c r="BS63" s="308"/>
      <c r="BT63" s="308"/>
      <c r="BU63" s="308"/>
      <c r="BV63" s="579"/>
      <c r="BW63" s="308"/>
      <c r="BX63" s="308"/>
      <c r="BY63" s="308"/>
      <c r="BZ63" s="308"/>
      <c r="CA63" s="308"/>
      <c r="CB63" s="308"/>
      <c r="CC63" s="308"/>
      <c r="CD63" s="308"/>
      <c r="CE63" s="308"/>
      <c r="CF63" s="308"/>
      <c r="CG63" s="308"/>
    </row>
    <row r="64" spans="1:88" ht="15" customHeight="1">
      <c r="AY64" s="547"/>
      <c r="AZ64" s="547"/>
      <c r="BA64" s="554"/>
      <c r="BB64" s="308"/>
      <c r="BC64" s="308"/>
      <c r="BD64" s="308"/>
      <c r="BE64" s="308"/>
      <c r="BF64" s="308"/>
      <c r="BG64" s="308"/>
      <c r="BH64" s="308"/>
      <c r="BI64" s="308"/>
      <c r="BJ64" s="308"/>
      <c r="BK64" s="308"/>
      <c r="BL64" s="308"/>
      <c r="BM64" s="308"/>
      <c r="BN64" s="308"/>
      <c r="BO64" s="308"/>
      <c r="BP64" s="308"/>
      <c r="BQ64" s="308"/>
      <c r="BR64" s="308"/>
      <c r="BS64" s="308"/>
      <c r="BT64" s="308"/>
      <c r="BU64" s="308"/>
      <c r="BV64" s="579"/>
      <c r="BW64" s="308"/>
      <c r="BX64" s="308"/>
      <c r="BY64" s="308"/>
      <c r="BZ64" s="308"/>
      <c r="CA64" s="308"/>
      <c r="CB64" s="308"/>
      <c r="CC64" s="308"/>
      <c r="CD64" s="308"/>
      <c r="CE64" s="308"/>
      <c r="CF64" s="308"/>
      <c r="CG64" s="308"/>
    </row>
    <row r="65" spans="1:86" ht="15" customHeight="1">
      <c r="AY65" s="547"/>
      <c r="AZ65" s="547"/>
      <c r="BA65" s="554"/>
      <c r="BB65" s="308"/>
      <c r="BC65" s="308"/>
      <c r="BD65" s="308"/>
      <c r="BE65" s="308"/>
      <c r="BF65" s="308"/>
      <c r="BG65" s="308"/>
      <c r="BH65" s="308"/>
      <c r="BI65" s="308"/>
      <c r="BJ65" s="308"/>
      <c r="BK65" s="308"/>
      <c r="BL65" s="308"/>
      <c r="BM65" s="308"/>
      <c r="BN65" s="308"/>
      <c r="BO65" s="308"/>
      <c r="BP65" s="308"/>
      <c r="BQ65" s="308"/>
      <c r="BR65" s="308"/>
      <c r="BS65" s="308"/>
      <c r="BT65" s="308"/>
      <c r="BU65" s="308"/>
      <c r="BV65" s="579"/>
      <c r="BW65" s="308"/>
      <c r="BX65" s="308"/>
      <c r="BY65" s="308"/>
      <c r="BZ65" s="308"/>
      <c r="CA65" s="308"/>
      <c r="CB65" s="308"/>
      <c r="CC65" s="308"/>
      <c r="CD65" s="308"/>
      <c r="CE65" s="308"/>
      <c r="CF65" s="308"/>
      <c r="CG65" s="308"/>
    </row>
    <row r="66" spans="1:86" ht="15" customHeight="1">
      <c r="AY66" s="547"/>
      <c r="AZ66" s="547"/>
      <c r="BA66" s="554"/>
      <c r="BB66" s="308"/>
      <c r="BC66" s="308"/>
      <c r="BD66" s="308"/>
      <c r="BE66" s="308"/>
      <c r="BF66" s="308"/>
      <c r="BG66" s="308"/>
      <c r="BH66" s="308"/>
      <c r="BI66" s="308"/>
      <c r="BJ66" s="308"/>
      <c r="BK66" s="308"/>
      <c r="BL66" s="308"/>
      <c r="BM66" s="308"/>
      <c r="BN66" s="308"/>
      <c r="BO66" s="308"/>
      <c r="BP66" s="308"/>
      <c r="BQ66" s="308"/>
      <c r="BR66" s="308"/>
      <c r="BS66" s="308"/>
      <c r="BT66" s="308"/>
      <c r="BU66" s="308"/>
      <c r="BV66" s="579"/>
      <c r="BW66" s="308"/>
      <c r="BX66" s="308"/>
      <c r="BY66" s="308"/>
      <c r="BZ66" s="308"/>
      <c r="CA66" s="308"/>
      <c r="CB66" s="308"/>
      <c r="CC66" s="308"/>
      <c r="CD66" s="308"/>
      <c r="CE66" s="308"/>
      <c r="CF66" s="308"/>
      <c r="CG66" s="308"/>
    </row>
    <row r="67" spans="1:86" ht="15" customHeight="1">
      <c r="AY67" s="547"/>
      <c r="AZ67" s="547"/>
      <c r="BA67" s="554"/>
      <c r="BB67" s="308"/>
      <c r="BC67" s="308"/>
      <c r="BD67" s="308"/>
      <c r="BE67" s="308"/>
      <c r="BF67" s="308"/>
      <c r="BG67" s="308"/>
      <c r="BH67" s="308"/>
      <c r="BI67" s="308"/>
      <c r="BJ67" s="308"/>
      <c r="BK67" s="308"/>
      <c r="BL67" s="308"/>
      <c r="BM67" s="308"/>
      <c r="BN67" s="308"/>
      <c r="BO67" s="308"/>
      <c r="BP67" s="308"/>
      <c r="BQ67" s="308"/>
      <c r="BR67" s="308"/>
      <c r="BS67" s="308"/>
      <c r="BT67" s="308"/>
      <c r="BU67" s="308"/>
      <c r="BV67" s="579"/>
      <c r="BW67" s="308"/>
      <c r="BX67" s="308"/>
      <c r="BY67" s="308"/>
      <c r="BZ67" s="308"/>
      <c r="CA67" s="308"/>
      <c r="CB67" s="308"/>
      <c r="CC67" s="308"/>
      <c r="CD67" s="308"/>
      <c r="CE67" s="308"/>
      <c r="CF67" s="308"/>
      <c r="CG67" s="308"/>
    </row>
    <row r="68" spans="1:86" ht="15" customHeight="1">
      <c r="AY68" s="547"/>
      <c r="AZ68" s="547"/>
      <c r="BA68" s="554"/>
      <c r="BB68" s="308"/>
      <c r="BC68" s="308"/>
      <c r="BD68" s="308"/>
      <c r="BE68" s="308"/>
      <c r="BF68" s="308"/>
      <c r="BG68" s="308"/>
      <c r="BH68" s="308"/>
      <c r="BI68" s="308"/>
      <c r="BJ68" s="308"/>
      <c r="BK68" s="308"/>
      <c r="BL68" s="308"/>
      <c r="BM68" s="308"/>
      <c r="BN68" s="308"/>
      <c r="BO68" s="308"/>
      <c r="BP68" s="308"/>
      <c r="BQ68" s="308"/>
      <c r="BR68" s="308"/>
      <c r="BS68" s="308"/>
      <c r="BT68" s="308"/>
      <c r="BU68" s="308"/>
      <c r="BV68" s="579"/>
      <c r="BW68" s="308"/>
      <c r="BX68" s="308"/>
      <c r="BY68" s="308"/>
      <c r="BZ68" s="308"/>
      <c r="CA68" s="308"/>
      <c r="CB68" s="308"/>
      <c r="CC68" s="308"/>
      <c r="CD68" s="308"/>
      <c r="CE68" s="308"/>
      <c r="CF68" s="308"/>
      <c r="CG68" s="308"/>
    </row>
    <row r="69" spans="1:86" s="543" customFormat="1" ht="15" customHeight="1">
      <c r="A69" s="528"/>
      <c r="B69" s="528"/>
      <c r="C69" s="528"/>
      <c r="D69" s="528"/>
      <c r="E69" s="528"/>
      <c r="F69" s="528"/>
      <c r="G69" s="528"/>
      <c r="H69" s="528"/>
      <c r="I69" s="528"/>
      <c r="J69" s="528"/>
      <c r="K69" s="528"/>
      <c r="L69" s="528"/>
      <c r="M69" s="528"/>
      <c r="N69" s="528"/>
      <c r="O69" s="528"/>
      <c r="P69" s="528"/>
      <c r="Q69" s="528"/>
      <c r="R69" s="528"/>
      <c r="S69" s="528"/>
      <c r="T69" s="528"/>
      <c r="U69" s="528"/>
      <c r="V69" s="528"/>
      <c r="W69" s="528"/>
      <c r="X69" s="528"/>
      <c r="Y69" s="528"/>
      <c r="Z69" s="528"/>
      <c r="AA69" s="528"/>
      <c r="AB69" s="528"/>
      <c r="AC69" s="528"/>
      <c r="AD69" s="528"/>
      <c r="AE69" s="528"/>
      <c r="AF69" s="528"/>
      <c r="AG69" s="528"/>
      <c r="AH69" s="528"/>
      <c r="AI69" s="528"/>
      <c r="AJ69" s="528"/>
      <c r="AK69" s="528"/>
      <c r="AL69" s="528"/>
      <c r="AM69" s="529"/>
      <c r="AN69" s="529"/>
      <c r="AO69" s="529"/>
      <c r="AP69" s="529"/>
      <c r="AQ69" s="529"/>
      <c r="AR69" s="529"/>
      <c r="AS69" s="529"/>
      <c r="AT69" s="529"/>
      <c r="AU69" s="529"/>
      <c r="AV69" s="529"/>
      <c r="AW69" s="529"/>
      <c r="AX69" s="529"/>
      <c r="AY69" s="547"/>
      <c r="AZ69" s="547"/>
      <c r="BA69" s="554"/>
      <c r="BB69" s="308"/>
      <c r="BC69" s="308"/>
      <c r="BD69" s="308"/>
      <c r="BE69" s="308"/>
      <c r="BF69" s="308"/>
      <c r="BG69" s="308"/>
      <c r="BH69" s="308"/>
      <c r="BI69" s="308"/>
      <c r="BJ69" s="308"/>
      <c r="BK69" s="308"/>
      <c r="BL69" s="308"/>
      <c r="BM69" s="308"/>
      <c r="BN69" s="308"/>
      <c r="BO69" s="308"/>
      <c r="BP69" s="308"/>
      <c r="BQ69" s="308"/>
      <c r="BR69" s="308"/>
      <c r="BS69" s="308"/>
      <c r="BT69" s="308"/>
      <c r="BU69" s="308"/>
      <c r="BV69" s="579"/>
      <c r="BW69" s="308"/>
      <c r="BX69" s="308"/>
      <c r="BY69" s="308"/>
      <c r="BZ69" s="308"/>
      <c r="CA69" s="308"/>
      <c r="CB69" s="308"/>
      <c r="CC69" s="308"/>
      <c r="CD69" s="308"/>
      <c r="CE69" s="308"/>
      <c r="CF69" s="308"/>
      <c r="CG69" s="308"/>
      <c r="CH69" s="528"/>
    </row>
    <row r="70" spans="1:86" ht="15" customHeight="1">
      <c r="AY70" s="547"/>
      <c r="AZ70" s="547"/>
      <c r="BA70" s="554"/>
      <c r="BB70" s="308"/>
      <c r="BC70" s="308"/>
      <c r="BD70" s="308"/>
      <c r="BE70" s="308"/>
      <c r="BF70" s="308"/>
      <c r="BG70" s="308"/>
      <c r="BH70" s="308"/>
      <c r="BI70" s="308"/>
      <c r="BJ70" s="308"/>
      <c r="BK70" s="308"/>
      <c r="BL70" s="308"/>
      <c r="BM70" s="308"/>
      <c r="BN70" s="308"/>
      <c r="BO70" s="308"/>
      <c r="BP70" s="308"/>
      <c r="BQ70" s="308"/>
      <c r="BR70" s="308"/>
      <c r="BS70" s="308"/>
      <c r="BT70" s="308"/>
      <c r="BU70" s="308"/>
      <c r="BV70" s="579"/>
      <c r="BW70" s="308"/>
      <c r="BX70" s="308"/>
      <c r="BY70" s="308"/>
      <c r="BZ70" s="308"/>
      <c r="CA70" s="308"/>
      <c r="CB70" s="308"/>
      <c r="CC70" s="308"/>
      <c r="CD70" s="308"/>
      <c r="CE70" s="308"/>
      <c r="CF70" s="308"/>
      <c r="CG70" s="308"/>
    </row>
    <row r="71" spans="1:86" ht="15" customHeight="1">
      <c r="AY71" s="547"/>
      <c r="AZ71" s="547"/>
      <c r="BB71" s="308"/>
      <c r="BC71" s="308"/>
      <c r="BD71" s="308"/>
      <c r="BE71" s="308"/>
      <c r="BF71" s="308"/>
      <c r="BG71" s="308"/>
      <c r="BH71" s="308"/>
      <c r="BI71" s="308"/>
      <c r="BJ71" s="308"/>
      <c r="BK71" s="308"/>
      <c r="BL71" s="308"/>
      <c r="BM71" s="308"/>
      <c r="BN71" s="308"/>
      <c r="BO71" s="308"/>
      <c r="BP71" s="308"/>
      <c r="BQ71" s="308"/>
      <c r="BR71" s="308"/>
      <c r="BS71" s="308"/>
      <c r="BT71" s="308"/>
      <c r="BU71" s="308"/>
      <c r="BV71" s="579"/>
      <c r="BW71" s="308"/>
      <c r="BX71" s="308"/>
      <c r="BY71" s="308"/>
      <c r="BZ71" s="308"/>
      <c r="CA71" s="308"/>
      <c r="CB71" s="308"/>
      <c r="CC71" s="308"/>
      <c r="CD71" s="308"/>
      <c r="CE71" s="308"/>
      <c r="CF71" s="308"/>
      <c r="CG71" s="308"/>
    </row>
    <row r="72" spans="1:86" ht="15" customHeight="1">
      <c r="AY72" s="547"/>
      <c r="AZ72" s="547"/>
      <c r="BB72" s="308"/>
      <c r="BC72" s="308"/>
      <c r="BD72" s="308"/>
      <c r="BE72" s="308"/>
      <c r="BF72" s="308"/>
      <c r="BG72" s="308"/>
      <c r="BH72" s="308"/>
      <c r="BI72" s="308"/>
      <c r="BJ72" s="308"/>
      <c r="BK72" s="308"/>
      <c r="BL72" s="308"/>
      <c r="BM72" s="308"/>
      <c r="BN72" s="308"/>
      <c r="BO72" s="308"/>
      <c r="BP72" s="308"/>
      <c r="BQ72" s="308"/>
      <c r="BR72" s="308"/>
      <c r="BS72" s="308"/>
      <c r="BT72" s="308"/>
      <c r="BU72" s="308"/>
      <c r="BV72" s="579"/>
      <c r="BW72" s="308"/>
      <c r="BX72" s="308"/>
      <c r="BY72" s="308"/>
      <c r="BZ72" s="308"/>
      <c r="CA72" s="308"/>
      <c r="CB72" s="308"/>
      <c r="CC72" s="308"/>
      <c r="CD72" s="308"/>
      <c r="CE72" s="308"/>
      <c r="CF72" s="308"/>
      <c r="CG72" s="308"/>
    </row>
    <row r="73" spans="1:86" ht="15" customHeight="1">
      <c r="BA73" s="555"/>
      <c r="BB73" s="308"/>
      <c r="BC73" s="308"/>
      <c r="BD73" s="308"/>
      <c r="BE73" s="308"/>
      <c r="BF73" s="308"/>
      <c r="BG73" s="308"/>
      <c r="BH73" s="308"/>
      <c r="BI73" s="308"/>
      <c r="BJ73" s="308"/>
      <c r="BK73" s="308"/>
      <c r="BL73" s="308"/>
      <c r="BM73" s="308"/>
      <c r="BN73" s="308"/>
      <c r="BO73" s="308"/>
      <c r="BP73" s="308"/>
      <c r="BQ73" s="308"/>
      <c r="BR73" s="308"/>
      <c r="BS73" s="308"/>
      <c r="BT73" s="308"/>
      <c r="BU73" s="308"/>
      <c r="BV73" s="579"/>
      <c r="BW73" s="308"/>
      <c r="BX73" s="308"/>
      <c r="BY73" s="308"/>
      <c r="BZ73" s="308"/>
      <c r="CA73" s="308"/>
      <c r="CB73" s="308"/>
      <c r="CC73" s="308"/>
      <c r="CD73" s="308"/>
      <c r="CE73" s="308"/>
      <c r="CF73" s="308"/>
      <c r="CG73" s="308"/>
      <c r="CH73" s="548"/>
    </row>
    <row r="74" spans="1:86" ht="15" customHeight="1">
      <c r="BA74" s="555"/>
      <c r="BB74" s="308"/>
      <c r="BC74" s="308"/>
      <c r="BD74" s="308"/>
      <c r="BE74" s="308"/>
      <c r="BF74" s="308"/>
      <c r="BG74" s="308"/>
      <c r="BH74" s="308"/>
      <c r="BI74" s="308"/>
      <c r="BJ74" s="308"/>
      <c r="BK74" s="308"/>
      <c r="BL74" s="308"/>
      <c r="BM74" s="308"/>
      <c r="BN74" s="308"/>
      <c r="BO74" s="308"/>
      <c r="BP74" s="308"/>
      <c r="BQ74" s="308"/>
      <c r="BR74" s="308"/>
      <c r="BS74" s="308"/>
      <c r="BT74" s="308"/>
      <c r="BU74" s="308"/>
      <c r="BV74" s="579"/>
      <c r="BW74" s="308"/>
      <c r="BX74" s="308"/>
      <c r="BY74" s="308"/>
      <c r="BZ74" s="308"/>
      <c r="CA74" s="308"/>
      <c r="CB74" s="308"/>
      <c r="CC74" s="308"/>
      <c r="CD74" s="308"/>
      <c r="CE74" s="308"/>
      <c r="CF74" s="308"/>
      <c r="CG74" s="308"/>
      <c r="CH74" s="548"/>
    </row>
    <row r="75" spans="1:86" ht="15" customHeight="1">
      <c r="BB75" s="308"/>
      <c r="BC75" s="308"/>
      <c r="BD75" s="308"/>
      <c r="BE75" s="308"/>
      <c r="BF75" s="308"/>
      <c r="BG75" s="308"/>
      <c r="BH75" s="308"/>
      <c r="BI75" s="308"/>
      <c r="BJ75" s="308"/>
      <c r="BK75" s="308"/>
      <c r="BL75" s="308"/>
      <c r="BM75" s="308"/>
      <c r="BN75" s="308"/>
      <c r="BO75" s="308"/>
      <c r="BP75" s="308"/>
      <c r="BQ75" s="308"/>
      <c r="BR75" s="308"/>
      <c r="BS75" s="308"/>
      <c r="BT75" s="308"/>
      <c r="BU75" s="308"/>
      <c r="BV75" s="579"/>
      <c r="BW75" s="308"/>
      <c r="BX75" s="308"/>
      <c r="BY75" s="308"/>
      <c r="BZ75" s="308"/>
      <c r="CA75" s="308"/>
      <c r="CB75" s="308"/>
      <c r="CC75" s="308"/>
      <c r="CD75" s="308"/>
      <c r="CE75" s="308"/>
      <c r="CF75" s="308"/>
      <c r="CG75" s="308"/>
      <c r="CH75" s="548"/>
    </row>
    <row r="76" spans="1:86" ht="15" customHeight="1">
      <c r="BB76" s="308"/>
      <c r="BC76" s="308"/>
      <c r="BD76" s="308"/>
      <c r="BE76" s="308"/>
      <c r="BF76" s="308"/>
      <c r="BG76" s="308"/>
      <c r="BH76" s="308"/>
      <c r="BI76" s="308"/>
      <c r="BJ76" s="308"/>
      <c r="BK76" s="308"/>
      <c r="BL76" s="308"/>
      <c r="BM76" s="308"/>
      <c r="BN76" s="308"/>
      <c r="BO76" s="308"/>
      <c r="BP76" s="308"/>
      <c r="BQ76" s="308"/>
      <c r="BR76" s="308"/>
      <c r="BS76" s="308"/>
      <c r="BT76" s="308"/>
      <c r="BU76" s="308"/>
      <c r="BV76" s="579"/>
      <c r="BW76" s="308"/>
      <c r="BX76" s="308"/>
      <c r="BY76" s="308"/>
      <c r="BZ76" s="308"/>
      <c r="CA76" s="308"/>
      <c r="CB76" s="308"/>
      <c r="CC76" s="308"/>
      <c r="CD76" s="308"/>
      <c r="CE76" s="308"/>
      <c r="CF76" s="308"/>
      <c r="CG76" s="308"/>
      <c r="CH76" s="548"/>
    </row>
    <row r="77" spans="1:86" ht="15" customHeight="1">
      <c r="AY77" s="557"/>
      <c r="AZ77" s="557"/>
      <c r="BB77" s="308"/>
      <c r="BC77" s="308"/>
      <c r="BD77" s="308"/>
      <c r="BE77" s="308"/>
      <c r="BF77" s="308"/>
      <c r="BG77" s="308"/>
      <c r="BH77" s="308"/>
      <c r="BI77" s="308"/>
      <c r="BJ77" s="308"/>
      <c r="BK77" s="308"/>
      <c r="BL77" s="308"/>
      <c r="BM77" s="308"/>
      <c r="BN77" s="308"/>
      <c r="BO77" s="308"/>
      <c r="BP77" s="308"/>
      <c r="BQ77" s="308"/>
      <c r="BR77" s="308"/>
      <c r="BS77" s="308"/>
      <c r="BT77" s="308"/>
      <c r="BU77" s="308"/>
      <c r="BV77" s="579"/>
      <c r="BW77" s="308"/>
      <c r="BX77" s="308"/>
      <c r="BY77" s="308"/>
      <c r="BZ77" s="308"/>
      <c r="CA77" s="308"/>
      <c r="CB77" s="308"/>
      <c r="CC77" s="308"/>
      <c r="CD77" s="308"/>
      <c r="CE77" s="308"/>
      <c r="CF77" s="308"/>
      <c r="CG77" s="308"/>
      <c r="CH77" s="548"/>
    </row>
    <row r="78" spans="1:86" ht="15" customHeight="1">
      <c r="AY78" s="545"/>
      <c r="AZ78" s="545"/>
      <c r="BB78" s="308"/>
      <c r="BC78" s="308"/>
      <c r="BD78" s="308"/>
      <c r="BE78" s="308"/>
      <c r="BF78" s="308"/>
      <c r="BG78" s="308"/>
      <c r="BH78" s="308"/>
      <c r="BI78" s="308"/>
      <c r="BJ78" s="308"/>
      <c r="BK78" s="308"/>
      <c r="BL78" s="308"/>
      <c r="BM78" s="308"/>
      <c r="BN78" s="308"/>
      <c r="BO78" s="308"/>
      <c r="BP78" s="308"/>
      <c r="BQ78" s="308"/>
      <c r="BR78" s="308"/>
      <c r="BS78" s="308"/>
      <c r="BT78" s="308"/>
      <c r="BU78" s="308"/>
      <c r="BV78" s="579"/>
      <c r="BW78" s="308"/>
      <c r="BX78" s="308"/>
      <c r="BY78" s="308"/>
      <c r="BZ78" s="308"/>
      <c r="CA78" s="308"/>
      <c r="CB78" s="308"/>
      <c r="CC78" s="308"/>
      <c r="CD78" s="308"/>
      <c r="CE78" s="308"/>
      <c r="CF78" s="308"/>
      <c r="CG78" s="308"/>
      <c r="CH78" s="548"/>
    </row>
    <row r="79" spans="1:86" ht="15" customHeight="1">
      <c r="AY79" s="545"/>
      <c r="AZ79" s="545"/>
      <c r="BB79" s="308"/>
      <c r="BC79" s="308"/>
      <c r="BD79" s="308"/>
      <c r="BE79" s="308"/>
      <c r="BF79" s="308"/>
      <c r="BG79" s="308"/>
      <c r="BH79" s="308"/>
      <c r="BI79" s="308"/>
      <c r="BJ79" s="308"/>
      <c r="BK79" s="308"/>
      <c r="BL79" s="308"/>
      <c r="BM79" s="308"/>
      <c r="BN79" s="308"/>
      <c r="BO79" s="308"/>
      <c r="BP79" s="308"/>
      <c r="BQ79" s="308"/>
      <c r="BR79" s="308"/>
      <c r="BS79" s="308"/>
      <c r="BT79" s="308"/>
      <c r="BU79" s="308"/>
      <c r="BV79" s="579"/>
      <c r="BW79" s="308"/>
      <c r="BX79" s="308"/>
      <c r="BY79" s="308"/>
      <c r="BZ79" s="308"/>
      <c r="CA79" s="308"/>
      <c r="CB79" s="308"/>
      <c r="CC79" s="308"/>
      <c r="CD79" s="308"/>
      <c r="CE79" s="308"/>
      <c r="CF79" s="308"/>
      <c r="CG79" s="308"/>
      <c r="CH79" s="548"/>
    </row>
    <row r="80" spans="1:86" ht="15" customHeight="1">
      <c r="AY80" s="545"/>
      <c r="AZ80" s="545"/>
      <c r="BB80" s="308"/>
      <c r="BC80" s="308"/>
      <c r="BD80" s="308"/>
      <c r="BE80" s="308"/>
      <c r="BF80" s="308"/>
      <c r="BG80" s="308"/>
      <c r="BH80" s="308"/>
      <c r="BI80" s="308"/>
      <c r="BJ80" s="308"/>
      <c r="BK80" s="308"/>
      <c r="BL80" s="308"/>
      <c r="BM80" s="308"/>
      <c r="BN80" s="308"/>
      <c r="BO80" s="308"/>
      <c r="BP80" s="308"/>
      <c r="BQ80" s="308"/>
      <c r="BR80" s="308"/>
      <c r="BS80" s="308"/>
      <c r="BT80" s="308"/>
      <c r="BU80" s="308"/>
      <c r="BV80" s="579"/>
      <c r="BW80" s="308"/>
      <c r="BX80" s="308"/>
      <c r="BY80" s="308"/>
      <c r="BZ80" s="308"/>
      <c r="CA80" s="308"/>
      <c r="CB80" s="308"/>
      <c r="CC80" s="308"/>
      <c r="CD80" s="308"/>
      <c r="CE80" s="308"/>
      <c r="CF80" s="308"/>
      <c r="CG80" s="308"/>
      <c r="CH80" s="548"/>
    </row>
    <row r="81" spans="1:125" ht="15" customHeight="1">
      <c r="AY81" s="545"/>
      <c r="AZ81" s="545"/>
      <c r="BB81" s="308"/>
      <c r="BC81" s="308"/>
      <c r="BD81" s="308"/>
      <c r="BE81" s="308"/>
      <c r="BF81" s="308"/>
      <c r="BG81" s="308"/>
      <c r="BH81" s="308"/>
      <c r="BI81" s="308"/>
      <c r="BJ81" s="308"/>
      <c r="BK81" s="308"/>
      <c r="BL81" s="308"/>
      <c r="BM81" s="308"/>
      <c r="BN81" s="308"/>
      <c r="BO81" s="308"/>
      <c r="BP81" s="308"/>
      <c r="BQ81" s="308"/>
      <c r="BR81" s="308"/>
      <c r="BS81" s="308"/>
      <c r="BT81" s="308"/>
      <c r="BU81" s="308"/>
      <c r="BV81" s="579"/>
      <c r="BW81" s="308"/>
      <c r="BX81" s="308"/>
      <c r="BY81" s="308"/>
      <c r="BZ81" s="308"/>
      <c r="CA81" s="308"/>
      <c r="CB81" s="308"/>
      <c r="CC81" s="308"/>
      <c r="CD81" s="308"/>
      <c r="CE81" s="308"/>
      <c r="CF81" s="308"/>
      <c r="CG81" s="308"/>
      <c r="CK81" s="543"/>
      <c r="CL81" s="543"/>
      <c r="CM81" s="543"/>
      <c r="CN81" s="543"/>
      <c r="CO81" s="543"/>
      <c r="CP81" s="543"/>
      <c r="CQ81" s="543"/>
      <c r="CR81" s="543"/>
      <c r="CS81" s="543"/>
      <c r="CT81" s="543"/>
      <c r="CU81" s="543"/>
      <c r="CV81" s="543"/>
      <c r="CW81" s="543"/>
      <c r="CX81" s="543"/>
      <c r="CY81" s="543"/>
      <c r="CZ81" s="543"/>
      <c r="DA81" s="543"/>
      <c r="DB81" s="543"/>
      <c r="DC81" s="543"/>
      <c r="DD81" s="543"/>
      <c r="DE81" s="543"/>
      <c r="DF81" s="543"/>
      <c r="DG81" s="543"/>
      <c r="DH81" s="543"/>
      <c r="DI81" s="543"/>
      <c r="DJ81" s="543"/>
      <c r="DK81" s="543"/>
      <c r="DL81" s="543"/>
      <c r="DM81" s="543"/>
      <c r="DN81" s="543"/>
      <c r="DO81" s="543"/>
      <c r="DP81" s="543"/>
      <c r="DQ81" s="543"/>
      <c r="DR81" s="543"/>
      <c r="DS81" s="543"/>
      <c r="DT81" s="543"/>
      <c r="DU81" s="543"/>
    </row>
    <row r="82" spans="1:125" ht="15" customHeight="1">
      <c r="AY82" s="545"/>
      <c r="AZ82" s="545"/>
      <c r="BA82" s="546"/>
      <c r="BB82" s="308"/>
      <c r="BC82" s="308"/>
      <c r="BD82" s="308"/>
      <c r="BE82" s="308"/>
      <c r="BF82" s="308"/>
      <c r="BG82" s="308"/>
      <c r="BH82" s="308"/>
      <c r="BI82" s="308"/>
      <c r="BJ82" s="308"/>
      <c r="BK82" s="308"/>
      <c r="BL82" s="308"/>
      <c r="BM82" s="308"/>
      <c r="BN82" s="308"/>
      <c r="BO82" s="308"/>
      <c r="BP82" s="308"/>
      <c r="BQ82" s="308"/>
      <c r="BR82" s="308"/>
      <c r="BS82" s="308"/>
      <c r="BT82" s="308"/>
      <c r="BU82" s="308"/>
      <c r="BV82" s="579"/>
      <c r="BW82" s="308"/>
      <c r="BX82" s="308"/>
      <c r="BY82" s="308"/>
      <c r="BZ82" s="308"/>
      <c r="CA82" s="308"/>
      <c r="CB82" s="308"/>
      <c r="CC82" s="308"/>
      <c r="CD82" s="308"/>
      <c r="CE82" s="308"/>
      <c r="CF82" s="308"/>
      <c r="CG82" s="308"/>
      <c r="CH82" s="551"/>
    </row>
    <row r="83" spans="1:125" ht="15" customHeight="1">
      <c r="AY83" s="545"/>
      <c r="AZ83" s="545"/>
      <c r="BB83" s="308"/>
      <c r="BC83" s="308"/>
      <c r="BD83" s="308"/>
      <c r="BE83" s="308"/>
      <c r="BF83" s="308"/>
      <c r="BG83" s="308"/>
      <c r="BH83" s="308"/>
      <c r="BI83" s="308"/>
      <c r="BJ83" s="308"/>
      <c r="BK83" s="308"/>
      <c r="BL83" s="308"/>
      <c r="BM83" s="308"/>
      <c r="BN83" s="308"/>
      <c r="BO83" s="308"/>
      <c r="BP83" s="308"/>
      <c r="BQ83" s="308"/>
      <c r="BR83" s="308"/>
      <c r="BS83" s="308"/>
      <c r="BT83" s="308"/>
      <c r="BU83" s="308"/>
      <c r="BV83" s="579"/>
      <c r="BW83" s="308"/>
      <c r="BX83" s="308"/>
      <c r="BY83" s="308"/>
      <c r="BZ83" s="308"/>
      <c r="CA83" s="308"/>
      <c r="CB83" s="308"/>
      <c r="CC83" s="308"/>
      <c r="CD83" s="308"/>
      <c r="CE83" s="308"/>
      <c r="CF83" s="308"/>
      <c r="CG83" s="308"/>
    </row>
    <row r="84" spans="1:125" ht="15" customHeight="1">
      <c r="BB84" s="308"/>
      <c r="BC84" s="308"/>
      <c r="BD84" s="308"/>
      <c r="BE84" s="308"/>
      <c r="BF84" s="308"/>
      <c r="BG84" s="308"/>
      <c r="BH84" s="308"/>
      <c r="BI84" s="308"/>
      <c r="BJ84" s="308"/>
      <c r="BK84" s="308"/>
      <c r="BL84" s="308"/>
      <c r="BM84" s="308"/>
      <c r="BN84" s="308"/>
      <c r="BO84" s="308"/>
      <c r="BP84" s="308"/>
      <c r="BQ84" s="308"/>
      <c r="BR84" s="308"/>
      <c r="BS84" s="308"/>
      <c r="BT84" s="308"/>
      <c r="BU84" s="308"/>
      <c r="BV84" s="579"/>
      <c r="BW84" s="308"/>
      <c r="BX84" s="308"/>
      <c r="BY84" s="308"/>
      <c r="BZ84" s="308"/>
      <c r="CA84" s="308"/>
      <c r="CB84" s="308"/>
      <c r="CC84" s="308"/>
      <c r="CD84" s="308"/>
      <c r="CE84" s="308"/>
      <c r="CF84" s="308"/>
      <c r="CG84" s="308"/>
    </row>
    <row r="85" spans="1:125" ht="15" customHeight="1">
      <c r="BB85" s="308"/>
      <c r="BC85" s="308"/>
      <c r="BD85" s="308"/>
      <c r="BE85" s="308"/>
      <c r="BF85" s="308"/>
      <c r="BG85" s="308"/>
      <c r="BH85" s="308"/>
      <c r="BI85" s="308"/>
      <c r="BJ85" s="308"/>
      <c r="BK85" s="308"/>
      <c r="BL85" s="308"/>
      <c r="BM85" s="308"/>
      <c r="BN85" s="308"/>
      <c r="BO85" s="308"/>
      <c r="BP85" s="308"/>
      <c r="BQ85" s="308"/>
      <c r="BR85" s="308"/>
      <c r="BS85" s="308"/>
      <c r="BT85" s="308"/>
      <c r="BU85" s="308"/>
      <c r="BV85" s="579"/>
      <c r="BW85" s="308"/>
      <c r="BX85" s="308"/>
      <c r="BY85" s="308"/>
      <c r="BZ85" s="308"/>
      <c r="CA85" s="308"/>
      <c r="CB85" s="308"/>
      <c r="CC85" s="308"/>
      <c r="CD85" s="308"/>
      <c r="CE85" s="308"/>
      <c r="CF85" s="308"/>
      <c r="CG85" s="308"/>
      <c r="CI85" s="548"/>
      <c r="CJ85" s="548"/>
    </row>
    <row r="86" spans="1:125" ht="15" customHeight="1">
      <c r="BB86" s="308"/>
      <c r="BC86" s="308"/>
      <c r="BD86" s="308"/>
      <c r="BE86" s="308"/>
      <c r="BF86" s="308"/>
      <c r="BG86" s="308"/>
      <c r="BH86" s="308"/>
      <c r="BI86" s="308"/>
      <c r="BJ86" s="308"/>
      <c r="BK86" s="308"/>
      <c r="BL86" s="308"/>
      <c r="BM86" s="308"/>
      <c r="BN86" s="308"/>
      <c r="BO86" s="308"/>
      <c r="BP86" s="308"/>
      <c r="BQ86" s="308"/>
      <c r="BR86" s="308"/>
      <c r="BS86" s="308"/>
      <c r="BT86" s="308"/>
      <c r="BU86" s="308"/>
      <c r="BV86" s="579"/>
      <c r="BW86" s="308"/>
      <c r="BX86" s="308"/>
      <c r="BY86" s="308"/>
      <c r="BZ86" s="308"/>
      <c r="CA86" s="308"/>
      <c r="CB86" s="308"/>
      <c r="CC86" s="308"/>
      <c r="CD86" s="308"/>
      <c r="CE86" s="308"/>
      <c r="CF86" s="308"/>
      <c r="CG86" s="308"/>
      <c r="CI86" s="548"/>
      <c r="CJ86" s="548"/>
    </row>
    <row r="87" spans="1:125" ht="15" customHeight="1">
      <c r="BB87" s="308"/>
      <c r="BC87" s="308"/>
      <c r="BD87" s="308"/>
      <c r="BE87" s="308"/>
      <c r="BF87" s="308"/>
      <c r="BG87" s="308"/>
      <c r="BH87" s="308"/>
      <c r="BI87" s="308"/>
      <c r="BJ87" s="308"/>
      <c r="BK87" s="308"/>
      <c r="BL87" s="308"/>
      <c r="BM87" s="308"/>
      <c r="BN87" s="308"/>
      <c r="BO87" s="308"/>
      <c r="BP87" s="308"/>
      <c r="BQ87" s="308"/>
      <c r="BR87" s="308"/>
      <c r="BS87" s="308"/>
      <c r="BT87" s="308"/>
      <c r="BU87" s="308"/>
      <c r="BV87" s="579"/>
      <c r="BW87" s="308"/>
      <c r="BX87" s="308"/>
      <c r="BY87" s="308"/>
      <c r="BZ87" s="308"/>
      <c r="CA87" s="308"/>
      <c r="CB87" s="308"/>
      <c r="CC87" s="308"/>
      <c r="CD87" s="308"/>
      <c r="CE87" s="308"/>
      <c r="CF87" s="308"/>
      <c r="CG87" s="308"/>
    </row>
    <row r="88" spans="1:125" ht="15" customHeight="1">
      <c r="BB88" s="308"/>
      <c r="BC88" s="308"/>
      <c r="BD88" s="308"/>
      <c r="BE88" s="308"/>
      <c r="BF88" s="308"/>
      <c r="BG88" s="308"/>
      <c r="BH88" s="308"/>
      <c r="BI88" s="308"/>
      <c r="BJ88" s="308"/>
      <c r="BK88" s="308"/>
      <c r="BL88" s="308"/>
      <c r="BM88" s="308"/>
      <c r="BN88" s="308"/>
      <c r="BO88" s="308"/>
      <c r="BP88" s="308"/>
      <c r="BQ88" s="308"/>
      <c r="BR88" s="308"/>
      <c r="BS88" s="308"/>
      <c r="BT88" s="308"/>
      <c r="BU88" s="308"/>
      <c r="BV88" s="579"/>
      <c r="BW88" s="308"/>
      <c r="BX88" s="308"/>
      <c r="BY88" s="308"/>
      <c r="BZ88" s="308"/>
      <c r="CA88" s="308"/>
      <c r="CB88" s="308"/>
      <c r="CC88" s="308"/>
      <c r="CD88" s="308"/>
      <c r="CE88" s="308"/>
      <c r="CF88" s="308"/>
      <c r="CG88" s="308"/>
      <c r="CI88" s="551"/>
      <c r="CJ88" s="551"/>
    </row>
    <row r="89" spans="1:125" ht="15" customHeight="1">
      <c r="BB89" s="308"/>
      <c r="BC89" s="308"/>
      <c r="BD89" s="308"/>
      <c r="BE89" s="308"/>
      <c r="BF89" s="308"/>
      <c r="BG89" s="308"/>
      <c r="BH89" s="308"/>
      <c r="BI89" s="308"/>
      <c r="BJ89" s="308"/>
      <c r="BK89" s="308"/>
      <c r="BL89" s="308"/>
      <c r="BM89" s="308"/>
      <c r="BN89" s="308"/>
      <c r="BO89" s="308"/>
      <c r="BP89" s="308"/>
      <c r="BQ89" s="308"/>
      <c r="BR89" s="308"/>
      <c r="BS89" s="308"/>
      <c r="BT89" s="308"/>
      <c r="BU89" s="308"/>
      <c r="BV89" s="579"/>
      <c r="BW89" s="308"/>
      <c r="BX89" s="308"/>
      <c r="BY89" s="308"/>
      <c r="BZ89" s="308"/>
      <c r="CA89" s="308"/>
      <c r="CB89" s="308"/>
      <c r="CC89" s="308"/>
      <c r="CD89" s="308"/>
      <c r="CE89" s="308"/>
      <c r="CF89" s="308"/>
      <c r="CG89" s="308"/>
    </row>
    <row r="90" spans="1:125" s="548" customFormat="1" ht="15" customHeight="1">
      <c r="A90" s="528"/>
      <c r="B90" s="528"/>
      <c r="C90" s="528"/>
      <c r="D90" s="528"/>
      <c r="E90" s="528"/>
      <c r="F90" s="528"/>
      <c r="G90" s="528"/>
      <c r="H90" s="528"/>
      <c r="I90" s="528"/>
      <c r="J90" s="528"/>
      <c r="K90" s="528"/>
      <c r="L90" s="528"/>
      <c r="M90" s="528"/>
      <c r="N90" s="528"/>
      <c r="O90" s="528"/>
      <c r="P90" s="528"/>
      <c r="Q90" s="528"/>
      <c r="R90" s="528"/>
      <c r="S90" s="528"/>
      <c r="T90" s="528"/>
      <c r="U90" s="528"/>
      <c r="V90" s="528"/>
      <c r="W90" s="528"/>
      <c r="X90" s="528"/>
      <c r="Y90" s="528"/>
      <c r="Z90" s="528"/>
      <c r="AA90" s="528"/>
      <c r="AB90" s="528"/>
      <c r="AC90" s="528"/>
      <c r="AD90" s="528"/>
      <c r="AE90" s="528"/>
      <c r="AF90" s="528"/>
      <c r="AG90" s="528"/>
      <c r="AH90" s="528"/>
      <c r="AI90" s="528"/>
      <c r="AJ90" s="528"/>
      <c r="AK90" s="528"/>
      <c r="AL90" s="528"/>
      <c r="AM90" s="529"/>
      <c r="AN90" s="529"/>
      <c r="AO90" s="529"/>
      <c r="AP90" s="529"/>
      <c r="AQ90" s="529"/>
      <c r="AR90" s="529"/>
      <c r="AS90" s="529"/>
      <c r="AT90" s="529"/>
      <c r="AU90" s="529"/>
      <c r="AV90" s="529"/>
      <c r="AW90" s="529"/>
      <c r="AX90" s="529"/>
      <c r="AY90" s="529"/>
      <c r="AZ90" s="529"/>
      <c r="BA90" s="529"/>
      <c r="BB90" s="308"/>
      <c r="BC90" s="308"/>
      <c r="BD90" s="308"/>
      <c r="BE90" s="308"/>
      <c r="BF90" s="308"/>
      <c r="BG90" s="308"/>
      <c r="BH90" s="308"/>
      <c r="BI90" s="308"/>
      <c r="BJ90" s="308"/>
      <c r="BK90" s="308"/>
      <c r="BL90" s="308"/>
      <c r="BM90" s="308"/>
      <c r="BN90" s="308"/>
      <c r="BO90" s="308"/>
      <c r="BP90" s="308"/>
      <c r="BQ90" s="308"/>
      <c r="BR90" s="308"/>
      <c r="BS90" s="308"/>
      <c r="BT90" s="308"/>
      <c r="BU90" s="308"/>
      <c r="BV90" s="579"/>
      <c r="BW90" s="308"/>
      <c r="BX90" s="308"/>
      <c r="BY90" s="308"/>
      <c r="BZ90" s="308"/>
      <c r="CA90" s="308"/>
      <c r="CB90" s="308"/>
      <c r="CC90" s="308"/>
      <c r="CD90" s="308"/>
      <c r="CE90" s="308"/>
      <c r="CF90" s="308"/>
      <c r="CG90" s="308"/>
      <c r="CI90" s="528"/>
      <c r="CJ90" s="528"/>
      <c r="CK90" s="528"/>
      <c r="CL90" s="528"/>
      <c r="CM90" s="528"/>
      <c r="CN90" s="528"/>
      <c r="CO90" s="528"/>
      <c r="CP90" s="528"/>
      <c r="CQ90" s="528"/>
      <c r="CR90" s="528"/>
      <c r="CS90" s="528"/>
      <c r="CT90" s="528"/>
      <c r="CU90" s="528"/>
      <c r="CV90" s="528"/>
      <c r="CW90" s="528"/>
      <c r="CX90" s="528"/>
      <c r="CY90" s="528"/>
      <c r="CZ90" s="528"/>
      <c r="DA90" s="528"/>
      <c r="DB90" s="528"/>
      <c r="DC90" s="528"/>
      <c r="DD90" s="528"/>
      <c r="DE90" s="528"/>
      <c r="DF90" s="528"/>
      <c r="DG90" s="528"/>
      <c r="DH90" s="528"/>
      <c r="DI90" s="528"/>
      <c r="DJ90" s="528"/>
      <c r="DK90" s="528"/>
      <c r="DL90" s="528"/>
      <c r="DM90" s="528"/>
      <c r="DN90" s="528"/>
      <c r="DO90" s="528"/>
      <c r="DP90" s="528"/>
      <c r="DQ90" s="528"/>
      <c r="DR90" s="528"/>
      <c r="DS90" s="528"/>
      <c r="DT90" s="528"/>
      <c r="DU90" s="528"/>
    </row>
    <row r="91" spans="1:125" s="308" customFormat="1" ht="15" customHeight="1">
      <c r="A91" s="528"/>
      <c r="B91" s="528"/>
      <c r="C91" s="528"/>
      <c r="D91" s="528"/>
      <c r="E91" s="528"/>
      <c r="F91" s="528"/>
      <c r="G91" s="528"/>
      <c r="H91" s="528"/>
      <c r="I91" s="528"/>
      <c r="J91" s="528"/>
      <c r="K91" s="528"/>
      <c r="L91" s="528"/>
      <c r="M91" s="528"/>
      <c r="N91" s="528"/>
      <c r="O91" s="528"/>
      <c r="P91" s="528"/>
      <c r="Q91" s="528"/>
      <c r="R91" s="528"/>
      <c r="S91" s="528"/>
      <c r="T91" s="528"/>
      <c r="U91" s="528"/>
      <c r="V91" s="528"/>
      <c r="W91" s="528"/>
      <c r="X91" s="528"/>
      <c r="Y91" s="528"/>
      <c r="Z91" s="528"/>
      <c r="AA91" s="528"/>
      <c r="AB91" s="528"/>
      <c r="AC91" s="528"/>
      <c r="AD91" s="528"/>
      <c r="AE91" s="528"/>
      <c r="AF91" s="528"/>
      <c r="AG91" s="528"/>
      <c r="AH91" s="528"/>
      <c r="AI91" s="528"/>
      <c r="AJ91" s="528"/>
      <c r="AK91" s="528"/>
      <c r="AL91" s="528"/>
      <c r="AM91" s="529"/>
      <c r="AN91" s="529"/>
      <c r="AO91" s="529"/>
      <c r="AP91" s="529"/>
      <c r="AQ91" s="529"/>
      <c r="AR91" s="529"/>
      <c r="AS91" s="529"/>
      <c r="AT91" s="529"/>
      <c r="AU91" s="529"/>
      <c r="AV91" s="529"/>
      <c r="AW91" s="529"/>
      <c r="AX91" s="529"/>
      <c r="AY91" s="529"/>
      <c r="AZ91" s="529"/>
      <c r="BA91" s="529"/>
      <c r="BV91" s="579"/>
    </row>
    <row r="92" spans="1:125" s="308" customFormat="1" ht="15" customHeight="1">
      <c r="A92" s="528"/>
      <c r="B92" s="528"/>
      <c r="C92" s="528"/>
      <c r="D92" s="528"/>
      <c r="E92" s="528"/>
      <c r="F92" s="528"/>
      <c r="G92" s="528"/>
      <c r="H92" s="528"/>
      <c r="I92" s="528"/>
      <c r="J92" s="528"/>
      <c r="K92" s="528"/>
      <c r="L92" s="528"/>
      <c r="M92" s="528"/>
      <c r="N92" s="528"/>
      <c r="O92" s="528"/>
      <c r="P92" s="528"/>
      <c r="Q92" s="528"/>
      <c r="R92" s="528"/>
      <c r="S92" s="528"/>
      <c r="T92" s="528"/>
      <c r="U92" s="528"/>
      <c r="V92" s="528"/>
      <c r="W92" s="528"/>
      <c r="X92" s="528"/>
      <c r="Y92" s="528"/>
      <c r="Z92" s="528"/>
      <c r="AA92" s="528"/>
      <c r="AB92" s="528"/>
      <c r="AC92" s="528"/>
      <c r="AD92" s="528"/>
      <c r="AE92" s="528"/>
      <c r="AF92" s="528"/>
      <c r="AG92" s="528"/>
      <c r="AH92" s="528"/>
      <c r="AI92" s="528"/>
      <c r="AJ92" s="528"/>
      <c r="AK92" s="528"/>
      <c r="AL92" s="528"/>
      <c r="AM92" s="529"/>
      <c r="AN92" s="529"/>
      <c r="AO92" s="529"/>
      <c r="AP92" s="529"/>
      <c r="AQ92" s="529"/>
      <c r="AR92" s="529"/>
      <c r="AS92" s="529"/>
      <c r="AT92" s="529"/>
      <c r="AU92" s="529"/>
      <c r="AV92" s="529"/>
      <c r="AW92" s="529"/>
      <c r="AX92" s="529"/>
      <c r="AY92" s="529"/>
      <c r="AZ92" s="529"/>
      <c r="BA92" s="529"/>
      <c r="BV92" s="579"/>
    </row>
    <row r="93" spans="1:125" s="604" customFormat="1" ht="15" customHeight="1">
      <c r="A93" s="528"/>
      <c r="B93" s="528"/>
      <c r="C93" s="528"/>
      <c r="D93" s="528"/>
      <c r="E93" s="528"/>
      <c r="F93" s="528"/>
      <c r="G93" s="528"/>
      <c r="H93" s="528"/>
      <c r="I93" s="528"/>
      <c r="J93" s="528"/>
      <c r="K93" s="528"/>
      <c r="L93" s="528"/>
      <c r="M93" s="528"/>
      <c r="N93" s="528"/>
      <c r="O93" s="528"/>
      <c r="P93" s="528"/>
      <c r="Q93" s="528"/>
      <c r="R93" s="528"/>
      <c r="S93" s="528"/>
      <c r="T93" s="528"/>
      <c r="U93" s="528"/>
      <c r="V93" s="528"/>
      <c r="W93" s="528"/>
      <c r="X93" s="528"/>
      <c r="Y93" s="528"/>
      <c r="Z93" s="528"/>
      <c r="AA93" s="528"/>
      <c r="AB93" s="528"/>
      <c r="AC93" s="528"/>
      <c r="AD93" s="528"/>
      <c r="AE93" s="528"/>
      <c r="AF93" s="528"/>
      <c r="AG93" s="528"/>
      <c r="AH93" s="528"/>
      <c r="AI93" s="528"/>
      <c r="AJ93" s="528"/>
      <c r="AK93" s="528"/>
      <c r="AL93" s="528"/>
      <c r="AM93" s="529"/>
      <c r="AN93" s="529"/>
      <c r="AO93" s="529"/>
      <c r="AP93" s="529"/>
      <c r="AQ93" s="529"/>
      <c r="AR93" s="529"/>
      <c r="AS93" s="529"/>
      <c r="AT93" s="529"/>
      <c r="AU93" s="529"/>
      <c r="AV93" s="529"/>
      <c r="AW93" s="529"/>
      <c r="AX93" s="529"/>
      <c r="AY93" s="605"/>
      <c r="AZ93" s="605"/>
      <c r="BA93" s="605"/>
      <c r="BE93" s="606"/>
      <c r="BK93" s="606"/>
      <c r="BV93" s="532"/>
    </row>
  </sheetData>
  <sheetProtection formatCells="0" formatColumns="0" formatRows="0" insertColumns="0" insertRows="0" insertHyperlinks="0" deleteColumns="0" deleteRows="0" sort="0" autoFilter="0" pivotTables="0"/>
  <protectedRanges>
    <protectedRange sqref="AY19 C7:C20" name="Range1" securityDescriptor="O:WDG:WDD:(A;;CC;;;WD)"/>
    <protectedRange sqref="AB20:AC20 AM20 AE7:AG20" name="Range1_1" securityDescriptor="O:WDG:WDD:(A;;CC;;;WD)"/>
    <protectedRange sqref="AM7:AM19" name="Range1_1_2" securityDescriptor="O:WDG:WDD:(A;;CC;;;WD)"/>
    <protectedRange sqref="AB7:AC19" name="Range1_1_2_1" securityDescriptor="O:WDG:WDD:(A;;CC;;;WD)"/>
    <protectedRange sqref="C28 C23:C26" name="Range1_2" securityDescriptor=""/>
    <protectedRange sqref="AB28:AC28 AE28:AG28 AM28 AB23:AC26 AE23:AG26" name="Range1_1_1" securityDescriptor=""/>
    <protectedRange sqref="AM23:AM26" name="Range1_1_2_1_1" securityDescriptor=""/>
  </protectedRanges>
  <mergeCells count="163">
    <mergeCell ref="B1:F1"/>
    <mergeCell ref="M1:R1"/>
    <mergeCell ref="B3:AS4"/>
    <mergeCell ref="AU3:AV4"/>
    <mergeCell ref="B5:M6"/>
    <mergeCell ref="N5:AA6"/>
    <mergeCell ref="AB5:AD6"/>
    <mergeCell ref="AE5:AH6"/>
    <mergeCell ref="AI5:AL6"/>
    <mergeCell ref="AM5:AN6"/>
    <mergeCell ref="AS7:AV7"/>
    <mergeCell ref="AM8:AN8"/>
    <mergeCell ref="AO8:AR8"/>
    <mergeCell ref="AS8:AV8"/>
    <mergeCell ref="AO5:AR6"/>
    <mergeCell ref="AS5:AV6"/>
    <mergeCell ref="C8:M8"/>
    <mergeCell ref="N8:P8"/>
    <mergeCell ref="Q8:AA8"/>
    <mergeCell ref="AB8:AD8"/>
    <mergeCell ref="AE8:AH8"/>
    <mergeCell ref="AI8:AL8"/>
    <mergeCell ref="C7:M7"/>
    <mergeCell ref="N7:AA7"/>
    <mergeCell ref="AE7:AH7"/>
    <mergeCell ref="AI7:AL7"/>
    <mergeCell ref="AM7:AN7"/>
    <mergeCell ref="AO7:AR7"/>
    <mergeCell ref="AB9:AD9"/>
    <mergeCell ref="AE9:AH9"/>
    <mergeCell ref="AI9:AL9"/>
    <mergeCell ref="AM9:AN9"/>
    <mergeCell ref="AO9:AR9"/>
    <mergeCell ref="AB7:AD7"/>
    <mergeCell ref="AS9:AV9"/>
    <mergeCell ref="C10:M10"/>
    <mergeCell ref="R10:AA10"/>
    <mergeCell ref="AB10:AD10"/>
    <mergeCell ref="AE10:AH10"/>
    <mergeCell ref="AI10:AL10"/>
    <mergeCell ref="AM10:AN10"/>
    <mergeCell ref="AO10:AR10"/>
    <mergeCell ref="AS10:AV10"/>
    <mergeCell ref="C9:M9"/>
    <mergeCell ref="C11:M11"/>
    <mergeCell ref="R11:AA11"/>
    <mergeCell ref="AB11:AD11"/>
    <mergeCell ref="AE11:AH11"/>
    <mergeCell ref="AI11:AL11"/>
    <mergeCell ref="AM11:AN11"/>
    <mergeCell ref="C12:M12"/>
    <mergeCell ref="T12:W12"/>
    <mergeCell ref="X12:AA12"/>
    <mergeCell ref="AB12:AD12"/>
    <mergeCell ref="AE12:AH12"/>
    <mergeCell ref="AI12:AL12"/>
    <mergeCell ref="AM13:AN13"/>
    <mergeCell ref="AO13:AR13"/>
    <mergeCell ref="AS13:AV13"/>
    <mergeCell ref="BW13:CB13"/>
    <mergeCell ref="AO11:AR11"/>
    <mergeCell ref="AS11:AV11"/>
    <mergeCell ref="AM12:AN12"/>
    <mergeCell ref="AO12:AR12"/>
    <mergeCell ref="AS12:AV12"/>
    <mergeCell ref="AM14:AN14"/>
    <mergeCell ref="AO14:AR14"/>
    <mergeCell ref="AS14:AV14"/>
    <mergeCell ref="BW12:CB12"/>
    <mergeCell ref="C13:M13"/>
    <mergeCell ref="N13:R13"/>
    <mergeCell ref="U13:AA13"/>
    <mergeCell ref="AB13:AD13"/>
    <mergeCell ref="AE13:AH13"/>
    <mergeCell ref="AI13:AL13"/>
    <mergeCell ref="AO15:AR15"/>
    <mergeCell ref="AS15:AV15"/>
    <mergeCell ref="AO16:AR16"/>
    <mergeCell ref="AS16:AV16"/>
    <mergeCell ref="C14:M14"/>
    <mergeCell ref="T14:W14"/>
    <mergeCell ref="X14:AA14"/>
    <mergeCell ref="AB14:AD14"/>
    <mergeCell ref="AE14:AH14"/>
    <mergeCell ref="AI14:AL14"/>
    <mergeCell ref="C15:M15"/>
    <mergeCell ref="N15:AA15"/>
    <mergeCell ref="AB15:AD15"/>
    <mergeCell ref="AE15:AH15"/>
    <mergeCell ref="AI15:AL15"/>
    <mergeCell ref="AM15:AN15"/>
    <mergeCell ref="C16:M16"/>
    <mergeCell ref="N16:AA16"/>
    <mergeCell ref="AB16:AD16"/>
    <mergeCell ref="AE16:AH16"/>
    <mergeCell ref="AI16:AL16"/>
    <mergeCell ref="AM16:AN16"/>
    <mergeCell ref="AS19:AV19"/>
    <mergeCell ref="C17:M17"/>
    <mergeCell ref="N17:AA17"/>
    <mergeCell ref="AB17:AD17"/>
    <mergeCell ref="AE17:AH17"/>
    <mergeCell ref="AI17:AL17"/>
    <mergeCell ref="AM17:AN17"/>
    <mergeCell ref="AO17:AR17"/>
    <mergeCell ref="AS17:AV17"/>
    <mergeCell ref="AM19:AN19"/>
    <mergeCell ref="AO19:AR19"/>
    <mergeCell ref="C18:M18"/>
    <mergeCell ref="N18:AA18"/>
    <mergeCell ref="AB18:AD18"/>
    <mergeCell ref="AE18:AH18"/>
    <mergeCell ref="AI18:AL18"/>
    <mergeCell ref="AM18:AN18"/>
    <mergeCell ref="AO23:AR23"/>
    <mergeCell ref="AS23:AV23"/>
    <mergeCell ref="AO18:AR18"/>
    <mergeCell ref="AS18:AV18"/>
    <mergeCell ref="C19:M19"/>
    <mergeCell ref="N19:O19"/>
    <mergeCell ref="T19:AA19"/>
    <mergeCell ref="AB19:AD19"/>
    <mergeCell ref="AE19:AH19"/>
    <mergeCell ref="AI19:AL19"/>
    <mergeCell ref="B20:AH21"/>
    <mergeCell ref="AI20:AL21"/>
    <mergeCell ref="AO20:AR21"/>
    <mergeCell ref="AS20:AV21"/>
    <mergeCell ref="C23:M23"/>
    <mergeCell ref="R23:AA23"/>
    <mergeCell ref="AB23:AD23"/>
    <mergeCell ref="AE23:AH23"/>
    <mergeCell ref="AI23:AL23"/>
    <mergeCell ref="AM23:AN23"/>
    <mergeCell ref="AO24:AR24"/>
    <mergeCell ref="AS24:AV24"/>
    <mergeCell ref="C25:M25"/>
    <mergeCell ref="R25:AA25"/>
    <mergeCell ref="AB25:AD25"/>
    <mergeCell ref="AE25:AH25"/>
    <mergeCell ref="AI25:AL25"/>
    <mergeCell ref="AM25:AN25"/>
    <mergeCell ref="AO25:AR25"/>
    <mergeCell ref="AS25:AV25"/>
    <mergeCell ref="AE26:AH26"/>
    <mergeCell ref="AI26:AL26"/>
    <mergeCell ref="AM26:AN26"/>
    <mergeCell ref="C24:M24"/>
    <mergeCell ref="R24:AA24"/>
    <mergeCell ref="AB24:AD24"/>
    <mergeCell ref="AE24:AH24"/>
    <mergeCell ref="AI24:AL24"/>
    <mergeCell ref="AM24:AN24"/>
    <mergeCell ref="AI30:AL30"/>
    <mergeCell ref="AO26:AR26"/>
    <mergeCell ref="AS26:AV26"/>
    <mergeCell ref="B28:AH29"/>
    <mergeCell ref="AI28:AL29"/>
    <mergeCell ref="AO28:AR29"/>
    <mergeCell ref="AS28:AV29"/>
    <mergeCell ref="C26:M26"/>
    <mergeCell ref="V26:AA26"/>
    <mergeCell ref="AB26:AD26"/>
  </mergeCells>
  <dataValidations count="2">
    <dataValidation allowBlank="1" showInputMessage="1" showErrorMessage="1" sqref="AS23:AV26"/>
    <dataValidation type="whole" operator="lessThan" allowBlank="1" showInputMessage="1" showErrorMessage="1" sqref="AM20:AN22 AO23:AR26 AO7:AV22 AI7:AL26 AB7:AD8">
      <formula1>-5</formula1>
    </dataValidation>
  </dataValidations>
  <pageMargins left="0.7" right="0.7" top="0.75" bottom="0.75" header="0.3" footer="0.3"/>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BR153"/>
  <sheetViews>
    <sheetView showGridLines="0" view="pageBreakPreview" topLeftCell="A10" zoomScaleNormal="85" zoomScaleSheetLayoutView="100" workbookViewId="0">
      <selection activeCell="E31" sqref="E31"/>
    </sheetView>
  </sheetViews>
  <sheetFormatPr defaultColWidth="2.7109375" defaultRowHeight="12.95" customHeight="1"/>
  <cols>
    <col min="1" max="1" width="5.7109375" style="607" customWidth="1"/>
    <col min="2" max="2" width="8.42578125" style="607" customWidth="1"/>
    <col min="3" max="4" width="0.85546875" style="607" customWidth="1"/>
    <col min="5" max="6" width="2.7109375" style="607"/>
    <col min="7" max="7" width="4.7109375" style="607" customWidth="1"/>
    <col min="8" max="9" width="2.7109375" style="607"/>
    <col min="10" max="10" width="20" style="607" bestFit="1" customWidth="1"/>
    <col min="11" max="11" width="2.7109375" style="607"/>
    <col min="12" max="12" width="1.140625" style="607" customWidth="1"/>
    <col min="13" max="13" width="2.7109375" style="607" customWidth="1"/>
    <col min="14" max="14" width="59.85546875" style="607" bestFit="1" customWidth="1"/>
    <col min="15" max="42" width="2.7109375" style="607"/>
    <col min="43" max="44" width="0.85546875" style="607" customWidth="1"/>
    <col min="45" max="16384" width="2.7109375" style="607"/>
  </cols>
  <sheetData>
    <row r="2" spans="4:43" ht="80.099999999999994" customHeight="1"/>
    <row r="3" spans="4:43" s="610" customFormat="1" ht="18" customHeight="1">
      <c r="D3" s="608" t="s">
        <v>2014</v>
      </c>
      <c r="E3" s="608"/>
      <c r="F3" s="608"/>
      <c r="G3" s="608"/>
      <c r="H3" s="608"/>
      <c r="I3" s="608"/>
      <c r="J3" s="608"/>
      <c r="K3" s="608"/>
      <c r="L3" s="608"/>
      <c r="M3" s="608"/>
      <c r="N3" s="608"/>
      <c r="O3" s="608"/>
      <c r="P3" s="608"/>
      <c r="Q3" s="608"/>
      <c r="R3" s="608"/>
      <c r="S3" s="608"/>
      <c r="T3" s="308"/>
      <c r="U3" s="308"/>
      <c r="V3" s="609"/>
      <c r="W3" s="609"/>
      <c r="X3" s="609"/>
      <c r="Y3" s="609"/>
      <c r="Z3" s="609"/>
    </row>
    <row r="4" spans="4:43" ht="27.95" customHeight="1">
      <c r="D4" s="1156" t="str">
        <f>" "&amp;Entry!L25</f>
        <v xml:space="preserve"> PT. BANK BRI (PERSERO), Tbk.</v>
      </c>
      <c r="E4" s="611"/>
      <c r="F4" s="611"/>
      <c r="G4" s="611"/>
      <c r="H4" s="611"/>
      <c r="I4" s="611"/>
      <c r="J4" s="611"/>
      <c r="K4" s="611"/>
      <c r="L4" s="611"/>
      <c r="M4" s="611"/>
      <c r="N4" s="611"/>
      <c r="O4" s="611"/>
      <c r="P4" s="611"/>
      <c r="Q4" s="611"/>
      <c r="R4" s="611"/>
      <c r="S4" s="611"/>
      <c r="T4" s="612"/>
      <c r="U4" s="612"/>
      <c r="V4" s="613"/>
      <c r="W4" s="613"/>
      <c r="X4" s="613"/>
      <c r="Y4" s="613"/>
      <c r="Z4" s="613"/>
    </row>
    <row r="5" spans="4:43" s="615" customFormat="1" ht="15" customHeight="1">
      <c r="D5" s="1109" t="str">
        <f>CONCATENATE("Laporan ini terdiri dari ",$AW$55," ",$K$74," lembar yang tidak terpisahkan.")</f>
        <v>Laporan ini terdiri dari 10 (sepuluh) lembar yang tidak terpisahkan.</v>
      </c>
      <c r="E5" s="1109"/>
      <c r="F5" s="614"/>
      <c r="G5" s="614"/>
      <c r="H5" s="614"/>
      <c r="I5" s="614"/>
      <c r="J5" s="614"/>
      <c r="K5" s="614"/>
      <c r="L5" s="614"/>
      <c r="M5" s="614"/>
      <c r="N5" s="614"/>
      <c r="O5" s="614"/>
      <c r="P5" s="614"/>
      <c r="Q5" s="614"/>
      <c r="R5" s="614"/>
      <c r="S5" s="614"/>
      <c r="T5" s="614"/>
      <c r="U5" s="614"/>
      <c r="V5" s="614"/>
      <c r="W5" s="614"/>
      <c r="X5" s="614"/>
      <c r="Y5" s="614"/>
      <c r="Z5" s="614"/>
      <c r="AA5" s="614"/>
      <c r="AB5" s="614"/>
      <c r="AC5" s="614"/>
      <c r="AD5" s="614"/>
      <c r="AE5" s="614"/>
      <c r="AF5" s="614"/>
      <c r="AG5" s="614"/>
      <c r="AH5" s="614"/>
      <c r="AI5" s="614"/>
      <c r="AJ5" s="614"/>
      <c r="AK5" s="614"/>
      <c r="AL5" s="614"/>
      <c r="AM5" s="614"/>
      <c r="AN5" s="614"/>
      <c r="AO5" s="614"/>
      <c r="AP5" s="614"/>
      <c r="AQ5" s="614"/>
    </row>
    <row r="6" spans="4:43" ht="9.9499999999999993" customHeight="1"/>
    <row r="7" spans="4:43" s="617" customFormat="1" ht="18.95" customHeight="1">
      <c r="D7" s="616" t="s">
        <v>2015</v>
      </c>
    </row>
    <row r="8" spans="4:43" s="623" customFormat="1" ht="15" customHeight="1">
      <c r="D8" s="650"/>
      <c r="E8" s="1265" t="s">
        <v>1857</v>
      </c>
      <c r="F8" s="1265"/>
      <c r="G8" s="1265"/>
      <c r="H8" s="1265"/>
      <c r="I8" s="1265"/>
      <c r="J8" s="1265"/>
      <c r="K8" s="1265"/>
      <c r="L8" s="1265"/>
      <c r="M8" s="1266" t="s">
        <v>5</v>
      </c>
      <c r="N8" s="1267" t="str">
        <f>Entry!L10</f>
        <v>04 Mei 2018</v>
      </c>
      <c r="O8" s="1268"/>
      <c r="P8" s="1269"/>
      <c r="Q8" s="1269"/>
      <c r="R8" s="1269"/>
      <c r="S8" s="1269"/>
      <c r="T8" s="1269"/>
      <c r="U8" s="1269"/>
      <c r="V8" s="1269"/>
      <c r="W8" s="1269"/>
      <c r="X8" s="654"/>
      <c r="Y8" s="1265" t="s">
        <v>2034</v>
      </c>
      <c r="Z8" s="1265"/>
      <c r="AA8" s="1265"/>
      <c r="AB8" s="1265"/>
      <c r="AC8" s="1266" t="s">
        <v>5</v>
      </c>
      <c r="AD8" s="1270" t="str">
        <f>Entry!L9</f>
        <v>0123-LK/KJPP-ASUS/V/18</v>
      </c>
      <c r="AE8" s="1265"/>
      <c r="AF8" s="1265"/>
      <c r="AG8" s="1271"/>
      <c r="AH8" s="1269"/>
      <c r="AI8" s="1269"/>
      <c r="AJ8" s="1269"/>
      <c r="AK8" s="1269"/>
      <c r="AL8" s="1269"/>
      <c r="AM8" s="1269"/>
      <c r="AN8" s="653"/>
      <c r="AO8" s="653"/>
      <c r="AP8" s="651"/>
      <c r="AQ8" s="655"/>
    </row>
    <row r="9" spans="4:43" ht="6" customHeight="1">
      <c r="D9" s="618"/>
      <c r="E9" s="619"/>
      <c r="F9" s="619"/>
      <c r="G9" s="619"/>
      <c r="H9" s="619"/>
      <c r="I9" s="619"/>
      <c r="J9" s="619"/>
      <c r="K9" s="619"/>
      <c r="L9" s="619"/>
      <c r="M9" s="619"/>
      <c r="N9" s="619"/>
      <c r="O9" s="619"/>
      <c r="P9" s="619"/>
      <c r="Q9" s="619"/>
      <c r="R9" s="619"/>
      <c r="S9" s="619"/>
      <c r="T9" s="619"/>
      <c r="U9" s="619"/>
      <c r="V9" s="619"/>
      <c r="W9" s="619"/>
      <c r="X9" s="619"/>
      <c r="Y9" s="619"/>
      <c r="Z9" s="619"/>
      <c r="AA9" s="619"/>
      <c r="AB9" s="619"/>
      <c r="AC9" s="619"/>
      <c r="AD9" s="619"/>
      <c r="AE9" s="619"/>
      <c r="AF9" s="619"/>
      <c r="AG9" s="619"/>
      <c r="AH9" s="619"/>
      <c r="AI9" s="619"/>
      <c r="AJ9" s="619"/>
      <c r="AK9" s="619"/>
      <c r="AL9" s="619"/>
      <c r="AM9" s="619"/>
      <c r="AN9" s="619"/>
      <c r="AO9" s="619"/>
      <c r="AP9" s="619"/>
      <c r="AQ9" s="620"/>
    </row>
    <row r="10" spans="4:43" s="623" customFormat="1" ht="15" customHeight="1">
      <c r="D10" s="654"/>
      <c r="E10" s="651" t="s">
        <v>2016</v>
      </c>
      <c r="F10" s="651"/>
      <c r="G10" s="651"/>
      <c r="H10" s="651"/>
      <c r="I10" s="651"/>
      <c r="J10" s="651"/>
      <c r="K10" s="651"/>
      <c r="L10" s="651"/>
      <c r="M10" s="652" t="s">
        <v>5</v>
      </c>
      <c r="N10" s="1160" t="s">
        <v>2017</v>
      </c>
      <c r="O10" s="1161"/>
      <c r="P10" s="653"/>
      <c r="Q10" s="653"/>
      <c r="R10" s="653"/>
      <c r="S10" s="653"/>
      <c r="T10" s="653"/>
      <c r="U10" s="653"/>
      <c r="V10" s="653"/>
      <c r="W10" s="653"/>
      <c r="X10" s="653"/>
      <c r="Y10" s="653"/>
      <c r="Z10" s="653"/>
      <c r="AA10" s="653"/>
      <c r="AB10" s="653"/>
      <c r="AC10" s="653"/>
      <c r="AD10" s="653"/>
      <c r="AE10" s="653"/>
      <c r="AF10" s="653"/>
      <c r="AG10" s="653"/>
      <c r="AH10" s="653"/>
      <c r="AI10" s="653"/>
      <c r="AJ10" s="653"/>
      <c r="AK10" s="653"/>
      <c r="AL10" s="653"/>
      <c r="AM10" s="653"/>
      <c r="AN10" s="653"/>
      <c r="AO10" s="653"/>
      <c r="AP10" s="651"/>
      <c r="AQ10" s="655"/>
    </row>
    <row r="11" spans="4:43" ht="12.95" customHeight="1">
      <c r="D11" s="624"/>
      <c r="E11" s="613" t="s">
        <v>2018</v>
      </c>
      <c r="F11" s="613"/>
      <c r="G11" s="613"/>
      <c r="H11" s="613"/>
      <c r="I11" s="613"/>
      <c r="J11" s="613"/>
      <c r="K11" s="613"/>
      <c r="L11" s="613"/>
      <c r="M11" s="625" t="s">
        <v>5</v>
      </c>
      <c r="N11" s="626" t="s">
        <v>2019</v>
      </c>
      <c r="O11" s="626"/>
      <c r="P11" s="626"/>
      <c r="Q11" s="626"/>
      <c r="R11" s="626"/>
      <c r="S11" s="626"/>
      <c r="T11" s="626"/>
      <c r="U11" s="626"/>
      <c r="V11" s="626"/>
      <c r="W11" s="626"/>
      <c r="X11" s="626"/>
      <c r="Y11" s="626"/>
      <c r="Z11" s="626"/>
      <c r="AA11" s="626"/>
      <c r="AB11" s="626"/>
      <c r="AC11" s="626"/>
      <c r="AD11" s="626"/>
      <c r="AE11" s="626"/>
      <c r="AF11" s="626"/>
      <c r="AG11" s="626"/>
      <c r="AH11" s="626"/>
      <c r="AI11" s="626"/>
      <c r="AJ11" s="626"/>
      <c r="AK11" s="626"/>
      <c r="AL11" s="626"/>
      <c r="AM11" s="626"/>
      <c r="AN11" s="626"/>
      <c r="AO11" s="626"/>
      <c r="AP11" s="613"/>
      <c r="AQ11" s="627"/>
    </row>
    <row r="12" spans="4:43" ht="12.95" customHeight="1">
      <c r="D12" s="624"/>
      <c r="E12" s="613"/>
      <c r="F12" s="613"/>
      <c r="G12" s="613"/>
      <c r="H12" s="613"/>
      <c r="I12" s="613"/>
      <c r="J12" s="613"/>
      <c r="K12" s="613"/>
      <c r="L12" s="613"/>
      <c r="M12" s="625"/>
      <c r="N12" s="626" t="s">
        <v>2020</v>
      </c>
      <c r="O12" s="626"/>
      <c r="P12" s="626"/>
      <c r="Q12" s="626"/>
      <c r="R12" s="626"/>
      <c r="S12" s="626"/>
      <c r="T12" s="626"/>
      <c r="U12" s="626"/>
      <c r="V12" s="626"/>
      <c r="W12" s="626"/>
      <c r="X12" s="626"/>
      <c r="Y12" s="626"/>
      <c r="Z12" s="626"/>
      <c r="AA12" s="626"/>
      <c r="AB12" s="626"/>
      <c r="AC12" s="626"/>
      <c r="AD12" s="626"/>
      <c r="AE12" s="626"/>
      <c r="AF12" s="626"/>
      <c r="AG12" s="626"/>
      <c r="AH12" s="626"/>
      <c r="AI12" s="626"/>
      <c r="AJ12" s="626"/>
      <c r="AK12" s="626"/>
      <c r="AL12" s="626"/>
      <c r="AM12" s="626"/>
      <c r="AN12" s="626"/>
      <c r="AO12" s="626"/>
      <c r="AP12" s="613"/>
      <c r="AQ12" s="627"/>
    </row>
    <row r="13" spans="4:43" ht="12.95" customHeight="1">
      <c r="D13" s="624"/>
      <c r="E13" s="613" t="s">
        <v>2021</v>
      </c>
      <c r="F13" s="613"/>
      <c r="G13" s="613"/>
      <c r="H13" s="613"/>
      <c r="I13" s="613"/>
      <c r="J13" s="613"/>
      <c r="K13" s="613"/>
      <c r="L13" s="613"/>
      <c r="M13" s="625" t="s">
        <v>5</v>
      </c>
      <c r="N13" s="626" t="s">
        <v>2022</v>
      </c>
      <c r="O13" s="626"/>
      <c r="P13" s="626"/>
      <c r="Q13" s="626"/>
      <c r="R13" s="626"/>
      <c r="S13" s="626"/>
      <c r="T13" s="626"/>
      <c r="U13" s="626"/>
      <c r="V13" s="626"/>
      <c r="W13" s="626"/>
      <c r="X13" s="626"/>
      <c r="Y13" s="626"/>
      <c r="Z13" s="626"/>
      <c r="AA13" s="626"/>
      <c r="AB13" s="626"/>
      <c r="AC13" s="626"/>
      <c r="AD13" s="626"/>
      <c r="AE13" s="626"/>
      <c r="AF13" s="626"/>
      <c r="AG13" s="626"/>
      <c r="AH13" s="626"/>
      <c r="AI13" s="626"/>
      <c r="AJ13" s="626"/>
      <c r="AK13" s="626"/>
      <c r="AL13" s="626"/>
      <c r="AM13" s="626"/>
      <c r="AN13" s="626"/>
      <c r="AO13" s="626"/>
      <c r="AP13" s="613"/>
      <c r="AQ13" s="627"/>
    </row>
    <row r="14" spans="4:43" s="497" customFormat="1" ht="12.95" customHeight="1">
      <c r="D14" s="628"/>
      <c r="E14" s="629" t="s">
        <v>2023</v>
      </c>
      <c r="F14" s="629"/>
      <c r="G14" s="629"/>
      <c r="H14" s="629"/>
      <c r="I14" s="629"/>
      <c r="J14" s="629"/>
      <c r="K14" s="629"/>
      <c r="L14" s="629"/>
      <c r="M14" s="630" t="s">
        <v>5</v>
      </c>
      <c r="N14" s="613" t="str">
        <f>Entry!L5</f>
        <v>Moh. Sugianto. SE.</v>
      </c>
      <c r="O14" s="631"/>
      <c r="P14" s="631"/>
      <c r="Q14" s="631"/>
      <c r="R14" s="631"/>
      <c r="S14" s="631"/>
      <c r="T14" s="631"/>
      <c r="U14" s="631"/>
      <c r="V14" s="631"/>
      <c r="W14" s="631"/>
      <c r="X14" s="631"/>
      <c r="Y14" s="631"/>
      <c r="Z14" s="631"/>
      <c r="AA14" s="631"/>
      <c r="AB14" s="631"/>
      <c r="AC14" s="631"/>
      <c r="AD14" s="631"/>
      <c r="AE14" s="631"/>
      <c r="AF14" s="631"/>
      <c r="AG14" s="631"/>
      <c r="AH14" s="631"/>
      <c r="AI14" s="631"/>
      <c r="AJ14" s="631"/>
      <c r="AK14" s="631"/>
      <c r="AL14" s="631"/>
      <c r="AM14" s="631"/>
      <c r="AN14" s="631"/>
      <c r="AO14" s="631"/>
      <c r="AP14" s="629"/>
      <c r="AQ14" s="632"/>
    </row>
    <row r="15" spans="4:43" s="497" customFormat="1" ht="12.95" customHeight="1">
      <c r="D15" s="628"/>
      <c r="E15" s="629" t="s">
        <v>2024</v>
      </c>
      <c r="F15" s="629"/>
      <c r="G15" s="629"/>
      <c r="H15" s="629"/>
      <c r="I15" s="629"/>
      <c r="J15" s="629"/>
      <c r="K15" s="629"/>
      <c r="L15" s="629"/>
      <c r="M15" s="630" t="s">
        <v>5</v>
      </c>
      <c r="N15" s="613" t="str">
        <f>Entry!L6</f>
        <v>Rizky Pujakesuma</v>
      </c>
      <c r="O15" s="633"/>
      <c r="P15" s="633"/>
      <c r="Q15" s="633"/>
      <c r="R15" s="633"/>
      <c r="S15" s="633"/>
      <c r="T15" s="633"/>
      <c r="U15" s="633"/>
      <c r="V15" s="633"/>
      <c r="W15" s="633"/>
      <c r="X15" s="633"/>
      <c r="Y15" s="633"/>
      <c r="Z15" s="633"/>
      <c r="AA15" s="633"/>
      <c r="AB15" s="633"/>
      <c r="AC15" s="633"/>
      <c r="AD15" s="633"/>
      <c r="AE15" s="633"/>
      <c r="AF15" s="633"/>
      <c r="AG15" s="633"/>
      <c r="AH15" s="633"/>
      <c r="AI15" s="633"/>
      <c r="AJ15" s="633"/>
      <c r="AK15" s="633"/>
      <c r="AL15" s="633"/>
      <c r="AM15" s="633"/>
      <c r="AN15" s="633"/>
      <c r="AO15" s="633"/>
      <c r="AP15" s="629"/>
      <c r="AQ15" s="632"/>
    </row>
    <row r="16" spans="4:43" s="497" customFormat="1" ht="12.95" customHeight="1">
      <c r="D16" s="628"/>
      <c r="E16" s="629" t="s">
        <v>2025</v>
      </c>
      <c r="F16" s="629"/>
      <c r="G16" s="629"/>
      <c r="H16" s="629"/>
      <c r="I16" s="629"/>
      <c r="J16" s="629"/>
      <c r="K16" s="629"/>
      <c r="L16" s="629"/>
      <c r="M16" s="630" t="s">
        <v>5</v>
      </c>
      <c r="N16" s="1884" t="s">
        <v>2026</v>
      </c>
      <c r="O16" s="1884"/>
      <c r="P16" s="1884"/>
      <c r="Q16" s="1884"/>
      <c r="R16" s="1884"/>
      <c r="S16" s="1884"/>
      <c r="T16" s="1884"/>
      <c r="U16" s="1884"/>
      <c r="V16" s="1884"/>
      <c r="W16" s="1884"/>
      <c r="X16" s="1884"/>
      <c r="Y16" s="1884"/>
      <c r="Z16" s="1884"/>
      <c r="AA16" s="1884"/>
      <c r="AB16" s="1884"/>
      <c r="AC16" s="1884"/>
      <c r="AD16" s="1884"/>
      <c r="AE16" s="1884"/>
      <c r="AF16" s="1884"/>
      <c r="AG16" s="1884"/>
      <c r="AH16" s="1884"/>
      <c r="AI16" s="1884"/>
      <c r="AJ16" s="1884"/>
      <c r="AK16" s="1884"/>
      <c r="AL16" s="1884"/>
      <c r="AM16" s="1884"/>
      <c r="AN16" s="1884"/>
      <c r="AO16" s="1884"/>
      <c r="AP16" s="1884"/>
      <c r="AQ16" s="632"/>
    </row>
    <row r="17" spans="4:70" s="497" customFormat="1" ht="12.95" customHeight="1">
      <c r="D17" s="628"/>
      <c r="E17" s="629"/>
      <c r="F17" s="629"/>
      <c r="G17" s="629"/>
      <c r="H17" s="629"/>
      <c r="I17" s="629"/>
      <c r="J17" s="629"/>
      <c r="K17" s="629"/>
      <c r="L17" s="629"/>
      <c r="M17" s="630"/>
      <c r="N17" s="1884"/>
      <c r="O17" s="1884"/>
      <c r="P17" s="1884"/>
      <c r="Q17" s="1884"/>
      <c r="R17" s="1884"/>
      <c r="S17" s="1884"/>
      <c r="T17" s="1884"/>
      <c r="U17" s="1884"/>
      <c r="V17" s="1884"/>
      <c r="W17" s="1884"/>
      <c r="X17" s="1884"/>
      <c r="Y17" s="1884"/>
      <c r="Z17" s="1884"/>
      <c r="AA17" s="1884"/>
      <c r="AB17" s="1884"/>
      <c r="AC17" s="1884"/>
      <c r="AD17" s="1884"/>
      <c r="AE17" s="1884"/>
      <c r="AF17" s="1884"/>
      <c r="AG17" s="1884"/>
      <c r="AH17" s="1884"/>
      <c r="AI17" s="1884"/>
      <c r="AJ17" s="1884"/>
      <c r="AK17" s="1884"/>
      <c r="AL17" s="1884"/>
      <c r="AM17" s="1884"/>
      <c r="AN17" s="1884"/>
      <c r="AO17" s="1884"/>
      <c r="AP17" s="1884"/>
      <c r="AQ17" s="632"/>
    </row>
    <row r="18" spans="4:70" s="497" customFormat="1" ht="3" customHeight="1">
      <c r="D18" s="628"/>
      <c r="E18" s="629"/>
      <c r="F18" s="629"/>
      <c r="G18" s="629"/>
      <c r="H18" s="629"/>
      <c r="I18" s="629"/>
      <c r="J18" s="629"/>
      <c r="K18" s="629"/>
      <c r="L18" s="629"/>
      <c r="M18" s="629"/>
      <c r="N18" s="613"/>
      <c r="O18" s="633"/>
      <c r="P18" s="633"/>
      <c r="Q18" s="633"/>
      <c r="R18" s="633"/>
      <c r="S18" s="633"/>
      <c r="T18" s="633"/>
      <c r="U18" s="633"/>
      <c r="V18" s="633"/>
      <c r="W18" s="633"/>
      <c r="X18" s="633"/>
      <c r="Y18" s="633"/>
      <c r="Z18" s="633"/>
      <c r="AA18" s="633"/>
      <c r="AB18" s="633"/>
      <c r="AC18" s="633"/>
      <c r="AD18" s="633"/>
      <c r="AE18" s="633"/>
      <c r="AF18" s="633"/>
      <c r="AG18" s="633"/>
      <c r="AH18" s="633"/>
      <c r="AI18" s="633"/>
      <c r="AJ18" s="633"/>
      <c r="AK18" s="633"/>
      <c r="AL18" s="633"/>
      <c r="AM18" s="633"/>
      <c r="AN18" s="633"/>
      <c r="AO18" s="633"/>
      <c r="AP18" s="629"/>
      <c r="AQ18" s="632"/>
    </row>
    <row r="19" spans="4:70" s="639" customFormat="1" ht="14.1" customHeight="1">
      <c r="D19" s="634"/>
      <c r="E19" s="635" t="s">
        <v>2027</v>
      </c>
      <c r="F19" s="635"/>
      <c r="G19" s="635"/>
      <c r="H19" s="635"/>
      <c r="I19" s="635"/>
      <c r="J19" s="635"/>
      <c r="K19" s="635"/>
      <c r="L19" s="635"/>
      <c r="M19" s="636"/>
      <c r="N19" s="636"/>
      <c r="O19" s="636"/>
      <c r="P19" s="636"/>
      <c r="Q19" s="636"/>
      <c r="R19" s="636"/>
      <c r="S19" s="636"/>
      <c r="T19" s="636"/>
      <c r="U19" s="636"/>
      <c r="V19" s="636"/>
      <c r="W19" s="637"/>
      <c r="X19" s="636"/>
      <c r="Y19" s="636"/>
      <c r="Z19" s="636"/>
      <c r="AA19" s="636"/>
      <c r="AB19" s="636"/>
      <c r="AC19" s="636"/>
      <c r="AD19" s="636"/>
      <c r="AE19" s="636"/>
      <c r="AF19" s="636"/>
      <c r="AG19" s="636"/>
      <c r="AH19" s="636"/>
      <c r="AI19" s="636"/>
      <c r="AJ19" s="636"/>
      <c r="AK19" s="636"/>
      <c r="AL19" s="636"/>
      <c r="AM19" s="636"/>
      <c r="AN19" s="636"/>
      <c r="AO19" s="636"/>
      <c r="AP19" s="635"/>
      <c r="AQ19" s="638"/>
      <c r="AW19" s="1876" t="s">
        <v>2480</v>
      </c>
      <c r="AX19" s="1876"/>
      <c r="AY19" s="1876"/>
      <c r="AZ19" s="1876"/>
      <c r="BA19" s="1876"/>
      <c r="BB19" s="1876"/>
      <c r="BC19" s="1876"/>
      <c r="BD19" s="1876"/>
      <c r="BE19" s="1876"/>
      <c r="BF19" s="1876"/>
      <c r="BG19" s="1876"/>
      <c r="BH19" s="1876"/>
      <c r="BI19" s="1876"/>
      <c r="BJ19" s="1876"/>
      <c r="BK19" s="1876"/>
      <c r="BL19" s="1876"/>
      <c r="BM19" s="1876"/>
      <c r="BN19" s="1876"/>
      <c r="BO19" s="1876"/>
      <c r="BP19" s="1876"/>
      <c r="BQ19" s="1876"/>
      <c r="BR19" s="1876"/>
    </row>
    <row r="20" spans="4:70" s="497" customFormat="1" ht="12.95" customHeight="1">
      <c r="D20" s="628"/>
      <c r="E20" s="629" t="s">
        <v>2028</v>
      </c>
      <c r="F20" s="629"/>
      <c r="G20" s="629"/>
      <c r="H20" s="629"/>
      <c r="I20" s="629"/>
      <c r="J20" s="629"/>
      <c r="K20" s="629"/>
      <c r="L20" s="629"/>
      <c r="M20" s="630" t="s">
        <v>5</v>
      </c>
      <c r="N20" s="709" t="str">
        <f>Entry!L13</f>
        <v>Tanah, Bangunan Rumah Tinggal &amp; Sarana Pelengkap</v>
      </c>
      <c r="O20" s="1272"/>
      <c r="P20" s="1272"/>
      <c r="Q20" s="1272"/>
      <c r="R20" s="1272"/>
      <c r="S20" s="1272"/>
      <c r="T20" s="1272"/>
      <c r="U20" s="1272"/>
      <c r="V20" s="1272"/>
      <c r="W20" s="1272"/>
      <c r="X20" s="1272"/>
      <c r="Y20" s="1272"/>
      <c r="Z20" s="1272"/>
      <c r="AA20" s="1272"/>
      <c r="AB20" s="1272"/>
      <c r="AC20" s="1272"/>
      <c r="AD20" s="1272"/>
      <c r="AE20" s="1272"/>
      <c r="AF20" s="1272"/>
      <c r="AG20" s="1272"/>
      <c r="AH20" s="1272"/>
      <c r="AI20" s="1272"/>
      <c r="AJ20" s="1272"/>
      <c r="AK20" s="1272"/>
      <c r="AL20" s="1272"/>
      <c r="AM20" s="1272"/>
      <c r="AN20" s="1272"/>
      <c r="AO20" s="1272"/>
      <c r="AP20" s="629"/>
      <c r="AQ20" s="632"/>
      <c r="AW20" s="1876"/>
      <c r="AX20" s="1876"/>
      <c r="AY20" s="1876"/>
      <c r="AZ20" s="1876"/>
      <c r="BA20" s="1876"/>
      <c r="BB20" s="1876"/>
      <c r="BC20" s="1876"/>
      <c r="BD20" s="1876"/>
      <c r="BE20" s="1876"/>
      <c r="BF20" s="1876"/>
      <c r="BG20" s="1876"/>
      <c r="BH20" s="1876"/>
      <c r="BI20" s="1876"/>
      <c r="BJ20" s="1876"/>
      <c r="BK20" s="1876"/>
      <c r="BL20" s="1876"/>
      <c r="BM20" s="1876"/>
      <c r="BN20" s="1876"/>
      <c r="BO20" s="1876"/>
      <c r="BP20" s="1876"/>
      <c r="BQ20" s="1876"/>
      <c r="BR20" s="1876"/>
    </row>
    <row r="21" spans="4:70" s="497" customFormat="1" ht="12.95" customHeight="1">
      <c r="D21" s="628"/>
      <c r="E21" s="629" t="s">
        <v>1772</v>
      </c>
      <c r="F21" s="629"/>
      <c r="G21" s="629"/>
      <c r="H21" s="629"/>
      <c r="I21" s="629"/>
      <c r="J21" s="629"/>
      <c r="K21" s="629"/>
      <c r="L21" s="629"/>
      <c r="M21" s="630" t="s">
        <v>5</v>
      </c>
      <c r="N21" s="1887" t="str">
        <f>Entry!AD34</f>
        <v>Jl. ABCDE, Kel. Sangiang Jaya, Kec. Periuk, Kota Adm. Tangerang, Prop. Banten</v>
      </c>
      <c r="O21" s="1887"/>
      <c r="P21" s="1887"/>
      <c r="Q21" s="1887"/>
      <c r="R21" s="1887"/>
      <c r="S21" s="1887"/>
      <c r="T21" s="1887"/>
      <c r="U21" s="1887"/>
      <c r="V21" s="1887"/>
      <c r="W21" s="1887"/>
      <c r="X21" s="1887"/>
      <c r="Y21" s="1887"/>
      <c r="Z21" s="1887"/>
      <c r="AA21" s="1887"/>
      <c r="AB21" s="1887"/>
      <c r="AC21" s="1887"/>
      <c r="AD21" s="1887"/>
      <c r="AE21" s="1887"/>
      <c r="AF21" s="1887"/>
      <c r="AG21" s="1887"/>
      <c r="AH21" s="1887"/>
      <c r="AI21" s="1887"/>
      <c r="AJ21" s="1887"/>
      <c r="AK21" s="1887"/>
      <c r="AL21" s="1887"/>
      <c r="AM21" s="1887"/>
      <c r="AN21" s="1887"/>
      <c r="AO21" s="1887"/>
      <c r="AP21" s="1887"/>
      <c r="AQ21" s="632"/>
      <c r="AW21" s="1876"/>
      <c r="AX21" s="1876"/>
      <c r="AY21" s="1876"/>
      <c r="AZ21" s="1876"/>
      <c r="BA21" s="1876"/>
      <c r="BB21" s="1876"/>
      <c r="BC21" s="1876"/>
      <c r="BD21" s="1876"/>
      <c r="BE21" s="1876"/>
      <c r="BF21" s="1876"/>
      <c r="BG21" s="1876"/>
      <c r="BH21" s="1876"/>
      <c r="BI21" s="1876"/>
      <c r="BJ21" s="1876"/>
      <c r="BK21" s="1876"/>
      <c r="BL21" s="1876"/>
      <c r="BM21" s="1876"/>
      <c r="BN21" s="1876"/>
      <c r="BO21" s="1876"/>
      <c r="BP21" s="1876"/>
      <c r="BQ21" s="1876"/>
      <c r="BR21" s="1876"/>
    </row>
    <row r="22" spans="4:70" s="497" customFormat="1" ht="12.95" customHeight="1">
      <c r="D22" s="628"/>
      <c r="E22" s="629"/>
      <c r="F22" s="629"/>
      <c r="G22" s="629"/>
      <c r="H22" s="629"/>
      <c r="I22" s="629"/>
      <c r="J22" s="629"/>
      <c r="K22" s="629"/>
      <c r="L22" s="629"/>
      <c r="M22" s="629"/>
      <c r="N22" s="1887"/>
      <c r="O22" s="1887"/>
      <c r="P22" s="1887"/>
      <c r="Q22" s="1887"/>
      <c r="R22" s="1887"/>
      <c r="S22" s="1887"/>
      <c r="T22" s="1887"/>
      <c r="U22" s="1887"/>
      <c r="V22" s="1887"/>
      <c r="W22" s="1887"/>
      <c r="X22" s="1887"/>
      <c r="Y22" s="1887"/>
      <c r="Z22" s="1887"/>
      <c r="AA22" s="1887"/>
      <c r="AB22" s="1887"/>
      <c r="AC22" s="1887"/>
      <c r="AD22" s="1887"/>
      <c r="AE22" s="1887"/>
      <c r="AF22" s="1887"/>
      <c r="AG22" s="1887"/>
      <c r="AH22" s="1887"/>
      <c r="AI22" s="1887"/>
      <c r="AJ22" s="1887"/>
      <c r="AK22" s="1887"/>
      <c r="AL22" s="1887"/>
      <c r="AM22" s="1887"/>
      <c r="AN22" s="1887"/>
      <c r="AO22" s="1887"/>
      <c r="AP22" s="1887"/>
      <c r="AQ22" s="632"/>
      <c r="AW22" s="1876"/>
      <c r="AX22" s="1876"/>
      <c r="AY22" s="1876"/>
      <c r="AZ22" s="1876"/>
      <c r="BA22" s="1876"/>
      <c r="BB22" s="1876"/>
      <c r="BC22" s="1876"/>
      <c r="BD22" s="1876"/>
      <c r="BE22" s="1876"/>
      <c r="BF22" s="1876"/>
      <c r="BG22" s="1876"/>
      <c r="BH22" s="1876"/>
      <c r="BI22" s="1876"/>
      <c r="BJ22" s="1876"/>
      <c r="BK22" s="1876"/>
      <c r="BL22" s="1876"/>
      <c r="BM22" s="1876"/>
      <c r="BN22" s="1876"/>
      <c r="BO22" s="1876"/>
      <c r="BP22" s="1876"/>
      <c r="BQ22" s="1876"/>
      <c r="BR22" s="1876"/>
    </row>
    <row r="23" spans="4:70" s="465" customFormat="1" ht="12.95" customHeight="1">
      <c r="D23" s="640"/>
      <c r="E23" s="629" t="s">
        <v>2029</v>
      </c>
      <c r="F23" s="641"/>
      <c r="G23" s="641"/>
      <c r="H23" s="641"/>
      <c r="I23" s="641"/>
      <c r="J23" s="641"/>
      <c r="K23" s="641"/>
      <c r="L23" s="641"/>
      <c r="M23" s="642" t="s">
        <v>5</v>
      </c>
      <c r="N23" s="1888" t="str">
        <f>Tnh!N105</f>
        <v>SUWITO SALIM</v>
      </c>
      <c r="O23" s="1889"/>
      <c r="P23" s="1889"/>
      <c r="Q23" s="1889"/>
      <c r="R23" s="1889"/>
      <c r="S23" s="1889"/>
      <c r="T23" s="1889"/>
      <c r="U23" s="1889"/>
      <c r="V23" s="1889"/>
      <c r="W23" s="1889"/>
      <c r="X23" s="1889"/>
      <c r="Y23" s="1889"/>
      <c r="Z23" s="1889"/>
      <c r="AA23" s="1889"/>
      <c r="AB23" s="1889"/>
      <c r="AC23" s="1889"/>
      <c r="AD23" s="1889"/>
      <c r="AE23" s="1889"/>
      <c r="AF23" s="1889"/>
      <c r="AG23" s="1889"/>
      <c r="AH23" s="1889"/>
      <c r="AI23" s="1889"/>
      <c r="AJ23" s="1889"/>
      <c r="AK23" s="1889"/>
      <c r="AL23" s="1889"/>
      <c r="AM23" s="1889"/>
      <c r="AN23" s="1889"/>
      <c r="AO23" s="1889"/>
      <c r="AP23" s="643"/>
      <c r="AQ23" s="644"/>
      <c r="AW23" s="1876"/>
      <c r="AX23" s="1876"/>
      <c r="AY23" s="1876"/>
      <c r="AZ23" s="1876"/>
      <c r="BA23" s="1876"/>
      <c r="BB23" s="1876"/>
      <c r="BC23" s="1876"/>
      <c r="BD23" s="1876"/>
      <c r="BE23" s="1876"/>
      <c r="BF23" s="1876"/>
      <c r="BG23" s="1876"/>
      <c r="BH23" s="1876"/>
      <c r="BI23" s="1876"/>
      <c r="BJ23" s="1876"/>
      <c r="BK23" s="1876"/>
      <c r="BL23" s="1876"/>
      <c r="BM23" s="1876"/>
      <c r="BN23" s="1876"/>
      <c r="BO23" s="1876"/>
      <c r="BP23" s="1876"/>
      <c r="BQ23" s="1876"/>
      <c r="BR23" s="1876"/>
    </row>
    <row r="24" spans="4:70" s="465" customFormat="1" ht="12.95" customHeight="1">
      <c r="D24" s="640"/>
      <c r="E24" s="629" t="s">
        <v>2030</v>
      </c>
      <c r="F24" s="641"/>
      <c r="G24" s="641"/>
      <c r="H24" s="641"/>
      <c r="I24" s="641"/>
      <c r="J24" s="641"/>
      <c r="K24" s="641"/>
      <c r="L24" s="641"/>
      <c r="M24" s="642" t="s">
        <v>5</v>
      </c>
      <c r="N24" s="1890" t="s">
        <v>2474</v>
      </c>
      <c r="O24" s="1890"/>
      <c r="P24" s="1890"/>
      <c r="Q24" s="1890"/>
      <c r="R24" s="1890"/>
      <c r="S24" s="1890"/>
      <c r="T24" s="1890"/>
      <c r="U24" s="1890"/>
      <c r="V24" s="1890"/>
      <c r="W24" s="1890"/>
      <c r="X24" s="1890"/>
      <c r="Y24" s="1890"/>
      <c r="Z24" s="1890"/>
      <c r="AA24" s="1890"/>
      <c r="AB24" s="1890"/>
      <c r="AC24" s="1890"/>
      <c r="AD24" s="1890"/>
      <c r="AE24" s="1890"/>
      <c r="AF24" s="1890"/>
      <c r="AG24" s="1890"/>
      <c r="AH24" s="1890"/>
      <c r="AI24" s="1890"/>
      <c r="AJ24" s="1890"/>
      <c r="AK24" s="1890"/>
      <c r="AL24" s="1890"/>
      <c r="AM24" s="1890"/>
      <c r="AN24" s="1890"/>
      <c r="AO24" s="1890"/>
      <c r="AP24" s="643"/>
      <c r="AQ24" s="644"/>
      <c r="AW24" s="1876"/>
      <c r="AX24" s="1876"/>
      <c r="AY24" s="1876"/>
      <c r="AZ24" s="1876"/>
      <c r="BA24" s="1876"/>
      <c r="BB24" s="1876"/>
      <c r="BC24" s="1876"/>
      <c r="BD24" s="1876"/>
      <c r="BE24" s="1876"/>
      <c r="BF24" s="1876"/>
      <c r="BG24" s="1876"/>
      <c r="BH24" s="1876"/>
      <c r="BI24" s="1876"/>
      <c r="BJ24" s="1876"/>
      <c r="BK24" s="1876"/>
      <c r="BL24" s="1876"/>
      <c r="BM24" s="1876"/>
      <c r="BN24" s="1876"/>
      <c r="BO24" s="1876"/>
      <c r="BP24" s="1876"/>
      <c r="BQ24" s="1876"/>
      <c r="BR24" s="1876"/>
    </row>
    <row r="25" spans="4:70" s="360" customFormat="1" ht="12.75" customHeight="1">
      <c r="D25" s="492"/>
      <c r="E25" s="1261" t="s">
        <v>2031</v>
      </c>
      <c r="F25" s="1261"/>
      <c r="G25" s="1261"/>
      <c r="H25" s="1261"/>
      <c r="I25" s="1261"/>
      <c r="J25" s="1261"/>
      <c r="K25" s="1261"/>
      <c r="L25" s="1261"/>
      <c r="M25" s="1262" t="s">
        <v>5</v>
      </c>
      <c r="N25" s="1891"/>
      <c r="O25" s="1891"/>
      <c r="P25" s="1891"/>
      <c r="Q25" s="1891"/>
      <c r="R25" s="1891"/>
      <c r="S25" s="1891"/>
      <c r="T25" s="1891"/>
      <c r="U25" s="1891"/>
      <c r="V25" s="1891"/>
      <c r="W25" s="1891"/>
      <c r="X25" s="1891"/>
      <c r="Y25" s="1891"/>
      <c r="Z25" s="1891"/>
      <c r="AA25" s="1891"/>
      <c r="AB25" s="1891"/>
      <c r="AC25" s="1891"/>
      <c r="AD25" s="1891"/>
      <c r="AE25" s="1891"/>
      <c r="AF25" s="1891"/>
      <c r="AG25" s="1891"/>
      <c r="AH25" s="1891"/>
      <c r="AI25" s="1891"/>
      <c r="AJ25" s="1891"/>
      <c r="AK25" s="1891"/>
      <c r="AL25" s="1891"/>
      <c r="AM25" s="1891"/>
      <c r="AN25" s="1891"/>
      <c r="AO25" s="1891"/>
      <c r="AP25" s="1891"/>
      <c r="AQ25" s="361"/>
      <c r="AW25" s="1876"/>
      <c r="AX25" s="1876"/>
      <c r="AY25" s="1876"/>
      <c r="AZ25" s="1876"/>
      <c r="BA25" s="1876"/>
      <c r="BB25" s="1876"/>
      <c r="BC25" s="1876"/>
      <c r="BD25" s="1876"/>
      <c r="BE25" s="1876"/>
      <c r="BF25" s="1876"/>
      <c r="BG25" s="1876"/>
      <c r="BH25" s="1876"/>
      <c r="BI25" s="1876"/>
      <c r="BJ25" s="1876"/>
      <c r="BK25" s="1876"/>
      <c r="BL25" s="1876"/>
      <c r="BM25" s="1876"/>
      <c r="BN25" s="1876"/>
      <c r="BO25" s="1876"/>
      <c r="BP25" s="1876"/>
      <c r="BQ25" s="1876"/>
      <c r="BR25" s="1876"/>
    </row>
    <row r="26" spans="4:70" s="360" customFormat="1" ht="14.25" customHeight="1">
      <c r="D26" s="492"/>
      <c r="E26" s="1261"/>
      <c r="F26" s="1261"/>
      <c r="G26" s="1261"/>
      <c r="H26" s="1261"/>
      <c r="I26" s="1261"/>
      <c r="J26" s="1261"/>
      <c r="K26" s="1261"/>
      <c r="L26" s="1261"/>
      <c r="M26" s="1262"/>
      <c r="N26" s="1891"/>
      <c r="O26" s="1891"/>
      <c r="P26" s="1891"/>
      <c r="Q26" s="1891"/>
      <c r="R26" s="1891"/>
      <c r="S26" s="1891"/>
      <c r="T26" s="1891"/>
      <c r="U26" s="1891"/>
      <c r="V26" s="1891"/>
      <c r="W26" s="1891"/>
      <c r="X26" s="1891"/>
      <c r="Y26" s="1891"/>
      <c r="Z26" s="1891"/>
      <c r="AA26" s="1891"/>
      <c r="AB26" s="1891"/>
      <c r="AC26" s="1891"/>
      <c r="AD26" s="1891"/>
      <c r="AE26" s="1891"/>
      <c r="AF26" s="1891"/>
      <c r="AG26" s="1891"/>
      <c r="AH26" s="1891"/>
      <c r="AI26" s="1891"/>
      <c r="AJ26" s="1891"/>
      <c r="AK26" s="1891"/>
      <c r="AL26" s="1891"/>
      <c r="AM26" s="1891"/>
      <c r="AN26" s="1891"/>
      <c r="AO26" s="1891"/>
      <c r="AP26" s="1891"/>
      <c r="AQ26" s="361"/>
      <c r="AW26" s="1876"/>
      <c r="AX26" s="1876"/>
      <c r="AY26" s="1876"/>
      <c r="AZ26" s="1876"/>
      <c r="BA26" s="1876"/>
      <c r="BB26" s="1876"/>
      <c r="BC26" s="1876"/>
      <c r="BD26" s="1876"/>
      <c r="BE26" s="1876"/>
      <c r="BF26" s="1876"/>
      <c r="BG26" s="1876"/>
      <c r="BH26" s="1876"/>
      <c r="BI26" s="1876"/>
      <c r="BJ26" s="1876"/>
      <c r="BK26" s="1876"/>
      <c r="BL26" s="1876"/>
      <c r="BM26" s="1876"/>
      <c r="BN26" s="1876"/>
      <c r="BO26" s="1876"/>
      <c r="BP26" s="1876"/>
      <c r="BQ26" s="1876"/>
      <c r="BR26" s="1876"/>
    </row>
    <row r="27" spans="4:70" s="360" customFormat="1" ht="12.95" customHeight="1">
      <c r="D27" s="492"/>
      <c r="E27" s="305" t="s">
        <v>2032</v>
      </c>
      <c r="F27" s="305"/>
      <c r="G27" s="305"/>
      <c r="H27" s="305"/>
      <c r="I27" s="305"/>
      <c r="J27" s="305"/>
      <c r="K27" s="305"/>
      <c r="L27" s="305"/>
      <c r="M27" s="339" t="s">
        <v>5</v>
      </c>
      <c r="N27" s="1273" t="str">
        <f>Entry!$AD$25</f>
        <v>PT. BANK RAKYAT INDONESIA (PERSERO), Tbk.</v>
      </c>
      <c r="O27" s="1274"/>
      <c r="P27" s="1274"/>
      <c r="Q27" s="1274"/>
      <c r="R27" s="1274"/>
      <c r="S27" s="1274"/>
      <c r="T27" s="1274"/>
      <c r="V27" s="1275"/>
      <c r="W27" s="1276"/>
      <c r="Y27" s="1277"/>
      <c r="Z27" s="1277"/>
      <c r="AA27" s="1277"/>
      <c r="AB27" s="1277"/>
      <c r="AC27" s="1277"/>
      <c r="AD27" s="1277"/>
      <c r="AE27" s="1277"/>
      <c r="AF27" s="1277"/>
      <c r="AG27" s="1277"/>
      <c r="AH27" s="1278"/>
      <c r="AI27" s="1278"/>
      <c r="AJ27" s="1278"/>
      <c r="AK27" s="1278"/>
      <c r="AL27" s="1278"/>
      <c r="AM27" s="1278"/>
      <c r="AN27" s="1278"/>
      <c r="AO27" s="1278"/>
      <c r="AP27" s="1278"/>
      <c r="AQ27" s="361"/>
    </row>
    <row r="28" spans="4:70" s="360" customFormat="1" ht="3" customHeight="1">
      <c r="D28" s="492"/>
      <c r="E28" s="1234"/>
      <c r="F28" s="1234"/>
      <c r="G28" s="1234"/>
      <c r="H28" s="1234"/>
      <c r="I28" s="1234"/>
      <c r="J28" s="1234"/>
      <c r="K28" s="1234"/>
      <c r="L28" s="1234"/>
      <c r="M28" s="1235"/>
      <c r="N28" s="1236"/>
      <c r="O28" s="1232"/>
      <c r="P28" s="1232"/>
      <c r="Q28" s="1232"/>
      <c r="R28" s="1237"/>
      <c r="S28" s="1237"/>
      <c r="T28" s="1237"/>
      <c r="U28" s="1237"/>
      <c r="V28" s="1237"/>
      <c r="W28" s="1237"/>
      <c r="X28" s="1237"/>
      <c r="Y28" s="1237"/>
      <c r="Z28" s="1237"/>
      <c r="AA28" s="1237"/>
      <c r="AB28" s="1237"/>
      <c r="AC28" s="1237"/>
      <c r="AD28" s="1237"/>
      <c r="AE28" s="1237"/>
      <c r="AF28" s="1237"/>
      <c r="AG28" s="1237"/>
      <c r="AH28" s="1237"/>
      <c r="AI28" s="1237"/>
      <c r="AJ28" s="1237"/>
      <c r="AK28" s="1237"/>
      <c r="AL28" s="1237"/>
      <c r="AM28" s="1237"/>
      <c r="AN28" s="1237"/>
      <c r="AO28" s="1237"/>
      <c r="AP28" s="1234"/>
      <c r="AQ28" s="361"/>
    </row>
    <row r="29" spans="4:70" s="623" customFormat="1" ht="14.1" customHeight="1">
      <c r="D29" s="621"/>
      <c r="E29" s="1238" t="s">
        <v>2447</v>
      </c>
      <c r="F29" s="1238"/>
      <c r="G29" s="1238"/>
      <c r="H29" s="1238"/>
      <c r="I29" s="1238"/>
      <c r="J29" s="1238"/>
      <c r="K29" s="1238"/>
      <c r="L29" s="1238"/>
      <c r="M29" s="1231"/>
      <c r="N29" s="1231"/>
      <c r="O29" s="1231"/>
      <c r="P29" s="1231"/>
      <c r="Q29" s="1231"/>
      <c r="R29" s="1231"/>
      <c r="S29" s="1231"/>
      <c r="T29" s="1231"/>
      <c r="U29" s="1231"/>
      <c r="V29" s="1231"/>
      <c r="W29" s="1231"/>
      <c r="X29" s="1231"/>
      <c r="Y29" s="1231"/>
      <c r="Z29" s="1231"/>
      <c r="AA29" s="1231"/>
      <c r="AB29" s="1231"/>
      <c r="AC29" s="1231"/>
      <c r="AD29" s="1231"/>
      <c r="AE29" s="1231"/>
      <c r="AF29" s="1231"/>
      <c r="AG29" s="1231"/>
      <c r="AH29" s="1231"/>
      <c r="AI29" s="1231"/>
      <c r="AJ29" s="1231"/>
      <c r="AK29" s="1231"/>
      <c r="AL29" s="1231"/>
      <c r="AM29" s="1231"/>
      <c r="AN29" s="1231"/>
      <c r="AO29" s="1231"/>
      <c r="AP29" s="1238"/>
      <c r="AQ29" s="622"/>
    </row>
    <row r="30" spans="4:70" s="623" customFormat="1" ht="12.95" customHeight="1">
      <c r="D30" s="640"/>
      <c r="E30" s="1252" t="str">
        <f>Entry!B15</f>
        <v>Pemberi Tugas</v>
      </c>
      <c r="F30" s="1252"/>
      <c r="G30" s="1252"/>
      <c r="H30" s="1252"/>
      <c r="I30" s="1252"/>
      <c r="J30" s="1252"/>
      <c r="K30" s="1252"/>
      <c r="L30" s="1252"/>
      <c r="M30" s="1253" t="s">
        <v>5</v>
      </c>
      <c r="N30" s="1254" t="str">
        <f>Entry!$AD$25</f>
        <v>PT. BANK RAKYAT INDONESIA (PERSERO), Tbk.</v>
      </c>
      <c r="O30" s="1254"/>
      <c r="P30" s="1255"/>
      <c r="Q30" s="1255"/>
      <c r="R30" s="1256"/>
      <c r="S30" s="1255"/>
      <c r="T30" s="1255"/>
      <c r="U30" s="1255"/>
      <c r="V30" s="1255"/>
      <c r="W30" s="1255"/>
      <c r="X30" s="1255"/>
      <c r="Y30" s="1255"/>
      <c r="Z30" s="1255"/>
      <c r="AA30" s="1255"/>
      <c r="AB30" s="1231"/>
      <c r="AC30" s="1231"/>
      <c r="AD30" s="1231"/>
      <c r="AE30" s="1231"/>
      <c r="AF30" s="1231"/>
      <c r="AG30" s="1231"/>
      <c r="AH30" s="1231"/>
      <c r="AI30" s="1231"/>
      <c r="AJ30" s="1231"/>
      <c r="AK30" s="1231"/>
      <c r="AL30" s="1231"/>
      <c r="AM30" s="1231"/>
      <c r="AN30" s="1231"/>
      <c r="AO30" s="1231"/>
      <c r="AP30" s="1238"/>
      <c r="AQ30" s="622"/>
    </row>
    <row r="31" spans="4:70" s="623" customFormat="1" ht="12.95" customHeight="1">
      <c r="D31" s="640"/>
      <c r="E31" s="1252" t="str">
        <f>Entry!B16</f>
        <v>Calon Debitur</v>
      </c>
      <c r="F31" s="1252"/>
      <c r="G31" s="1252"/>
      <c r="H31" s="1252"/>
      <c r="I31" s="1252"/>
      <c r="J31" s="1252"/>
      <c r="K31" s="1252"/>
      <c r="L31" s="1252"/>
      <c r="M31" s="1253" t="s">
        <v>5</v>
      </c>
      <c r="N31" s="1254" t="str">
        <f>Entry!L16</f>
        <v>PT. XYZ</v>
      </c>
      <c r="O31" s="1254"/>
      <c r="P31" s="1255"/>
      <c r="Q31" s="1255"/>
      <c r="R31" s="1256"/>
      <c r="S31" s="1255"/>
      <c r="T31" s="1255"/>
      <c r="U31" s="1255"/>
      <c r="V31" s="1255"/>
      <c r="W31" s="1255"/>
      <c r="X31" s="1255"/>
      <c r="Y31" s="1255"/>
      <c r="Z31" s="1255"/>
      <c r="AA31" s="1255"/>
      <c r="AB31" s="1231"/>
      <c r="AC31" s="1231"/>
      <c r="AD31" s="1231"/>
      <c r="AE31" s="1231"/>
      <c r="AF31" s="1231"/>
      <c r="AG31" s="1231"/>
      <c r="AH31" s="1231"/>
      <c r="AI31" s="1231"/>
      <c r="AJ31" s="1231"/>
      <c r="AK31" s="1231"/>
      <c r="AL31" s="1231"/>
      <c r="AM31" s="1231"/>
      <c r="AN31" s="1231"/>
      <c r="AO31" s="1231"/>
      <c r="AP31" s="1238"/>
      <c r="AQ31" s="622"/>
    </row>
    <row r="32" spans="4:70" s="465" customFormat="1" ht="12.95" customHeight="1">
      <c r="D32" s="640"/>
      <c r="E32" s="1252" t="s">
        <v>1861</v>
      </c>
      <c r="F32" s="1252"/>
      <c r="G32" s="1252"/>
      <c r="H32" s="1252"/>
      <c r="I32" s="1252"/>
      <c r="J32" s="1252"/>
      <c r="K32" s="1252"/>
      <c r="L32" s="1252"/>
      <c r="M32" s="1253" t="s">
        <v>5</v>
      </c>
      <c r="N32" s="1263" t="str">
        <f>Entry!L17</f>
        <v>-</v>
      </c>
      <c r="O32" s="1264"/>
      <c r="P32" s="1264"/>
      <c r="Q32" s="1264"/>
      <c r="R32" s="1264"/>
      <c r="S32" s="1264"/>
      <c r="T32" s="1264"/>
      <c r="U32" s="1264"/>
      <c r="V32" s="1264"/>
      <c r="W32" s="1264"/>
      <c r="X32" s="1264"/>
      <c r="Y32" s="1264"/>
      <c r="Z32" s="1264"/>
      <c r="AA32" s="1264"/>
      <c r="AB32" s="1232"/>
      <c r="AC32" s="1232"/>
      <c r="AD32" s="1232"/>
      <c r="AE32" s="1232"/>
      <c r="AF32" s="1232"/>
      <c r="AG32" s="1232"/>
      <c r="AH32" s="1232"/>
      <c r="AI32" s="1232"/>
      <c r="AJ32" s="1232"/>
      <c r="AK32" s="1232"/>
      <c r="AL32" s="1232"/>
      <c r="AM32" s="1232"/>
      <c r="AN32" s="1232"/>
      <c r="AO32" s="1232"/>
      <c r="AP32" s="1238"/>
      <c r="AQ32" s="644"/>
    </row>
    <row r="33" spans="3:66" s="465" customFormat="1" ht="12.95" customHeight="1">
      <c r="D33" s="640"/>
      <c r="E33" s="1252" t="s">
        <v>2033</v>
      </c>
      <c r="F33" s="1252"/>
      <c r="G33" s="1252"/>
      <c r="H33" s="1252"/>
      <c r="I33" s="1252"/>
      <c r="J33" s="1252"/>
      <c r="K33" s="1252"/>
      <c r="L33" s="1252"/>
      <c r="M33" s="1253" t="s">
        <v>5</v>
      </c>
      <c r="N33" s="1279">
        <f>Entry!L8</f>
        <v>43216</v>
      </c>
      <c r="O33" s="1264"/>
      <c r="P33" s="1264"/>
      <c r="Q33" s="1264"/>
      <c r="R33" s="1264"/>
      <c r="S33" s="1264"/>
      <c r="T33" s="1264"/>
      <c r="U33" s="1264"/>
      <c r="V33" s="1264"/>
      <c r="W33" s="1264"/>
      <c r="X33" s="1264"/>
      <c r="Y33" s="1264"/>
      <c r="Z33" s="1264"/>
      <c r="AA33" s="1264"/>
      <c r="AB33" s="1232"/>
      <c r="AC33" s="1232"/>
      <c r="AD33" s="1232"/>
      <c r="AE33" s="1232"/>
      <c r="AF33" s="1232"/>
      <c r="AG33" s="1232"/>
      <c r="AH33" s="1232"/>
      <c r="AI33" s="1232"/>
      <c r="AJ33" s="1232"/>
      <c r="AK33" s="1232"/>
      <c r="AL33" s="1232"/>
      <c r="AM33" s="1232"/>
      <c r="AN33" s="1232"/>
      <c r="AO33" s="1232"/>
      <c r="AP33" s="1238"/>
      <c r="AQ33" s="644"/>
    </row>
    <row r="34" spans="3:66" ht="3.95" customHeight="1">
      <c r="D34" s="646"/>
      <c r="E34" s="647"/>
      <c r="F34" s="647"/>
      <c r="G34" s="647"/>
      <c r="H34" s="647"/>
      <c r="I34" s="647"/>
      <c r="J34" s="647"/>
      <c r="K34" s="647"/>
      <c r="L34" s="647"/>
      <c r="M34" s="647"/>
      <c r="N34" s="647"/>
      <c r="O34" s="647"/>
      <c r="P34" s="647"/>
      <c r="Q34" s="647"/>
      <c r="R34" s="647"/>
      <c r="S34" s="648"/>
      <c r="T34" s="647"/>
      <c r="U34" s="647"/>
      <c r="V34" s="647"/>
      <c r="W34" s="648"/>
      <c r="X34" s="647"/>
      <c r="Y34" s="647"/>
      <c r="Z34" s="647"/>
      <c r="AA34" s="647"/>
      <c r="AB34" s="647"/>
      <c r="AC34" s="647"/>
      <c r="AD34" s="647"/>
      <c r="AE34" s="647"/>
      <c r="AF34" s="647"/>
      <c r="AG34" s="647"/>
      <c r="AH34" s="647"/>
      <c r="AI34" s="647"/>
      <c r="AJ34" s="647"/>
      <c r="AK34" s="647"/>
      <c r="AL34" s="647"/>
      <c r="AM34" s="647"/>
      <c r="AN34" s="647"/>
      <c r="AO34" s="647"/>
      <c r="AP34" s="647"/>
      <c r="AQ34" s="649"/>
    </row>
    <row r="35" spans="3:66" ht="3" customHeight="1">
      <c r="D35" s="656"/>
      <c r="E35" s="619"/>
      <c r="F35" s="619"/>
      <c r="G35" s="619"/>
      <c r="H35" s="619"/>
      <c r="I35" s="619"/>
      <c r="J35" s="619"/>
      <c r="K35" s="619"/>
      <c r="L35" s="619"/>
      <c r="M35" s="619"/>
      <c r="N35" s="619"/>
      <c r="O35" s="619"/>
      <c r="P35" s="619"/>
      <c r="Q35" s="619"/>
      <c r="R35" s="619"/>
      <c r="S35" s="657"/>
      <c r="T35" s="619"/>
      <c r="U35" s="619"/>
      <c r="V35" s="619"/>
      <c r="W35" s="657"/>
      <c r="X35" s="618"/>
      <c r="Y35" s="619"/>
      <c r="Z35" s="619"/>
      <c r="AA35" s="619"/>
      <c r="AB35" s="619"/>
      <c r="AC35" s="619"/>
      <c r="AD35" s="619"/>
      <c r="AE35" s="619"/>
      <c r="AF35" s="619"/>
      <c r="AG35" s="619"/>
      <c r="AH35" s="619"/>
      <c r="AI35" s="619"/>
      <c r="AJ35" s="619"/>
      <c r="AK35" s="619"/>
      <c r="AL35" s="619"/>
      <c r="AM35" s="619"/>
      <c r="AN35" s="619"/>
      <c r="AO35" s="619"/>
      <c r="AP35" s="619"/>
      <c r="AQ35" s="620"/>
    </row>
    <row r="36" spans="3:66" ht="15" customHeight="1">
      <c r="D36" s="624"/>
      <c r="E36" s="1104" t="str">
        <f>"Penunjukan Atas Nama "&amp;Entry!L25&amp;""</f>
        <v>Penunjukan Atas Nama PT. BANK BRI (PERSERO), Tbk.</v>
      </c>
      <c r="F36" s="613"/>
      <c r="G36" s="613"/>
      <c r="H36" s="613"/>
      <c r="I36" s="613"/>
      <c r="J36" s="613"/>
      <c r="K36" s="613"/>
      <c r="L36" s="613"/>
      <c r="M36" s="613"/>
      <c r="N36" s="613"/>
      <c r="O36" s="613"/>
      <c r="P36" s="613"/>
      <c r="Q36" s="613"/>
      <c r="R36" s="613"/>
      <c r="S36" s="613"/>
      <c r="T36" s="613"/>
      <c r="U36" s="613"/>
      <c r="V36" s="613"/>
      <c r="W36" s="613"/>
      <c r="X36" s="624"/>
      <c r="Y36" s="658" t="s">
        <v>2035</v>
      </c>
      <c r="Z36" s="613"/>
      <c r="AA36" s="613"/>
      <c r="AB36" s="613"/>
      <c r="AC36" s="613"/>
      <c r="AD36" s="613"/>
      <c r="AE36" s="613"/>
      <c r="AF36" s="613"/>
      <c r="AG36" s="613"/>
      <c r="AH36" s="613"/>
      <c r="AI36" s="613"/>
      <c r="AJ36" s="613"/>
      <c r="AK36" s="613"/>
      <c r="AL36" s="613"/>
      <c r="AM36" s="613"/>
      <c r="AN36" s="613"/>
      <c r="AO36" s="613"/>
      <c r="AP36" s="613"/>
      <c r="AQ36" s="627"/>
      <c r="BL36" s="613"/>
      <c r="BM36" s="613"/>
      <c r="BN36" s="613"/>
    </row>
    <row r="37" spans="3:66" ht="13.5" customHeight="1">
      <c r="D37" s="624"/>
      <c r="E37" s="1257" t="s">
        <v>2036</v>
      </c>
      <c r="F37" s="1257"/>
      <c r="G37" s="1257"/>
      <c r="H37" s="1258"/>
      <c r="I37" s="1259" t="s">
        <v>5</v>
      </c>
      <c r="J37" s="1260" t="str">
        <f>+Entry!L27</f>
        <v>Bintaro</v>
      </c>
      <c r="K37" s="631"/>
      <c r="L37" s="631"/>
      <c r="M37" s="629"/>
      <c r="N37" s="629"/>
      <c r="O37" s="629"/>
      <c r="P37" s="629"/>
      <c r="Q37" s="629"/>
      <c r="R37" s="629"/>
      <c r="S37" s="629"/>
      <c r="T37" s="613"/>
      <c r="U37" s="613"/>
      <c r="V37" s="613"/>
      <c r="W37" s="629"/>
      <c r="X37" s="624"/>
      <c r="Y37" s="1877" t="s">
        <v>3</v>
      </c>
      <c r="Z37" s="1878"/>
      <c r="AA37" s="1878"/>
      <c r="AB37" s="1878"/>
      <c r="AC37" s="1878"/>
      <c r="AD37" s="1878"/>
      <c r="AE37" s="1878"/>
      <c r="AF37" s="1878"/>
      <c r="AG37" s="1878"/>
      <c r="AH37" s="1878"/>
      <c r="AI37" s="1878"/>
      <c r="AJ37" s="1878"/>
      <c r="AK37" s="1878"/>
      <c r="AL37" s="1878"/>
      <c r="AM37" s="1878"/>
      <c r="AN37" s="1878"/>
      <c r="AO37" s="1878"/>
      <c r="AP37" s="1878"/>
      <c r="AQ37" s="627"/>
    </row>
    <row r="38" spans="3:66" ht="13.5" customHeight="1">
      <c r="D38" s="624"/>
      <c r="E38" s="1257" t="s">
        <v>2478</v>
      </c>
      <c r="F38" s="1257"/>
      <c r="G38" s="1257"/>
      <c r="H38" s="1258"/>
      <c r="I38" s="1259" t="s">
        <v>5</v>
      </c>
      <c r="J38" s="1260" t="str">
        <f>+Entry!L28</f>
        <v>B.698 KC-XV/ADK/04/2018</v>
      </c>
      <c r="K38" s="659"/>
      <c r="L38" s="659"/>
      <c r="M38" s="629"/>
      <c r="N38" s="629"/>
      <c r="O38" s="629"/>
      <c r="P38" s="629"/>
      <c r="Q38" s="629"/>
      <c r="R38" s="629"/>
      <c r="S38" s="629"/>
      <c r="T38" s="613"/>
      <c r="U38" s="613"/>
      <c r="V38" s="613"/>
      <c r="W38" s="629"/>
      <c r="X38" s="624"/>
      <c r="Y38" s="1878"/>
      <c r="Z38" s="1878"/>
      <c r="AA38" s="1878"/>
      <c r="AB38" s="1878"/>
      <c r="AC38" s="1878"/>
      <c r="AD38" s="1878"/>
      <c r="AE38" s="1878"/>
      <c r="AF38" s="1878"/>
      <c r="AG38" s="1878"/>
      <c r="AH38" s="1878"/>
      <c r="AI38" s="1878"/>
      <c r="AJ38" s="1878"/>
      <c r="AK38" s="1878"/>
      <c r="AL38" s="1878"/>
      <c r="AM38" s="1878"/>
      <c r="AN38" s="1878"/>
      <c r="AO38" s="1878"/>
      <c r="AP38" s="1878"/>
      <c r="AQ38" s="627"/>
      <c r="AU38"/>
      <c r="AV38"/>
      <c r="AW38"/>
      <c r="AX38"/>
      <c r="AY38"/>
      <c r="AZ38"/>
      <c r="BA38"/>
      <c r="BB38"/>
      <c r="BC38"/>
      <c r="BD38"/>
      <c r="BE38"/>
      <c r="BF38"/>
      <c r="BG38"/>
      <c r="BH38"/>
      <c r="BI38"/>
    </row>
    <row r="39" spans="3:66" ht="13.5" customHeight="1">
      <c r="D39" s="624"/>
      <c r="E39" s="1257" t="s">
        <v>2037</v>
      </c>
      <c r="F39" s="1257"/>
      <c r="G39" s="1257"/>
      <c r="H39" s="1258"/>
      <c r="I39" s="1259" t="s">
        <v>5</v>
      </c>
      <c r="J39" s="1260">
        <f>+Entry!L29</f>
        <v>43207</v>
      </c>
      <c r="K39" s="659"/>
      <c r="L39" s="659"/>
      <c r="M39" s="659"/>
      <c r="N39" s="659"/>
      <c r="O39" s="629"/>
      <c r="P39" s="629"/>
      <c r="Q39" s="629"/>
      <c r="R39" s="629"/>
      <c r="S39" s="629"/>
      <c r="T39" s="613"/>
      <c r="U39" s="613"/>
      <c r="V39" s="613"/>
      <c r="W39" s="629"/>
      <c r="X39" s="624"/>
      <c r="Y39" s="1878"/>
      <c r="Z39" s="1878"/>
      <c r="AA39" s="1878"/>
      <c r="AB39" s="1878"/>
      <c r="AC39" s="1878"/>
      <c r="AD39" s="1878"/>
      <c r="AE39" s="1878"/>
      <c r="AF39" s="1878"/>
      <c r="AG39" s="1878"/>
      <c r="AH39" s="1878"/>
      <c r="AI39" s="1878"/>
      <c r="AJ39" s="1878"/>
      <c r="AK39" s="1878"/>
      <c r="AL39" s="1878"/>
      <c r="AM39" s="1878"/>
      <c r="AN39" s="1878"/>
      <c r="AO39" s="1878"/>
      <c r="AP39" s="1878"/>
      <c r="AQ39" s="627"/>
      <c r="AU39"/>
      <c r="AV39"/>
      <c r="AW39"/>
      <c r="AX39"/>
      <c r="AY39"/>
      <c r="AZ39"/>
      <c r="BA39"/>
      <c r="BB39"/>
      <c r="BC39"/>
      <c r="BD39"/>
      <c r="BE39"/>
      <c r="BF39"/>
      <c r="BG39"/>
      <c r="BH39"/>
      <c r="BI39"/>
    </row>
    <row r="40" spans="3:66" ht="13.5" customHeight="1">
      <c r="D40" s="624"/>
      <c r="E40" s="1257" t="s">
        <v>2479</v>
      </c>
      <c r="F40" s="1257"/>
      <c r="G40" s="1257"/>
      <c r="H40" s="1258"/>
      <c r="I40" s="1259" t="s">
        <v>5</v>
      </c>
      <c r="J40" s="1260" t="str">
        <f>+Entry!L30</f>
        <v>Teguh Rastianto</v>
      </c>
      <c r="K40" s="660"/>
      <c r="L40" s="660"/>
      <c r="M40" s="629"/>
      <c r="N40" s="629"/>
      <c r="O40" s="629"/>
      <c r="P40" s="629"/>
      <c r="Q40" s="629"/>
      <c r="R40" s="629"/>
      <c r="S40" s="629"/>
      <c r="T40" s="613"/>
      <c r="U40" s="613"/>
      <c r="V40" s="613"/>
      <c r="W40" s="629"/>
      <c r="X40" s="624"/>
      <c r="Y40" s="1878"/>
      <c r="Z40" s="1878"/>
      <c r="AA40" s="1878"/>
      <c r="AB40" s="1878"/>
      <c r="AC40" s="1878"/>
      <c r="AD40" s="1878"/>
      <c r="AE40" s="1878"/>
      <c r="AF40" s="1878"/>
      <c r="AG40" s="1878"/>
      <c r="AH40" s="1878"/>
      <c r="AI40" s="1878"/>
      <c r="AJ40" s="1878"/>
      <c r="AK40" s="1878"/>
      <c r="AL40" s="1878"/>
      <c r="AM40" s="1878"/>
      <c r="AN40" s="1878"/>
      <c r="AO40" s="1878"/>
      <c r="AP40" s="1878"/>
      <c r="AQ40" s="627"/>
      <c r="AU40"/>
      <c r="AV40"/>
      <c r="AW40"/>
      <c r="AX40"/>
      <c r="AY40"/>
      <c r="AZ40"/>
      <c r="BA40"/>
      <c r="BB40"/>
      <c r="BC40"/>
      <c r="BD40"/>
      <c r="BE40"/>
      <c r="BF40"/>
      <c r="BG40"/>
      <c r="BH40"/>
      <c r="BI40"/>
    </row>
    <row r="41" spans="3:66" ht="13.5" customHeight="1">
      <c r="D41" s="624"/>
      <c r="E41" s="1257" t="s">
        <v>2038</v>
      </c>
      <c r="F41" s="1257"/>
      <c r="G41" s="1257"/>
      <c r="H41" s="1258"/>
      <c r="I41" s="1259" t="s">
        <v>5</v>
      </c>
      <c r="J41" s="1260" t="str">
        <f>+Entry!L31</f>
        <v>Pemimpin Cabang</v>
      </c>
      <c r="K41" s="660"/>
      <c r="L41" s="660"/>
      <c r="M41" s="629"/>
      <c r="N41" s="629"/>
      <c r="O41" s="629"/>
      <c r="P41" s="629"/>
      <c r="Q41" s="629"/>
      <c r="R41" s="629"/>
      <c r="S41" s="629"/>
      <c r="T41" s="613"/>
      <c r="U41" s="613"/>
      <c r="V41" s="613"/>
      <c r="W41" s="629"/>
      <c r="X41" s="624"/>
      <c r="Y41" s="1878"/>
      <c r="Z41" s="1878"/>
      <c r="AA41" s="1878"/>
      <c r="AB41" s="1878"/>
      <c r="AC41" s="1878"/>
      <c r="AD41" s="1878"/>
      <c r="AE41" s="1878"/>
      <c r="AF41" s="1878"/>
      <c r="AG41" s="1878"/>
      <c r="AH41" s="1878"/>
      <c r="AI41" s="1878"/>
      <c r="AJ41" s="1878"/>
      <c r="AK41" s="1878"/>
      <c r="AL41" s="1878"/>
      <c r="AM41" s="1878"/>
      <c r="AN41" s="1878"/>
      <c r="AO41" s="1878"/>
      <c r="AP41" s="1878"/>
      <c r="AQ41" s="627"/>
      <c r="AU41"/>
      <c r="AV41"/>
      <c r="AW41"/>
      <c r="AX41"/>
      <c r="AY41"/>
      <c r="AZ41"/>
      <c r="BA41"/>
      <c r="BB41"/>
      <c r="BC41"/>
      <c r="BD41"/>
      <c r="BE41"/>
      <c r="BF41"/>
      <c r="BG41"/>
      <c r="BH41"/>
      <c r="BI41"/>
    </row>
    <row r="42" spans="3:66" ht="3.95" customHeight="1">
      <c r="D42" s="661"/>
      <c r="E42" s="647"/>
      <c r="F42" s="647"/>
      <c r="G42" s="647"/>
      <c r="H42" s="647"/>
      <c r="I42" s="647"/>
      <c r="J42" s="647"/>
      <c r="K42" s="647"/>
      <c r="L42" s="647"/>
      <c r="M42" s="647"/>
      <c r="N42" s="647"/>
      <c r="O42" s="647"/>
      <c r="P42" s="647"/>
      <c r="Q42" s="647"/>
      <c r="R42" s="647"/>
      <c r="S42" s="647"/>
      <c r="T42" s="647"/>
      <c r="U42" s="647"/>
      <c r="V42" s="647"/>
      <c r="W42" s="647"/>
      <c r="X42" s="661"/>
      <c r="Y42" s="647"/>
      <c r="Z42" s="647"/>
      <c r="AA42" s="647"/>
      <c r="AB42" s="647"/>
      <c r="AC42" s="647"/>
      <c r="AD42" s="647"/>
      <c r="AE42" s="647"/>
      <c r="AF42" s="647"/>
      <c r="AG42" s="647"/>
      <c r="AH42" s="647"/>
      <c r="AI42" s="647"/>
      <c r="AJ42" s="647"/>
      <c r="AK42" s="647"/>
      <c r="AL42" s="647"/>
      <c r="AM42" s="647"/>
      <c r="AN42" s="647"/>
      <c r="AO42" s="647"/>
      <c r="AP42" s="647"/>
      <c r="AQ42" s="649"/>
      <c r="AU42"/>
      <c r="AV42"/>
      <c r="AW42"/>
      <c r="AX42"/>
      <c r="AY42"/>
      <c r="AZ42"/>
      <c r="BA42"/>
      <c r="BB42"/>
      <c r="BC42"/>
      <c r="BD42"/>
      <c r="BE42"/>
      <c r="BF42"/>
      <c r="BG42"/>
      <c r="BH42"/>
      <c r="BI42"/>
    </row>
    <row r="43" spans="3:66" ht="8.1" customHeight="1">
      <c r="C43" s="613"/>
      <c r="D43" s="613"/>
      <c r="E43" s="613"/>
      <c r="F43" s="613"/>
      <c r="G43" s="613"/>
      <c r="H43" s="613"/>
      <c r="I43" s="613"/>
      <c r="J43" s="613"/>
      <c r="K43" s="613"/>
      <c r="L43" s="613"/>
      <c r="M43" s="613"/>
      <c r="N43" s="613"/>
      <c r="O43" s="613"/>
      <c r="P43" s="613"/>
      <c r="Q43" s="613"/>
      <c r="AU43"/>
      <c r="AV43"/>
      <c r="AW43"/>
      <c r="AX43"/>
      <c r="AY43"/>
      <c r="AZ43"/>
      <c r="BA43"/>
      <c r="BB43"/>
      <c r="BC43"/>
      <c r="BD43"/>
      <c r="BE43"/>
      <c r="BF43"/>
      <c r="BG43"/>
      <c r="BH43"/>
      <c r="BI43"/>
    </row>
    <row r="44" spans="3:66" ht="6" customHeight="1">
      <c r="C44" s="613"/>
      <c r="D44" s="618"/>
      <c r="E44" s="619"/>
      <c r="F44" s="619"/>
      <c r="G44" s="619"/>
      <c r="H44" s="619"/>
      <c r="I44" s="619"/>
      <c r="J44" s="619"/>
      <c r="K44" s="619"/>
      <c r="L44" s="619"/>
      <c r="M44" s="619"/>
      <c r="N44" s="619"/>
      <c r="O44" s="619"/>
      <c r="P44" s="619"/>
      <c r="Q44" s="619"/>
      <c r="R44" s="619"/>
      <c r="S44" s="619"/>
      <c r="T44" s="619"/>
      <c r="U44" s="619"/>
      <c r="V44" s="619"/>
      <c r="W44" s="619"/>
      <c r="X44" s="619"/>
      <c r="Y44" s="619"/>
      <c r="Z44" s="619"/>
      <c r="AA44" s="619"/>
      <c r="AB44" s="619"/>
      <c r="AC44" s="619"/>
      <c r="AD44" s="619"/>
      <c r="AE44" s="619"/>
      <c r="AF44" s="619"/>
      <c r="AG44" s="619"/>
      <c r="AH44" s="619"/>
      <c r="AI44" s="619"/>
      <c r="AJ44" s="619"/>
      <c r="AK44" s="619"/>
      <c r="AL44" s="619"/>
      <c r="AM44" s="619"/>
      <c r="AN44" s="619"/>
      <c r="AO44" s="619"/>
      <c r="AP44" s="619"/>
      <c r="AQ44" s="620"/>
    </row>
    <row r="45" spans="3:66" s="617" customFormat="1" ht="15.95" customHeight="1">
      <c r="C45" s="662"/>
      <c r="D45" s="663"/>
      <c r="E45" s="1879" t="s">
        <v>2039</v>
      </c>
      <c r="F45" s="1879"/>
      <c r="G45" s="1879"/>
      <c r="H45" s="1879"/>
      <c r="I45" s="1879"/>
      <c r="J45" s="1879"/>
      <c r="K45" s="1879"/>
      <c r="L45" s="1879"/>
      <c r="M45" s="1879"/>
      <c r="N45" s="1879"/>
      <c r="O45" s="1879"/>
      <c r="P45" s="1879"/>
      <c r="Q45" s="1879"/>
      <c r="R45" s="1879"/>
      <c r="S45" s="1879"/>
      <c r="T45" s="1879"/>
      <c r="U45" s="1879"/>
      <c r="V45" s="1879"/>
      <c r="W45" s="1879"/>
      <c r="X45" s="1879"/>
      <c r="Y45" s="1879"/>
      <c r="Z45" s="1879"/>
      <c r="AA45" s="1879"/>
      <c r="AB45" s="1879"/>
      <c r="AC45" s="1879"/>
      <c r="AD45" s="1879"/>
      <c r="AE45" s="1879"/>
      <c r="AF45" s="1879"/>
      <c r="AG45" s="1879"/>
      <c r="AH45" s="1879"/>
      <c r="AI45" s="1879"/>
      <c r="AJ45" s="1879"/>
      <c r="AK45" s="1879"/>
      <c r="AL45" s="1879"/>
      <c r="AM45" s="1879"/>
      <c r="AN45" s="1879"/>
      <c r="AO45" s="1879"/>
      <c r="AP45" s="1879"/>
      <c r="AQ45" s="664"/>
    </row>
    <row r="46" spans="3:66" s="610" customFormat="1" ht="15.95" customHeight="1">
      <c r="C46" s="609"/>
      <c r="D46" s="665"/>
      <c r="E46" s="1880" t="s">
        <v>2040</v>
      </c>
      <c r="F46" s="1880"/>
      <c r="G46" s="1880"/>
      <c r="H46" s="1880"/>
      <c r="I46" s="1880"/>
      <c r="J46" s="1880"/>
      <c r="K46" s="1880"/>
      <c r="L46" s="1880"/>
      <c r="M46" s="1880"/>
      <c r="N46" s="1880"/>
      <c r="O46" s="1880"/>
      <c r="P46" s="1880"/>
      <c r="Q46" s="1880"/>
      <c r="R46" s="1880"/>
      <c r="S46" s="1880"/>
      <c r="T46" s="1880"/>
      <c r="U46" s="1880"/>
      <c r="V46" s="1880"/>
      <c r="W46" s="1880"/>
      <c r="X46" s="1880"/>
      <c r="Y46" s="1880"/>
      <c r="Z46" s="1880"/>
      <c r="AA46" s="1880"/>
      <c r="AB46" s="1880"/>
      <c r="AC46" s="1880"/>
      <c r="AD46" s="1880"/>
      <c r="AE46" s="1880"/>
      <c r="AF46" s="1880"/>
      <c r="AG46" s="1880"/>
      <c r="AH46" s="1880"/>
      <c r="AI46" s="1880"/>
      <c r="AJ46" s="1880"/>
      <c r="AK46" s="1880"/>
      <c r="AL46" s="1880"/>
      <c r="AM46" s="1880"/>
      <c r="AN46" s="1880"/>
      <c r="AO46" s="1880"/>
      <c r="AP46" s="1880"/>
      <c r="AQ46" s="666"/>
    </row>
    <row r="47" spans="3:66" ht="51.6" customHeight="1">
      <c r="C47" s="613"/>
      <c r="D47" s="624"/>
      <c r="E47" s="1884" t="s">
        <v>2041</v>
      </c>
      <c r="F47" s="1884"/>
      <c r="G47" s="1884"/>
      <c r="H47" s="1884"/>
      <c r="I47" s="1884"/>
      <c r="J47" s="1884"/>
      <c r="K47" s="1884"/>
      <c r="L47" s="1884"/>
      <c r="M47" s="1884"/>
      <c r="N47" s="1884"/>
      <c r="O47" s="1884"/>
      <c r="P47" s="1884"/>
      <c r="Q47" s="1884"/>
      <c r="R47" s="1884"/>
      <c r="S47" s="1884"/>
      <c r="T47" s="1884"/>
      <c r="U47" s="1884"/>
      <c r="V47" s="1884"/>
      <c r="W47" s="1884"/>
      <c r="X47" s="1884"/>
      <c r="Y47" s="1884"/>
      <c r="Z47" s="1884"/>
      <c r="AA47" s="1884"/>
      <c r="AB47" s="1884"/>
      <c r="AC47" s="1884"/>
      <c r="AD47" s="1884"/>
      <c r="AE47" s="1884"/>
      <c r="AF47" s="1884"/>
      <c r="AG47" s="1884"/>
      <c r="AH47" s="1884"/>
      <c r="AI47" s="1884"/>
      <c r="AJ47" s="1884"/>
      <c r="AK47" s="1884"/>
      <c r="AL47" s="1884"/>
      <c r="AM47" s="1884"/>
      <c r="AN47" s="1884"/>
      <c r="AO47" s="1884"/>
      <c r="AP47" s="1884"/>
      <c r="AQ47" s="667"/>
    </row>
    <row r="48" spans="3:66" s="610" customFormat="1" ht="15.95" customHeight="1">
      <c r="C48" s="609"/>
      <c r="D48" s="665"/>
      <c r="E48" s="1883" t="s">
        <v>2042</v>
      </c>
      <c r="F48" s="1883"/>
      <c r="G48" s="1883"/>
      <c r="H48" s="1883"/>
      <c r="I48" s="1883"/>
      <c r="J48" s="1883"/>
      <c r="K48" s="1883"/>
      <c r="L48" s="1883"/>
      <c r="M48" s="1883"/>
      <c r="N48" s="1883"/>
      <c r="O48" s="1883"/>
      <c r="P48" s="1883"/>
      <c r="Q48" s="1883"/>
      <c r="R48" s="1883"/>
      <c r="S48" s="1883"/>
      <c r="T48" s="1883"/>
      <c r="U48" s="1883"/>
      <c r="V48" s="1883"/>
      <c r="W48" s="1883"/>
      <c r="X48" s="1883"/>
      <c r="Y48" s="1883"/>
      <c r="Z48" s="1883"/>
      <c r="AA48" s="1883"/>
      <c r="AB48" s="1883"/>
      <c r="AC48" s="1883"/>
      <c r="AD48" s="1883"/>
      <c r="AE48" s="1883"/>
      <c r="AF48" s="1883"/>
      <c r="AG48" s="1883"/>
      <c r="AH48" s="1883"/>
      <c r="AI48" s="1883"/>
      <c r="AJ48" s="1883"/>
      <c r="AK48" s="1883"/>
      <c r="AL48" s="1883"/>
      <c r="AM48" s="1883"/>
      <c r="AN48" s="1883"/>
      <c r="AO48" s="1883"/>
      <c r="AP48" s="1883"/>
      <c r="AQ48" s="668"/>
    </row>
    <row r="49" spans="2:50" ht="39.75" customHeight="1">
      <c r="C49" s="613"/>
      <c r="D49" s="624"/>
      <c r="E49" s="1884" t="s">
        <v>2043</v>
      </c>
      <c r="F49" s="1884"/>
      <c r="G49" s="1884"/>
      <c r="H49" s="1884"/>
      <c r="I49" s="1884"/>
      <c r="J49" s="1884"/>
      <c r="K49" s="1884"/>
      <c r="L49" s="1884"/>
      <c r="M49" s="1884"/>
      <c r="N49" s="1884"/>
      <c r="O49" s="1884"/>
      <c r="P49" s="1884"/>
      <c r="Q49" s="1884"/>
      <c r="R49" s="1884"/>
      <c r="S49" s="1884"/>
      <c r="T49" s="1884"/>
      <c r="U49" s="1884"/>
      <c r="V49" s="1884"/>
      <c r="W49" s="1884"/>
      <c r="X49" s="1884"/>
      <c r="Y49" s="1884"/>
      <c r="Z49" s="1884"/>
      <c r="AA49" s="1884"/>
      <c r="AB49" s="1884"/>
      <c r="AC49" s="1884"/>
      <c r="AD49" s="1884"/>
      <c r="AE49" s="1884"/>
      <c r="AF49" s="1884"/>
      <c r="AG49" s="1884"/>
      <c r="AH49" s="1884"/>
      <c r="AI49" s="1884"/>
      <c r="AJ49" s="1884"/>
      <c r="AK49" s="1884"/>
      <c r="AL49" s="1884"/>
      <c r="AM49" s="1884"/>
      <c r="AN49" s="1884"/>
      <c r="AO49" s="1884"/>
      <c r="AP49" s="1884"/>
      <c r="AQ49" s="667"/>
    </row>
    <row r="50" spans="2:50" s="610" customFormat="1" ht="15.95" customHeight="1">
      <c r="C50" s="609"/>
      <c r="D50" s="665"/>
      <c r="E50" s="1883" t="s">
        <v>2044</v>
      </c>
      <c r="F50" s="1883"/>
      <c r="G50" s="1883"/>
      <c r="H50" s="1883"/>
      <c r="I50" s="1883"/>
      <c r="J50" s="1883"/>
      <c r="K50" s="1883"/>
      <c r="L50" s="1883"/>
      <c r="M50" s="1883"/>
      <c r="N50" s="1883"/>
      <c r="O50" s="1883"/>
      <c r="P50" s="1883"/>
      <c r="Q50" s="1883"/>
      <c r="R50" s="1883"/>
      <c r="S50" s="1883"/>
      <c r="T50" s="1883"/>
      <c r="U50" s="1883"/>
      <c r="V50" s="1883"/>
      <c r="W50" s="1883"/>
      <c r="X50" s="1883"/>
      <c r="Y50" s="1883"/>
      <c r="Z50" s="1883"/>
      <c r="AA50" s="1883"/>
      <c r="AB50" s="1883"/>
      <c r="AC50" s="1883"/>
      <c r="AD50" s="1883"/>
      <c r="AE50" s="1883"/>
      <c r="AF50" s="1883"/>
      <c r="AG50" s="1883"/>
      <c r="AH50" s="1883"/>
      <c r="AI50" s="1883"/>
      <c r="AJ50" s="1883"/>
      <c r="AK50" s="1883"/>
      <c r="AL50" s="1883"/>
      <c r="AM50" s="1883"/>
      <c r="AN50" s="1883"/>
      <c r="AO50" s="1883"/>
      <c r="AP50" s="1883"/>
      <c r="AQ50" s="666"/>
    </row>
    <row r="51" spans="2:50" ht="39" customHeight="1">
      <c r="C51" s="613"/>
      <c r="D51" s="624"/>
      <c r="E51" s="1884" t="s">
        <v>2045</v>
      </c>
      <c r="F51" s="1884"/>
      <c r="G51" s="1884"/>
      <c r="H51" s="1884"/>
      <c r="I51" s="1884"/>
      <c r="J51" s="1884"/>
      <c r="K51" s="1884"/>
      <c r="L51" s="1884"/>
      <c r="M51" s="1884"/>
      <c r="N51" s="1884"/>
      <c r="O51" s="1884"/>
      <c r="P51" s="1884"/>
      <c r="Q51" s="1884"/>
      <c r="R51" s="1884"/>
      <c r="S51" s="1884"/>
      <c r="T51" s="1884"/>
      <c r="U51" s="1884"/>
      <c r="V51" s="1884"/>
      <c r="W51" s="1884"/>
      <c r="X51" s="1884"/>
      <c r="Y51" s="1884"/>
      <c r="Z51" s="1884"/>
      <c r="AA51" s="1884"/>
      <c r="AB51" s="1884"/>
      <c r="AC51" s="1884"/>
      <c r="AD51" s="1884"/>
      <c r="AE51" s="1884"/>
      <c r="AF51" s="1884"/>
      <c r="AG51" s="1884"/>
      <c r="AH51" s="1884"/>
      <c r="AI51" s="1884"/>
      <c r="AJ51" s="1884"/>
      <c r="AK51" s="1884"/>
      <c r="AL51" s="1884"/>
      <c r="AM51" s="1884"/>
      <c r="AN51" s="1884"/>
      <c r="AO51" s="1884"/>
      <c r="AP51" s="1884"/>
      <c r="AQ51" s="627"/>
    </row>
    <row r="52" spans="2:50" s="610" customFormat="1" ht="15.95" customHeight="1">
      <c r="C52" s="609"/>
      <c r="D52" s="665"/>
      <c r="E52" s="1885" t="s">
        <v>2046</v>
      </c>
      <c r="F52" s="1885"/>
      <c r="G52" s="1885"/>
      <c r="H52" s="1885"/>
      <c r="I52" s="1885"/>
      <c r="J52" s="1885"/>
      <c r="K52" s="1885"/>
      <c r="L52" s="1885"/>
      <c r="M52" s="1885"/>
      <c r="N52" s="1885"/>
      <c r="O52" s="1885"/>
      <c r="P52" s="1885"/>
      <c r="Q52" s="1885"/>
      <c r="R52" s="1885"/>
      <c r="S52" s="1885"/>
      <c r="T52" s="1885"/>
      <c r="U52" s="1885"/>
      <c r="V52" s="1885"/>
      <c r="W52" s="1885"/>
      <c r="X52" s="1885"/>
      <c r="Y52" s="1885"/>
      <c r="Z52" s="1885"/>
      <c r="AA52" s="1885"/>
      <c r="AB52" s="1885"/>
      <c r="AC52" s="1885"/>
      <c r="AD52" s="1885"/>
      <c r="AE52" s="1885"/>
      <c r="AF52" s="1885"/>
      <c r="AG52" s="1885"/>
      <c r="AH52" s="1885"/>
      <c r="AI52" s="1885"/>
      <c r="AJ52" s="1885"/>
      <c r="AK52" s="1885"/>
      <c r="AL52" s="1885"/>
      <c r="AM52" s="1885"/>
      <c r="AN52" s="1885"/>
      <c r="AO52" s="1885"/>
      <c r="AP52" s="1885"/>
      <c r="AQ52" s="666"/>
    </row>
    <row r="53" spans="2:50" ht="28.5" customHeight="1">
      <c r="C53" s="613"/>
      <c r="D53" s="661"/>
      <c r="E53" s="1886" t="s">
        <v>2047</v>
      </c>
      <c r="F53" s="1886"/>
      <c r="G53" s="1886"/>
      <c r="H53" s="1886"/>
      <c r="I53" s="1886"/>
      <c r="J53" s="1886"/>
      <c r="K53" s="1886"/>
      <c r="L53" s="1886"/>
      <c r="M53" s="1886"/>
      <c r="N53" s="1886"/>
      <c r="O53" s="1886"/>
      <c r="P53" s="1886"/>
      <c r="Q53" s="1886"/>
      <c r="R53" s="1886"/>
      <c r="S53" s="1886"/>
      <c r="T53" s="1886"/>
      <c r="U53" s="1886"/>
      <c r="V53" s="1886"/>
      <c r="W53" s="1886"/>
      <c r="X53" s="1886"/>
      <c r="Y53" s="1886"/>
      <c r="Z53" s="1886"/>
      <c r="AA53" s="1886"/>
      <c r="AB53" s="1886"/>
      <c r="AC53" s="1886"/>
      <c r="AD53" s="1886"/>
      <c r="AE53" s="1886"/>
      <c r="AF53" s="1886"/>
      <c r="AG53" s="1886"/>
      <c r="AH53" s="1886"/>
      <c r="AI53" s="1886"/>
      <c r="AJ53" s="1886"/>
      <c r="AK53" s="1886"/>
      <c r="AL53" s="1886"/>
      <c r="AM53" s="1886"/>
      <c r="AN53" s="1886"/>
      <c r="AO53" s="1886"/>
      <c r="AP53" s="1886"/>
      <c r="AQ53" s="649"/>
    </row>
    <row r="54" spans="2:50" ht="6.75" customHeight="1" thickBot="1">
      <c r="C54" s="613"/>
      <c r="D54" s="613"/>
      <c r="E54" s="962"/>
      <c r="F54" s="962"/>
      <c r="G54" s="962"/>
      <c r="H54" s="962"/>
      <c r="I54" s="962"/>
      <c r="J54" s="962"/>
      <c r="K54" s="962"/>
      <c r="L54" s="962"/>
      <c r="M54" s="962"/>
      <c r="N54" s="962"/>
      <c r="O54" s="962"/>
      <c r="P54" s="962"/>
      <c r="Q54" s="962"/>
      <c r="R54" s="962"/>
      <c r="S54" s="962"/>
      <c r="T54" s="962"/>
      <c r="U54" s="962"/>
      <c r="V54" s="962"/>
      <c r="W54" s="962"/>
      <c r="X54" s="962"/>
      <c r="Y54" s="962"/>
      <c r="Z54" s="962"/>
      <c r="AA54" s="962"/>
      <c r="AB54" s="962"/>
      <c r="AC54" s="962"/>
      <c r="AD54" s="962"/>
      <c r="AE54" s="962"/>
      <c r="AF54" s="962"/>
      <c r="AG54" s="962"/>
      <c r="AH54" s="962"/>
      <c r="AI54" s="962"/>
      <c r="AJ54" s="962"/>
      <c r="AK54" s="962"/>
      <c r="AL54" s="962"/>
      <c r="AM54" s="962"/>
      <c r="AN54" s="962"/>
      <c r="AO54" s="962"/>
      <c r="AP54" s="962"/>
      <c r="AQ54" s="613"/>
    </row>
    <row r="55" spans="2:50" s="388" customFormat="1" ht="16.5" customHeight="1" thickBot="1">
      <c r="B55" s="383"/>
      <c r="C55" s="383"/>
      <c r="D55" s="383"/>
      <c r="E55" s="383"/>
      <c r="F55" s="383"/>
      <c r="G55" s="383"/>
      <c r="H55" s="383"/>
      <c r="I55" s="383"/>
      <c r="J55" s="383"/>
      <c r="K55" s="383"/>
      <c r="L55" s="383"/>
      <c r="M55" s="383"/>
      <c r="N55" s="383"/>
      <c r="O55" s="383"/>
      <c r="P55" s="383"/>
      <c r="Q55" s="383"/>
      <c r="R55" s="383"/>
      <c r="S55" s="383"/>
      <c r="T55" s="383"/>
      <c r="U55" s="383"/>
      <c r="V55" s="383"/>
      <c r="W55" s="383"/>
      <c r="X55" s="383"/>
      <c r="Y55" s="383"/>
      <c r="Z55" s="383"/>
      <c r="AA55" s="383"/>
      <c r="AB55" s="383"/>
      <c r="AC55" s="383"/>
      <c r="AD55" s="383"/>
      <c r="AE55" s="383"/>
      <c r="AF55" s="383"/>
      <c r="AG55" s="383"/>
      <c r="AH55" s="383"/>
      <c r="AI55" s="383"/>
      <c r="AJ55" s="383"/>
      <c r="AK55" s="383"/>
      <c r="AL55" s="383"/>
      <c r="AM55" s="384"/>
      <c r="AN55" s="384"/>
      <c r="AO55" s="384"/>
      <c r="AP55" s="385"/>
      <c r="AQ55" s="384" t="str">
        <f>CONCATENATE("Hal -  ",AT55,"  dari  ",AW55)</f>
        <v>Hal -  1  dari  10</v>
      </c>
      <c r="AR55" s="385"/>
      <c r="AT55" s="1881">
        <v>1</v>
      </c>
      <c r="AU55" s="1882"/>
      <c r="AV55" s="387" t="s">
        <v>3</v>
      </c>
      <c r="AW55" s="1881">
        <f>'Gbr-Peta'!AS68</f>
        <v>10</v>
      </c>
      <c r="AX55" s="1882"/>
    </row>
    <row r="74" spans="5:13" ht="12.95" hidden="1" customHeight="1">
      <c r="E74" s="669">
        <v>1</v>
      </c>
      <c r="F74" s="670" t="s">
        <v>2048</v>
      </c>
      <c r="K74" s="671" t="str">
        <f>VLOOKUP(AW55,$E$74:$F$152,2)</f>
        <v>(sepuluh)</v>
      </c>
      <c r="L74" s="671"/>
      <c r="M74" s="671"/>
    </row>
    <row r="75" spans="5:13" ht="12.95" hidden="1" customHeight="1">
      <c r="E75" s="669">
        <v>2</v>
      </c>
      <c r="F75" s="670" t="s">
        <v>2049</v>
      </c>
    </row>
    <row r="76" spans="5:13" ht="12.95" hidden="1" customHeight="1">
      <c r="E76" s="669">
        <v>3</v>
      </c>
      <c r="F76" s="670" t="s">
        <v>2050</v>
      </c>
    </row>
    <row r="77" spans="5:13" ht="12.95" hidden="1" customHeight="1">
      <c r="E77" s="669">
        <v>4</v>
      </c>
      <c r="F77" s="670" t="s">
        <v>2051</v>
      </c>
    </row>
    <row r="78" spans="5:13" ht="12.95" hidden="1" customHeight="1">
      <c r="E78" s="669">
        <v>5</v>
      </c>
      <c r="F78" s="670" t="s">
        <v>2052</v>
      </c>
    </row>
    <row r="79" spans="5:13" ht="12.95" hidden="1" customHeight="1">
      <c r="E79" s="669">
        <v>6</v>
      </c>
      <c r="F79" s="670" t="s">
        <v>2053</v>
      </c>
    </row>
    <row r="80" spans="5:13" ht="12.95" hidden="1" customHeight="1">
      <c r="E80" s="669">
        <v>7</v>
      </c>
      <c r="F80" s="670" t="s">
        <v>2054</v>
      </c>
    </row>
    <row r="81" spans="5:6" ht="12.95" hidden="1" customHeight="1">
      <c r="E81" s="669">
        <v>8</v>
      </c>
      <c r="F81" s="670" t="s">
        <v>2055</v>
      </c>
    </row>
    <row r="82" spans="5:6" ht="12.95" hidden="1" customHeight="1">
      <c r="E82" s="669">
        <v>9</v>
      </c>
      <c r="F82" s="670" t="s">
        <v>2056</v>
      </c>
    </row>
    <row r="83" spans="5:6" ht="12.95" hidden="1" customHeight="1">
      <c r="E83" s="669">
        <v>10</v>
      </c>
      <c r="F83" s="670" t="s">
        <v>2057</v>
      </c>
    </row>
    <row r="84" spans="5:6" ht="12.95" hidden="1" customHeight="1">
      <c r="E84" s="669">
        <v>11</v>
      </c>
      <c r="F84" s="670" t="s">
        <v>2058</v>
      </c>
    </row>
    <row r="85" spans="5:6" ht="12.95" hidden="1" customHeight="1">
      <c r="E85" s="669">
        <v>12</v>
      </c>
      <c r="F85" s="670" t="s">
        <v>2059</v>
      </c>
    </row>
    <row r="86" spans="5:6" ht="12.95" hidden="1" customHeight="1">
      <c r="E86" s="669">
        <v>13</v>
      </c>
      <c r="F86" s="670" t="s">
        <v>2060</v>
      </c>
    </row>
    <row r="87" spans="5:6" ht="12.95" hidden="1" customHeight="1">
      <c r="E87" s="669">
        <v>14</v>
      </c>
      <c r="F87" s="670" t="s">
        <v>2061</v>
      </c>
    </row>
    <row r="88" spans="5:6" ht="12.95" hidden="1" customHeight="1">
      <c r="E88" s="669">
        <v>15</v>
      </c>
      <c r="F88" s="670" t="s">
        <v>2062</v>
      </c>
    </row>
    <row r="89" spans="5:6" ht="12.95" hidden="1" customHeight="1">
      <c r="E89" s="669">
        <v>16</v>
      </c>
      <c r="F89" s="670" t="s">
        <v>2063</v>
      </c>
    </row>
    <row r="90" spans="5:6" ht="12.95" hidden="1" customHeight="1">
      <c r="E90" s="669">
        <v>17</v>
      </c>
      <c r="F90" s="670" t="s">
        <v>2064</v>
      </c>
    </row>
    <row r="91" spans="5:6" ht="12.95" hidden="1" customHeight="1">
      <c r="E91" s="669">
        <v>18</v>
      </c>
      <c r="F91" s="670" t="s">
        <v>2065</v>
      </c>
    </row>
    <row r="92" spans="5:6" ht="12.95" hidden="1" customHeight="1">
      <c r="E92" s="669">
        <v>19</v>
      </c>
      <c r="F92" s="670" t="s">
        <v>2066</v>
      </c>
    </row>
    <row r="93" spans="5:6" ht="12.95" hidden="1" customHeight="1">
      <c r="E93" s="669">
        <v>20</v>
      </c>
      <c r="F93" s="670" t="s">
        <v>2067</v>
      </c>
    </row>
    <row r="94" spans="5:6" ht="12.95" hidden="1" customHeight="1">
      <c r="E94" s="669">
        <v>21</v>
      </c>
      <c r="F94" s="670" t="s">
        <v>2068</v>
      </c>
    </row>
    <row r="95" spans="5:6" ht="12.95" hidden="1" customHeight="1">
      <c r="E95" s="669">
        <v>22</v>
      </c>
      <c r="F95" s="670" t="s">
        <v>2069</v>
      </c>
    </row>
    <row r="96" spans="5:6" ht="12.95" hidden="1" customHeight="1">
      <c r="E96" s="669">
        <v>23</v>
      </c>
      <c r="F96" s="670" t="s">
        <v>2070</v>
      </c>
    </row>
    <row r="97" spans="5:6" ht="12.95" hidden="1" customHeight="1">
      <c r="E97" s="669">
        <v>24</v>
      </c>
      <c r="F97" s="670" t="s">
        <v>2071</v>
      </c>
    </row>
    <row r="98" spans="5:6" ht="12.95" hidden="1" customHeight="1">
      <c r="E98" s="669">
        <v>25</v>
      </c>
      <c r="F98" s="670" t="s">
        <v>2072</v>
      </c>
    </row>
    <row r="99" spans="5:6" ht="12.95" hidden="1" customHeight="1">
      <c r="E99" s="669">
        <v>26</v>
      </c>
      <c r="F99" s="670" t="s">
        <v>2073</v>
      </c>
    </row>
    <row r="100" spans="5:6" ht="12.95" hidden="1" customHeight="1">
      <c r="E100" s="669">
        <v>27</v>
      </c>
      <c r="F100" s="670" t="s">
        <v>2074</v>
      </c>
    </row>
    <row r="101" spans="5:6" ht="12.95" hidden="1" customHeight="1">
      <c r="E101" s="669">
        <v>28</v>
      </c>
      <c r="F101" s="670" t="s">
        <v>2075</v>
      </c>
    </row>
    <row r="102" spans="5:6" ht="12.95" hidden="1" customHeight="1">
      <c r="E102" s="669">
        <v>29</v>
      </c>
      <c r="F102" s="670" t="s">
        <v>2076</v>
      </c>
    </row>
    <row r="103" spans="5:6" ht="12.95" hidden="1" customHeight="1">
      <c r="E103" s="669">
        <v>30</v>
      </c>
      <c r="F103" s="670" t="s">
        <v>2077</v>
      </c>
    </row>
    <row r="104" spans="5:6" ht="12.95" hidden="1" customHeight="1">
      <c r="E104" s="669">
        <v>31</v>
      </c>
      <c r="F104" s="670" t="s">
        <v>2078</v>
      </c>
    </row>
    <row r="105" spans="5:6" ht="12.95" hidden="1" customHeight="1">
      <c r="E105" s="669">
        <v>32</v>
      </c>
      <c r="F105" s="670" t="s">
        <v>2079</v>
      </c>
    </row>
    <row r="106" spans="5:6" ht="12.95" hidden="1" customHeight="1">
      <c r="E106" s="669">
        <v>33</v>
      </c>
      <c r="F106" s="670" t="s">
        <v>2080</v>
      </c>
    </row>
    <row r="107" spans="5:6" ht="12.95" hidden="1" customHeight="1">
      <c r="E107" s="669">
        <v>34</v>
      </c>
      <c r="F107" s="670" t="s">
        <v>2081</v>
      </c>
    </row>
    <row r="108" spans="5:6" ht="12.95" hidden="1" customHeight="1">
      <c r="E108" s="669">
        <v>35</v>
      </c>
      <c r="F108" s="670" t="s">
        <v>2082</v>
      </c>
    </row>
    <row r="109" spans="5:6" ht="12.95" hidden="1" customHeight="1">
      <c r="E109" s="669">
        <v>36</v>
      </c>
      <c r="F109" s="670" t="s">
        <v>2083</v>
      </c>
    </row>
    <row r="110" spans="5:6" ht="12.95" hidden="1" customHeight="1">
      <c r="E110" s="669">
        <v>37</v>
      </c>
      <c r="F110" s="670" t="s">
        <v>2084</v>
      </c>
    </row>
    <row r="111" spans="5:6" ht="12.95" hidden="1" customHeight="1">
      <c r="E111" s="669">
        <v>38</v>
      </c>
      <c r="F111" s="670" t="s">
        <v>2085</v>
      </c>
    </row>
    <row r="112" spans="5:6" ht="12.95" hidden="1" customHeight="1">
      <c r="E112" s="669">
        <v>39</v>
      </c>
      <c r="F112" s="670" t="s">
        <v>2086</v>
      </c>
    </row>
    <row r="113" spans="5:6" ht="12.95" hidden="1" customHeight="1">
      <c r="E113" s="669">
        <v>40</v>
      </c>
      <c r="F113" s="670" t="s">
        <v>2087</v>
      </c>
    </row>
    <row r="114" spans="5:6" ht="12.95" hidden="1" customHeight="1">
      <c r="E114" s="669">
        <v>41</v>
      </c>
      <c r="F114" s="670" t="s">
        <v>2088</v>
      </c>
    </row>
    <row r="115" spans="5:6" ht="12.95" hidden="1" customHeight="1">
      <c r="E115" s="669">
        <v>42</v>
      </c>
      <c r="F115" s="670" t="s">
        <v>2089</v>
      </c>
    </row>
    <row r="116" spans="5:6" ht="12.95" hidden="1" customHeight="1">
      <c r="E116" s="669">
        <v>43</v>
      </c>
      <c r="F116" s="670" t="s">
        <v>2090</v>
      </c>
    </row>
    <row r="117" spans="5:6" ht="12.95" hidden="1" customHeight="1">
      <c r="E117" s="669">
        <v>44</v>
      </c>
      <c r="F117" s="670" t="s">
        <v>2091</v>
      </c>
    </row>
    <row r="118" spans="5:6" ht="12.95" hidden="1" customHeight="1">
      <c r="E118" s="669">
        <v>45</v>
      </c>
      <c r="F118" s="670" t="s">
        <v>2092</v>
      </c>
    </row>
    <row r="119" spans="5:6" ht="12.95" hidden="1" customHeight="1">
      <c r="E119" s="669">
        <v>46</v>
      </c>
      <c r="F119" s="670" t="s">
        <v>2093</v>
      </c>
    </row>
    <row r="120" spans="5:6" ht="12.95" hidden="1" customHeight="1">
      <c r="E120" s="669">
        <v>47</v>
      </c>
      <c r="F120" s="670" t="s">
        <v>2094</v>
      </c>
    </row>
    <row r="121" spans="5:6" ht="12.95" hidden="1" customHeight="1">
      <c r="E121" s="669">
        <v>48</v>
      </c>
      <c r="F121" s="670" t="s">
        <v>2095</v>
      </c>
    </row>
    <row r="122" spans="5:6" ht="12.95" hidden="1" customHeight="1">
      <c r="E122" s="669">
        <v>49</v>
      </c>
      <c r="F122" s="670" t="s">
        <v>2096</v>
      </c>
    </row>
    <row r="123" spans="5:6" ht="12.95" hidden="1" customHeight="1">
      <c r="E123" s="669">
        <v>50</v>
      </c>
      <c r="F123" s="670" t="s">
        <v>2097</v>
      </c>
    </row>
    <row r="124" spans="5:6" ht="12.95" hidden="1" customHeight="1">
      <c r="E124" s="669">
        <v>51</v>
      </c>
      <c r="F124" s="670" t="s">
        <v>2098</v>
      </c>
    </row>
    <row r="125" spans="5:6" ht="12.95" hidden="1" customHeight="1">
      <c r="E125" s="669">
        <v>52</v>
      </c>
      <c r="F125" s="670" t="s">
        <v>2099</v>
      </c>
    </row>
    <row r="126" spans="5:6" ht="12.95" hidden="1" customHeight="1">
      <c r="E126" s="669">
        <v>53</v>
      </c>
      <c r="F126" s="670" t="s">
        <v>2100</v>
      </c>
    </row>
    <row r="127" spans="5:6" ht="12.95" hidden="1" customHeight="1">
      <c r="E127" s="669">
        <v>54</v>
      </c>
      <c r="F127" s="670" t="s">
        <v>2101</v>
      </c>
    </row>
    <row r="128" spans="5:6" ht="12.95" hidden="1" customHeight="1">
      <c r="E128" s="669">
        <v>55</v>
      </c>
      <c r="F128" s="670" t="s">
        <v>2102</v>
      </c>
    </row>
    <row r="129" spans="5:6" ht="12.95" hidden="1" customHeight="1">
      <c r="E129" s="669">
        <v>56</v>
      </c>
      <c r="F129" s="670" t="s">
        <v>2103</v>
      </c>
    </row>
    <row r="130" spans="5:6" ht="12.95" hidden="1" customHeight="1">
      <c r="E130" s="669">
        <v>57</v>
      </c>
      <c r="F130" s="670" t="s">
        <v>2104</v>
      </c>
    </row>
    <row r="131" spans="5:6" ht="12.95" hidden="1" customHeight="1">
      <c r="E131" s="669">
        <v>58</v>
      </c>
      <c r="F131" s="670" t="s">
        <v>2105</v>
      </c>
    </row>
    <row r="132" spans="5:6" ht="12.95" hidden="1" customHeight="1">
      <c r="E132" s="669">
        <v>59</v>
      </c>
      <c r="F132" s="670" t="s">
        <v>2106</v>
      </c>
    </row>
    <row r="133" spans="5:6" ht="12.95" hidden="1" customHeight="1">
      <c r="E133" s="669">
        <v>60</v>
      </c>
      <c r="F133" s="670" t="s">
        <v>2107</v>
      </c>
    </row>
    <row r="134" spans="5:6" ht="12.95" hidden="1" customHeight="1">
      <c r="E134" s="669">
        <v>61</v>
      </c>
      <c r="F134" s="670" t="s">
        <v>2108</v>
      </c>
    </row>
    <row r="135" spans="5:6" ht="12.95" hidden="1" customHeight="1">
      <c r="E135" s="669">
        <v>62</v>
      </c>
      <c r="F135" s="670" t="s">
        <v>2109</v>
      </c>
    </row>
    <row r="136" spans="5:6" ht="12.95" hidden="1" customHeight="1">
      <c r="E136" s="669">
        <v>63</v>
      </c>
      <c r="F136" s="670" t="s">
        <v>2110</v>
      </c>
    </row>
    <row r="137" spans="5:6" ht="12.95" hidden="1" customHeight="1">
      <c r="E137" s="669">
        <v>64</v>
      </c>
      <c r="F137" s="670" t="s">
        <v>2111</v>
      </c>
    </row>
    <row r="138" spans="5:6" ht="12.95" hidden="1" customHeight="1">
      <c r="E138" s="669">
        <v>65</v>
      </c>
      <c r="F138" s="670" t="s">
        <v>2112</v>
      </c>
    </row>
    <row r="139" spans="5:6" ht="12.95" hidden="1" customHeight="1">
      <c r="E139" s="669">
        <v>66</v>
      </c>
      <c r="F139" s="670" t="s">
        <v>2113</v>
      </c>
    </row>
    <row r="140" spans="5:6" ht="12.95" hidden="1" customHeight="1">
      <c r="E140" s="669">
        <v>67</v>
      </c>
      <c r="F140" s="670" t="s">
        <v>2114</v>
      </c>
    </row>
    <row r="141" spans="5:6" ht="12.95" hidden="1" customHeight="1">
      <c r="E141" s="669">
        <v>68</v>
      </c>
      <c r="F141" s="670" t="s">
        <v>2115</v>
      </c>
    </row>
    <row r="142" spans="5:6" ht="12.95" hidden="1" customHeight="1">
      <c r="E142" s="669">
        <v>69</v>
      </c>
      <c r="F142" s="670" t="s">
        <v>2116</v>
      </c>
    </row>
    <row r="143" spans="5:6" ht="12.95" hidden="1" customHeight="1">
      <c r="E143" s="669">
        <v>70</v>
      </c>
      <c r="F143" s="670" t="s">
        <v>2117</v>
      </c>
    </row>
    <row r="144" spans="5:6" ht="12.95" hidden="1" customHeight="1">
      <c r="E144" s="669">
        <v>71</v>
      </c>
      <c r="F144" s="670" t="s">
        <v>2118</v>
      </c>
    </row>
    <row r="145" spans="5:6" ht="12.95" hidden="1" customHeight="1">
      <c r="E145" s="669">
        <v>72</v>
      </c>
      <c r="F145" s="670" t="s">
        <v>2119</v>
      </c>
    </row>
    <row r="146" spans="5:6" ht="12.95" hidden="1" customHeight="1">
      <c r="E146" s="669">
        <v>73</v>
      </c>
      <c r="F146" s="670" t="s">
        <v>2120</v>
      </c>
    </row>
    <row r="147" spans="5:6" ht="12.95" hidden="1" customHeight="1">
      <c r="E147" s="669">
        <v>74</v>
      </c>
      <c r="F147" s="670" t="s">
        <v>2121</v>
      </c>
    </row>
    <row r="148" spans="5:6" ht="12.95" hidden="1" customHeight="1">
      <c r="E148" s="669">
        <v>75</v>
      </c>
      <c r="F148" s="670" t="s">
        <v>2122</v>
      </c>
    </row>
    <row r="149" spans="5:6" ht="12.95" hidden="1" customHeight="1">
      <c r="E149" s="669">
        <v>76</v>
      </c>
      <c r="F149" s="670" t="s">
        <v>2123</v>
      </c>
    </row>
    <row r="150" spans="5:6" ht="12.95" hidden="1" customHeight="1">
      <c r="E150" s="669">
        <v>77</v>
      </c>
      <c r="F150" s="670" t="s">
        <v>2124</v>
      </c>
    </row>
    <row r="151" spans="5:6" ht="12.95" hidden="1" customHeight="1">
      <c r="E151" s="669">
        <v>78</v>
      </c>
      <c r="F151" s="670" t="s">
        <v>2125</v>
      </c>
    </row>
    <row r="152" spans="5:6" ht="12.95" hidden="1" customHeight="1">
      <c r="E152" s="669">
        <v>79</v>
      </c>
      <c r="F152" s="670" t="s">
        <v>2126</v>
      </c>
    </row>
    <row r="153" spans="5:6" ht="12.95" hidden="1" customHeight="1"/>
  </sheetData>
  <sheetProtection formatCells="0" formatColumns="0" formatRows="0" insertColumns="0" insertRows="0" insertHyperlinks="0" deleteColumns="0" deleteRows="0" sort="0" autoFilter="0" pivotTables="0"/>
  <dataConsolidate/>
  <mergeCells count="18">
    <mergeCell ref="E52:AP52"/>
    <mergeCell ref="E53:AP53"/>
    <mergeCell ref="E47:AP47"/>
    <mergeCell ref="N16:AP17"/>
    <mergeCell ref="N21:AP22"/>
    <mergeCell ref="N23:AO23"/>
    <mergeCell ref="N24:AO24"/>
    <mergeCell ref="N25:AP26"/>
    <mergeCell ref="AW19:BR26"/>
    <mergeCell ref="Y37:AP41"/>
    <mergeCell ref="E45:AP45"/>
    <mergeCell ref="E46:AP46"/>
    <mergeCell ref="AT55:AU55"/>
    <mergeCell ref="AW55:AX55"/>
    <mergeCell ref="E48:AP48"/>
    <mergeCell ref="E49:AP49"/>
    <mergeCell ref="E50:AP50"/>
    <mergeCell ref="E51:AP51"/>
  </mergeCells>
  <dataValidations count="3">
    <dataValidation operator="lessThan" allowBlank="1" showInputMessage="1" showErrorMessage="1" sqref="AT55 AW55"/>
    <dataValidation type="whole" operator="lessThanOrEqual" allowBlank="1" showInputMessage="1" showErrorMessage="1" sqref="H42:J55 D5:D34 H35:J36 K35:AQ55 N9:AO23 N34:AP34 E30:E34 E2:E28 AQ2:AQ34 I37:I41 F9:M34 F2:AP8 B2:C34 D2:D3 AP9:AP24 B35:D55 F35:G55 E35:E37 E39 E41:E55">
      <formula1>-5</formula1>
    </dataValidation>
    <dataValidation type="whole" operator="lessThan" allowBlank="1" showInputMessage="1" showErrorMessage="1" sqref="AR5:IV5 AR3:AR4 A5">
      <formula1>-5</formula1>
    </dataValidation>
  </dataValidations>
  <pageMargins left="0.35" right="0" top="0" bottom="0.39370078740157499" header="0" footer="0"/>
  <pageSetup paperSize="9" scale="90" orientation="portrait" r:id="rId1"/>
  <headerFooter alignWithMargins="0"/>
  <ignoredErrors>
    <ignoredError sqref="E30:E31 N14:N15 N20:N21 N23" unlocked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CD70"/>
  <sheetViews>
    <sheetView showGridLines="0" view="pageBreakPreview" topLeftCell="A8" zoomScale="85" zoomScaleNormal="85" zoomScaleSheetLayoutView="85" workbookViewId="0">
      <selection activeCell="AP15" sqref="AP15:AQ15"/>
    </sheetView>
  </sheetViews>
  <sheetFormatPr defaultColWidth="2.7109375" defaultRowHeight="14.1" customHeight="1"/>
  <cols>
    <col min="1" max="1" width="5.7109375" style="607" customWidth="1"/>
    <col min="2" max="2" width="11.5703125" style="607" customWidth="1"/>
    <col min="3" max="3" width="1.28515625" style="607" customWidth="1"/>
    <col min="4" max="4" width="0.85546875" style="607" customWidth="1"/>
    <col min="5" max="19" width="3" style="607" customWidth="1"/>
    <col min="20" max="38" width="2.85546875" style="607" customWidth="1"/>
    <col min="39" max="39" width="2.140625" style="607" customWidth="1"/>
    <col min="40" max="40" width="1.28515625" style="607" customWidth="1"/>
    <col min="41" max="46" width="2.7109375" style="607"/>
    <col min="47" max="47" width="2.7109375" style="607" customWidth="1"/>
    <col min="48" max="76" width="2.7109375" style="607"/>
    <col min="77" max="16384" width="2.7109375" style="342"/>
  </cols>
  <sheetData>
    <row r="2" spans="1:82" ht="84.95" customHeight="1"/>
    <row r="3" spans="1:82" ht="3.95" customHeight="1">
      <c r="C3" s="613"/>
      <c r="D3" s="618"/>
      <c r="E3" s="619"/>
      <c r="F3" s="619"/>
      <c r="G3" s="619"/>
      <c r="H3" s="619"/>
      <c r="I3" s="619"/>
      <c r="J3" s="619"/>
      <c r="K3" s="619"/>
      <c r="L3" s="619"/>
      <c r="M3" s="619"/>
      <c r="N3" s="619"/>
      <c r="O3" s="619"/>
      <c r="P3" s="619"/>
      <c r="Q3" s="619"/>
      <c r="R3" s="619"/>
      <c r="S3" s="619"/>
      <c r="T3" s="619"/>
      <c r="U3" s="619"/>
      <c r="V3" s="619"/>
      <c r="W3" s="619"/>
      <c r="X3" s="619"/>
      <c r="Y3" s="619"/>
      <c r="Z3" s="619"/>
      <c r="AA3" s="619"/>
      <c r="AB3" s="619"/>
      <c r="AC3" s="619"/>
      <c r="AD3" s="619"/>
      <c r="AE3" s="619"/>
      <c r="AF3" s="619"/>
      <c r="AG3" s="619"/>
      <c r="AH3" s="619"/>
      <c r="AI3" s="619"/>
      <c r="AJ3" s="619"/>
      <c r="AK3" s="619"/>
      <c r="AL3" s="619"/>
      <c r="AM3" s="620"/>
    </row>
    <row r="4" spans="1:82" s="673" customFormat="1" ht="18" customHeight="1">
      <c r="A4" s="617"/>
      <c r="B4" s="617"/>
      <c r="C4" s="662"/>
      <c r="D4" s="663"/>
      <c r="E4" s="1966" t="s">
        <v>2127</v>
      </c>
      <c r="F4" s="1966"/>
      <c r="G4" s="1966"/>
      <c r="H4" s="1966"/>
      <c r="I4" s="1966"/>
      <c r="J4" s="1966"/>
      <c r="K4" s="1966"/>
      <c r="L4" s="1966"/>
      <c r="M4" s="1966"/>
      <c r="N4" s="1966"/>
      <c r="O4" s="1966"/>
      <c r="P4" s="1966"/>
      <c r="Q4" s="1966"/>
      <c r="R4" s="1966"/>
      <c r="S4" s="1966"/>
      <c r="T4" s="1966"/>
      <c r="U4" s="1966"/>
      <c r="V4" s="1966"/>
      <c r="W4" s="1966"/>
      <c r="X4" s="1966"/>
      <c r="Y4" s="1966"/>
      <c r="Z4" s="1966"/>
      <c r="AA4" s="1966"/>
      <c r="AB4" s="1966"/>
      <c r="AC4" s="1966"/>
      <c r="AD4" s="1966"/>
      <c r="AE4" s="1966"/>
      <c r="AF4" s="1966"/>
      <c r="AG4" s="1966"/>
      <c r="AH4" s="1966"/>
      <c r="AI4" s="1966"/>
      <c r="AJ4" s="1966"/>
      <c r="AK4" s="1966"/>
      <c r="AL4" s="1966"/>
      <c r="AM4" s="672"/>
      <c r="AN4" s="617"/>
      <c r="AO4" s="617"/>
      <c r="AP4" s="617"/>
      <c r="AQ4" s="617"/>
      <c r="AR4" s="617"/>
      <c r="AS4" s="617"/>
      <c r="AT4" s="617"/>
      <c r="AU4" s="617"/>
      <c r="AV4" s="617"/>
      <c r="AW4" s="617"/>
      <c r="AX4" s="617"/>
      <c r="AY4" s="617"/>
      <c r="AZ4" s="617"/>
      <c r="BA4" s="617"/>
      <c r="BB4" s="617"/>
      <c r="BC4" s="617"/>
      <c r="BD4" s="617"/>
      <c r="BE4" s="617"/>
      <c r="BF4" s="617"/>
      <c r="BG4" s="617"/>
      <c r="BH4" s="617"/>
      <c r="BI4" s="617"/>
      <c r="BJ4" s="617"/>
      <c r="BK4" s="617"/>
      <c r="BL4" s="617"/>
      <c r="BM4" s="617"/>
      <c r="BN4" s="617"/>
      <c r="BO4" s="617"/>
      <c r="BP4" s="617"/>
      <c r="BQ4" s="617"/>
      <c r="BR4" s="617"/>
      <c r="BS4" s="617"/>
      <c r="BT4" s="617"/>
      <c r="BU4" s="617"/>
      <c r="BV4" s="617"/>
      <c r="BW4" s="617"/>
      <c r="BX4" s="617"/>
    </row>
    <row r="5" spans="1:82" s="674" customFormat="1" ht="18" customHeight="1">
      <c r="A5" s="610"/>
      <c r="B5" s="610"/>
      <c r="C5" s="609"/>
      <c r="D5" s="665"/>
      <c r="E5" s="1883" t="s">
        <v>2128</v>
      </c>
      <c r="F5" s="1883"/>
      <c r="G5" s="1883"/>
      <c r="H5" s="1883"/>
      <c r="I5" s="1883"/>
      <c r="J5" s="1883"/>
      <c r="K5" s="1883"/>
      <c r="L5" s="1883"/>
      <c r="M5" s="1883"/>
      <c r="N5" s="1883"/>
      <c r="O5" s="1883"/>
      <c r="P5" s="1883"/>
      <c r="Q5" s="1883"/>
      <c r="R5" s="1883"/>
      <c r="S5" s="1883"/>
      <c r="T5" s="1883"/>
      <c r="U5" s="1883"/>
      <c r="V5" s="1883"/>
      <c r="W5" s="1883"/>
      <c r="X5" s="1883"/>
      <c r="Y5" s="1883"/>
      <c r="Z5" s="1883"/>
      <c r="AA5" s="1883"/>
      <c r="AB5" s="1883"/>
      <c r="AC5" s="1883"/>
      <c r="AD5" s="1883"/>
      <c r="AE5" s="1883"/>
      <c r="AF5" s="1883"/>
      <c r="AG5" s="1883"/>
      <c r="AH5" s="1883"/>
      <c r="AI5" s="1883"/>
      <c r="AJ5" s="1883"/>
      <c r="AK5" s="1883"/>
      <c r="AL5" s="1883"/>
      <c r="AM5" s="666"/>
      <c r="AN5" s="610"/>
      <c r="AO5" s="610"/>
      <c r="AP5" s="610"/>
      <c r="AQ5" s="610"/>
      <c r="AR5" s="610"/>
      <c r="AS5" s="610"/>
      <c r="AT5" s="610"/>
      <c r="AU5" s="610"/>
      <c r="AV5" s="610"/>
      <c r="AW5" s="610"/>
      <c r="AX5" s="610"/>
      <c r="AY5" s="610"/>
      <c r="AZ5" s="610"/>
      <c r="BA5" s="610"/>
      <c r="BB5" s="610"/>
      <c r="BC5" s="610"/>
      <c r="BD5" s="610"/>
      <c r="BE5" s="610"/>
      <c r="BF5" s="610"/>
      <c r="BG5" s="610"/>
      <c r="BH5" s="610"/>
      <c r="BI5" s="610"/>
      <c r="BJ5" s="610"/>
      <c r="BK5" s="610"/>
      <c r="BL5" s="610"/>
      <c r="BM5" s="610"/>
      <c r="BN5" s="610"/>
      <c r="BO5" s="610"/>
      <c r="BP5" s="610"/>
      <c r="BQ5" s="610"/>
      <c r="BR5" s="610"/>
      <c r="BS5" s="610"/>
      <c r="BT5" s="610"/>
      <c r="BU5" s="610"/>
      <c r="BV5" s="610"/>
      <c r="BW5" s="610"/>
      <c r="BX5" s="610"/>
    </row>
    <row r="6" spans="1:82" s="319" customFormat="1" ht="28.5" customHeight="1">
      <c r="A6" s="607"/>
      <c r="B6" s="607"/>
      <c r="C6" s="613"/>
      <c r="D6" s="624"/>
      <c r="E6" s="1884" t="s">
        <v>2129</v>
      </c>
      <c r="F6" s="1884"/>
      <c r="G6" s="1884"/>
      <c r="H6" s="1884"/>
      <c r="I6" s="1884"/>
      <c r="J6" s="1884"/>
      <c r="K6" s="1884"/>
      <c r="L6" s="1884"/>
      <c r="M6" s="1884"/>
      <c r="N6" s="1884"/>
      <c r="O6" s="1884"/>
      <c r="P6" s="1884"/>
      <c r="Q6" s="1884"/>
      <c r="R6" s="1884"/>
      <c r="S6" s="1884"/>
      <c r="T6" s="1884"/>
      <c r="U6" s="1884"/>
      <c r="V6" s="1884"/>
      <c r="W6" s="1884"/>
      <c r="X6" s="1884"/>
      <c r="Y6" s="1884"/>
      <c r="Z6" s="1884"/>
      <c r="AA6" s="1884"/>
      <c r="AB6" s="1884"/>
      <c r="AC6" s="1884"/>
      <c r="AD6" s="1884"/>
      <c r="AE6" s="1884"/>
      <c r="AF6" s="1884"/>
      <c r="AG6" s="1884"/>
      <c r="AH6" s="1884"/>
      <c r="AI6" s="1884"/>
      <c r="AJ6" s="1884"/>
      <c r="AK6" s="1884"/>
      <c r="AL6" s="1884"/>
      <c r="AM6" s="627"/>
      <c r="AN6" s="607"/>
      <c r="AO6" s="607"/>
      <c r="AP6" s="607"/>
      <c r="AQ6" s="607"/>
      <c r="AR6" s="607"/>
      <c r="AS6" s="607"/>
      <c r="AT6" s="607"/>
      <c r="AU6" s="607"/>
      <c r="AV6" s="607"/>
      <c r="AW6" s="607"/>
      <c r="AX6" s="607"/>
      <c r="AY6" s="607"/>
      <c r="AZ6" s="607"/>
      <c r="BA6" s="607"/>
      <c r="BB6" s="607"/>
      <c r="BC6" s="607"/>
      <c r="BD6" s="607"/>
      <c r="BE6" s="607"/>
      <c r="BF6" s="607"/>
      <c r="BG6" s="607"/>
      <c r="BH6" s="607"/>
      <c r="BI6" s="607"/>
      <c r="BJ6" s="607"/>
      <c r="BK6" s="607"/>
      <c r="BL6" s="607"/>
      <c r="BM6" s="607"/>
      <c r="BN6" s="607"/>
      <c r="BO6" s="607"/>
      <c r="BP6" s="607"/>
      <c r="BQ6" s="607"/>
      <c r="BR6" s="607"/>
      <c r="BS6" s="607"/>
      <c r="BT6" s="607"/>
      <c r="BU6" s="607"/>
      <c r="BV6" s="607"/>
      <c r="BW6" s="607"/>
      <c r="BX6" s="607"/>
    </row>
    <row r="7" spans="1:82" s="674" customFormat="1" ht="15.95" customHeight="1">
      <c r="A7" s="610"/>
      <c r="B7" s="610"/>
      <c r="C7" s="609"/>
      <c r="D7" s="665"/>
      <c r="E7" s="1883" t="s">
        <v>2130</v>
      </c>
      <c r="F7" s="1883"/>
      <c r="G7" s="1883"/>
      <c r="H7" s="1883"/>
      <c r="I7" s="1883"/>
      <c r="J7" s="1883"/>
      <c r="K7" s="1883"/>
      <c r="L7" s="1883"/>
      <c r="M7" s="1883"/>
      <c r="N7" s="1883"/>
      <c r="O7" s="1883"/>
      <c r="P7" s="1883"/>
      <c r="Q7" s="1883"/>
      <c r="R7" s="1883"/>
      <c r="S7" s="1883"/>
      <c r="T7" s="1883"/>
      <c r="U7" s="1883"/>
      <c r="V7" s="1883"/>
      <c r="W7" s="1883"/>
      <c r="X7" s="1883"/>
      <c r="Y7" s="1883"/>
      <c r="Z7" s="1883"/>
      <c r="AA7" s="1883"/>
      <c r="AB7" s="1883"/>
      <c r="AC7" s="1883"/>
      <c r="AD7" s="1883"/>
      <c r="AE7" s="1883"/>
      <c r="AF7" s="1883"/>
      <c r="AG7" s="1883"/>
      <c r="AH7" s="1883"/>
      <c r="AI7" s="1883"/>
      <c r="AJ7" s="1883"/>
      <c r="AK7" s="1883"/>
      <c r="AL7" s="1883"/>
      <c r="AM7" s="666"/>
      <c r="AN7" s="610"/>
      <c r="AO7" s="610"/>
      <c r="AP7" s="610"/>
      <c r="AQ7" s="610"/>
      <c r="AR7" s="610"/>
      <c r="AS7" s="610"/>
      <c r="AT7" s="610"/>
      <c r="AU7" s="610"/>
      <c r="AV7" s="610"/>
      <c r="AW7" s="610"/>
      <c r="AX7" s="610"/>
      <c r="AY7" s="610"/>
      <c r="AZ7" s="610"/>
      <c r="BA7" s="610"/>
      <c r="BB7" s="610"/>
      <c r="BC7" s="610"/>
      <c r="BD7" s="610"/>
      <c r="BE7" s="610"/>
      <c r="BF7" s="610"/>
      <c r="BG7" s="610"/>
      <c r="BH7" s="610"/>
      <c r="BI7" s="610"/>
      <c r="BJ7" s="610"/>
      <c r="BK7" s="610"/>
      <c r="BL7" s="610"/>
      <c r="BM7" s="610"/>
      <c r="BN7" s="610"/>
      <c r="BO7" s="610"/>
      <c r="BP7" s="610"/>
      <c r="BQ7" s="610"/>
      <c r="BR7" s="610"/>
      <c r="BS7" s="610"/>
      <c r="BT7" s="610"/>
      <c r="BU7" s="610"/>
      <c r="BV7" s="610"/>
      <c r="BW7" s="610"/>
      <c r="BX7" s="610"/>
    </row>
    <row r="8" spans="1:82" s="319" customFormat="1" ht="41.1" customHeight="1">
      <c r="A8" s="607"/>
      <c r="B8" s="607"/>
      <c r="C8" s="613"/>
      <c r="D8" s="624"/>
      <c r="E8" s="1884" t="s">
        <v>2131</v>
      </c>
      <c r="F8" s="1884"/>
      <c r="G8" s="1884"/>
      <c r="H8" s="1884"/>
      <c r="I8" s="1884"/>
      <c r="J8" s="1884"/>
      <c r="K8" s="1884"/>
      <c r="L8" s="1884"/>
      <c r="M8" s="1884"/>
      <c r="N8" s="1884"/>
      <c r="O8" s="1884"/>
      <c r="P8" s="1884"/>
      <c r="Q8" s="1884"/>
      <c r="R8" s="1884"/>
      <c r="S8" s="1884"/>
      <c r="T8" s="1884"/>
      <c r="U8" s="1884"/>
      <c r="V8" s="1884"/>
      <c r="W8" s="1884"/>
      <c r="X8" s="1884"/>
      <c r="Y8" s="1884"/>
      <c r="Z8" s="1884"/>
      <c r="AA8" s="1884"/>
      <c r="AB8" s="1884"/>
      <c r="AC8" s="1884"/>
      <c r="AD8" s="1884"/>
      <c r="AE8" s="1884"/>
      <c r="AF8" s="1884"/>
      <c r="AG8" s="1884"/>
      <c r="AH8" s="1884"/>
      <c r="AI8" s="1884"/>
      <c r="AJ8" s="1884"/>
      <c r="AK8" s="1884"/>
      <c r="AL8" s="1884"/>
      <c r="AM8" s="627"/>
      <c r="AN8" s="607"/>
      <c r="AO8" s="607"/>
      <c r="AP8" s="607"/>
      <c r="AQ8" s="607"/>
      <c r="AR8" s="607"/>
      <c r="AS8" s="607"/>
      <c r="AT8" s="607"/>
      <c r="AU8" s="607"/>
      <c r="AV8" s="1970"/>
      <c r="AW8" s="1970"/>
      <c r="AX8" s="1970"/>
      <c r="AY8" s="1970"/>
      <c r="AZ8" s="1970"/>
      <c r="BA8" s="1970"/>
      <c r="BB8" s="1970"/>
      <c r="BC8" s="1970"/>
      <c r="BD8" s="1970"/>
      <c r="BE8" s="1970"/>
      <c r="BF8" s="607"/>
      <c r="BG8" s="607"/>
      <c r="BH8" s="607"/>
      <c r="BI8" s="607"/>
      <c r="BJ8" s="607"/>
      <c r="BK8" s="607"/>
      <c r="BL8" s="607"/>
      <c r="BM8" s="607"/>
      <c r="BN8" s="607"/>
      <c r="BO8" s="607"/>
      <c r="BP8" s="607"/>
      <c r="BQ8" s="607"/>
      <c r="BR8" s="607"/>
      <c r="BS8" s="607"/>
      <c r="BT8" s="607"/>
      <c r="BU8" s="607"/>
      <c r="BV8" s="607"/>
      <c r="BW8" s="607"/>
      <c r="BX8" s="607"/>
    </row>
    <row r="9" spans="1:82" s="319" customFormat="1" ht="15.95" customHeight="1">
      <c r="A9" s="607"/>
      <c r="B9" s="607"/>
      <c r="C9" s="613"/>
      <c r="D9" s="624"/>
      <c r="E9" s="1883" t="s">
        <v>2132</v>
      </c>
      <c r="F9" s="1883"/>
      <c r="G9" s="1883"/>
      <c r="H9" s="1883"/>
      <c r="I9" s="1883"/>
      <c r="J9" s="1883"/>
      <c r="K9" s="1883"/>
      <c r="L9" s="1883"/>
      <c r="M9" s="1883"/>
      <c r="N9" s="1883"/>
      <c r="O9" s="1883"/>
      <c r="P9" s="1883"/>
      <c r="Q9" s="1883"/>
      <c r="R9" s="1883"/>
      <c r="S9" s="1883"/>
      <c r="T9" s="1883"/>
      <c r="U9" s="1883"/>
      <c r="V9" s="1883"/>
      <c r="W9" s="1883"/>
      <c r="X9" s="1883"/>
      <c r="Y9" s="1883"/>
      <c r="Z9" s="1883"/>
      <c r="AA9" s="1883"/>
      <c r="AB9" s="1883"/>
      <c r="AC9" s="1883"/>
      <c r="AD9" s="1883"/>
      <c r="AE9" s="1883"/>
      <c r="AF9" s="1883"/>
      <c r="AG9" s="1883"/>
      <c r="AH9" s="1883"/>
      <c r="AI9" s="1883"/>
      <c r="AJ9" s="1883"/>
      <c r="AK9" s="1883"/>
      <c r="AL9" s="1883"/>
      <c r="AM9" s="627"/>
      <c r="AN9" s="607"/>
      <c r="AO9" s="607"/>
      <c r="AP9" s="607"/>
      <c r="AQ9" s="607"/>
      <c r="AR9" s="607"/>
      <c r="AS9" s="607"/>
      <c r="AT9" s="607"/>
      <c r="AU9"/>
      <c r="AV9" s="1005"/>
      <c r="AW9" s="1005"/>
      <c r="AX9" s="1005"/>
      <c r="AY9" s="1005"/>
      <c r="AZ9" s="1005"/>
      <c r="BA9" s="1005"/>
      <c r="BB9" s="1005"/>
      <c r="BC9" s="1005"/>
      <c r="BD9" s="1005"/>
      <c r="BE9" s="1005"/>
      <c r="BF9" s="607"/>
      <c r="BG9" s="607"/>
      <c r="BH9" s="607"/>
      <c r="BI9" s="607"/>
      <c r="BJ9" s="607"/>
      <c r="BK9" s="607"/>
      <c r="BL9" s="607"/>
      <c r="BM9" s="607"/>
      <c r="BN9" s="607"/>
      <c r="BO9" s="607"/>
      <c r="BP9" s="607"/>
      <c r="BQ9" s="607"/>
      <c r="BR9" s="607"/>
      <c r="BS9" s="607"/>
      <c r="BT9" s="607"/>
      <c r="BU9" s="607"/>
      <c r="BV9" s="607"/>
      <c r="BW9" s="607"/>
      <c r="BX9" s="607"/>
    </row>
    <row r="10" spans="1:82" s="319" customFormat="1" ht="45" customHeight="1">
      <c r="A10" s="607"/>
      <c r="B10" s="607"/>
      <c r="C10" s="613"/>
      <c r="D10" s="624"/>
      <c r="E10" s="1884" t="s">
        <v>2446</v>
      </c>
      <c r="F10" s="1884"/>
      <c r="G10" s="1884"/>
      <c r="H10" s="1884"/>
      <c r="I10" s="1884"/>
      <c r="J10" s="1884"/>
      <c r="K10" s="1884"/>
      <c r="L10" s="1884"/>
      <c r="M10" s="1884"/>
      <c r="N10" s="1884"/>
      <c r="O10" s="1884"/>
      <c r="P10" s="1884"/>
      <c r="Q10" s="1884"/>
      <c r="R10" s="1884"/>
      <c r="S10" s="1884"/>
      <c r="T10" s="1884"/>
      <c r="U10" s="1884"/>
      <c r="V10" s="1884"/>
      <c r="W10" s="1884"/>
      <c r="X10" s="1884"/>
      <c r="Y10" s="1884"/>
      <c r="Z10" s="1884"/>
      <c r="AA10" s="1884"/>
      <c r="AB10" s="1884"/>
      <c r="AC10" s="1884"/>
      <c r="AD10" s="1884"/>
      <c r="AE10" s="1884"/>
      <c r="AF10" s="1884"/>
      <c r="AG10" s="1884"/>
      <c r="AH10" s="1884"/>
      <c r="AI10" s="1884"/>
      <c r="AJ10" s="1884"/>
      <c r="AK10" s="1884"/>
      <c r="AL10" s="1884"/>
      <c r="AM10" s="627"/>
      <c r="AN10" s="607"/>
      <c r="AO10" s="607"/>
      <c r="AP10" s="607"/>
      <c r="AQ10" s="607"/>
      <c r="AR10" s="607"/>
      <c r="AS10" s="607"/>
      <c r="AT10" s="607"/>
      <c r="AU10" s="607"/>
      <c r="AV10" s="1005"/>
      <c r="AW10" s="1005"/>
      <c r="AX10" s="1005"/>
      <c r="AY10" s="1005"/>
      <c r="AZ10" s="1005"/>
      <c r="BA10" s="1005"/>
      <c r="BB10" s="1005"/>
      <c r="BC10" s="1005"/>
      <c r="BD10" s="1005"/>
      <c r="BE10" s="1005"/>
      <c r="BF10" s="607"/>
      <c r="BG10" s="607"/>
      <c r="BH10" s="607"/>
      <c r="BI10" s="607"/>
      <c r="BJ10" s="607"/>
      <c r="BK10" s="607"/>
      <c r="BL10" s="607"/>
      <c r="BM10" s="607"/>
      <c r="BN10" s="607"/>
      <c r="BO10" s="607"/>
      <c r="BP10" s="607"/>
      <c r="BQ10" s="607"/>
      <c r="BR10" s="607"/>
      <c r="BS10" s="607"/>
      <c r="BT10" s="607"/>
      <c r="BU10" s="607"/>
      <c r="BV10" s="607"/>
      <c r="BW10" s="607"/>
      <c r="BX10" s="607"/>
    </row>
    <row r="11" spans="1:82" ht="3" customHeight="1">
      <c r="C11" s="613"/>
      <c r="D11" s="661"/>
      <c r="E11" s="1007"/>
      <c r="F11" s="1007"/>
      <c r="G11" s="1007"/>
      <c r="H11" s="1007"/>
      <c r="I11" s="1007"/>
      <c r="J11" s="1007"/>
      <c r="K11" s="1007"/>
      <c r="L11" s="1007"/>
      <c r="M11" s="1007"/>
      <c r="N11" s="1007"/>
      <c r="O11" s="1007"/>
      <c r="P11" s="1007"/>
      <c r="Q11" s="1007"/>
      <c r="R11" s="1007"/>
      <c r="S11" s="1007"/>
      <c r="T11" s="1007"/>
      <c r="U11" s="1007"/>
      <c r="V11" s="1007"/>
      <c r="W11" s="1007"/>
      <c r="X11" s="1007"/>
      <c r="Y11" s="1007"/>
      <c r="Z11" s="1007"/>
      <c r="AA11" s="1007"/>
      <c r="AB11" s="1007"/>
      <c r="AC11" s="1007"/>
      <c r="AD11" s="1007"/>
      <c r="AE11" s="1007"/>
      <c r="AF11" s="1007"/>
      <c r="AG11" s="1007"/>
      <c r="AH11" s="647"/>
      <c r="AI11" s="647"/>
      <c r="AJ11" s="647"/>
      <c r="AK11" s="647"/>
      <c r="AL11" s="647"/>
      <c r="AM11" s="649"/>
    </row>
    <row r="12" spans="1:82" ht="12" customHeight="1">
      <c r="C12" s="613"/>
      <c r="D12" s="613"/>
      <c r="E12" s="613"/>
      <c r="F12" s="613"/>
      <c r="G12" s="613"/>
      <c r="H12" s="613"/>
      <c r="I12" s="613"/>
      <c r="J12" s="613"/>
      <c r="K12" s="613"/>
      <c r="L12" s="613"/>
      <c r="M12" s="613"/>
      <c r="N12" s="613"/>
      <c r="O12" s="613"/>
    </row>
    <row r="13" spans="1:82" s="677" customFormat="1" ht="18" customHeight="1">
      <c r="A13" s="617"/>
      <c r="B13" s="617"/>
      <c r="C13" s="662"/>
      <c r="D13" s="675" t="s">
        <v>2472</v>
      </c>
      <c r="E13" s="683"/>
      <c r="F13" s="683"/>
      <c r="G13" s="676"/>
      <c r="H13" s="676"/>
      <c r="I13" s="676"/>
      <c r="J13" s="676"/>
      <c r="K13" s="676"/>
      <c r="L13" s="676"/>
      <c r="M13" s="676"/>
      <c r="N13" s="676"/>
      <c r="O13" s="676"/>
      <c r="P13" s="617"/>
      <c r="Q13" s="617"/>
      <c r="R13" s="617"/>
      <c r="S13" s="617"/>
      <c r="T13" s="617"/>
      <c r="U13" s="617"/>
      <c r="V13" s="617"/>
      <c r="W13" s="617"/>
      <c r="X13" s="617"/>
      <c r="Y13" s="617"/>
      <c r="Z13" s="617"/>
      <c r="AA13" s="617"/>
      <c r="AB13" s="617"/>
      <c r="AC13" s="617"/>
      <c r="AD13" s="617"/>
      <c r="AE13" s="617"/>
      <c r="AF13" s="617"/>
      <c r="AG13" s="617"/>
      <c r="AH13" s="617"/>
      <c r="AI13" s="617"/>
      <c r="AJ13" s="617"/>
      <c r="AK13" s="617"/>
      <c r="AL13" s="617"/>
      <c r="AM13" s="617"/>
      <c r="AN13" s="617"/>
      <c r="AO13" s="617"/>
      <c r="AP13" s="617"/>
      <c r="AQ13" s="617"/>
      <c r="AR13" s="617"/>
      <c r="AS13" s="617"/>
      <c r="AT13" s="617"/>
      <c r="AU13" s="617"/>
      <c r="AV13" s="617"/>
      <c r="AW13" s="617"/>
      <c r="AX13" s="617"/>
      <c r="AY13" s="617"/>
      <c r="AZ13" s="617"/>
      <c r="BA13" s="617"/>
      <c r="BB13" s="617"/>
      <c r="BC13" s="617"/>
      <c r="BD13" s="617"/>
      <c r="BE13" s="617"/>
      <c r="BF13" s="617"/>
      <c r="BG13" s="617"/>
      <c r="BH13" s="617"/>
      <c r="BI13" s="617"/>
      <c r="BJ13" s="617"/>
      <c r="BK13" s="617"/>
      <c r="BL13" s="617"/>
      <c r="BM13" s="617"/>
      <c r="BN13" s="617"/>
      <c r="BO13" s="617"/>
      <c r="BP13" s="617"/>
      <c r="BQ13" s="617"/>
      <c r="BR13" s="617"/>
      <c r="BS13" s="617"/>
      <c r="BT13" s="617"/>
      <c r="BU13" s="617"/>
      <c r="BV13" s="617"/>
      <c r="BW13" s="617"/>
      <c r="BX13"/>
      <c r="BY13"/>
      <c r="BZ13"/>
      <c r="CA13"/>
      <c r="CB13"/>
      <c r="CC13"/>
      <c r="CD13"/>
    </row>
    <row r="14" spans="1:82" ht="39.950000000000003" customHeight="1">
      <c r="A14" s="678"/>
      <c r="B14" s="678"/>
      <c r="C14" s="678"/>
      <c r="D14" s="1971" t="s">
        <v>1901</v>
      </c>
      <c r="E14" s="1972"/>
      <c r="F14" s="1972"/>
      <c r="G14" s="1972"/>
      <c r="H14" s="1972"/>
      <c r="I14" s="1972"/>
      <c r="J14" s="1972"/>
      <c r="K14" s="1972"/>
      <c r="L14" s="1972"/>
      <c r="M14" s="1972"/>
      <c r="N14" s="1972"/>
      <c r="O14" s="1973"/>
      <c r="P14" s="1974" t="s">
        <v>2133</v>
      </c>
      <c r="Q14" s="1972"/>
      <c r="R14" s="1972"/>
      <c r="S14" s="1972"/>
      <c r="T14" s="1954" t="s">
        <v>2134</v>
      </c>
      <c r="U14" s="1955"/>
      <c r="V14" s="1955"/>
      <c r="W14" s="1955"/>
      <c r="X14" s="1955"/>
      <c r="Y14" s="1955"/>
      <c r="Z14" s="1955"/>
      <c r="AA14" s="1955"/>
      <c r="AB14" s="1955"/>
      <c r="AC14" s="1956"/>
      <c r="AD14" s="1957" t="s">
        <v>2135</v>
      </c>
      <c r="AE14" s="1958"/>
      <c r="AF14" s="1958"/>
      <c r="AG14" s="1958"/>
      <c r="AH14" s="1958"/>
      <c r="AI14" s="1958"/>
      <c r="AJ14" s="1958"/>
      <c r="AK14" s="1958"/>
      <c r="AL14" s="1958"/>
      <c r="AM14" s="1959"/>
      <c r="AN14" s="678"/>
      <c r="AO14" s="678"/>
      <c r="AP14" s="1975" t="s">
        <v>2136</v>
      </c>
      <c r="AQ14" s="1975"/>
      <c r="AR14" s="678"/>
      <c r="AS14" s="1976" t="s">
        <v>2137</v>
      </c>
      <c r="AT14" s="1976"/>
      <c r="AU14" s="1976"/>
      <c r="AV14" s="1977" t="s">
        <v>2138</v>
      </c>
      <c r="AW14" s="1977"/>
      <c r="AX14" s="1977"/>
      <c r="AY14" s="678"/>
      <c r="AZ14"/>
      <c r="BA14"/>
      <c r="BB14"/>
      <c r="BC14"/>
      <c r="BD14"/>
      <c r="BE14"/>
      <c r="BF14"/>
      <c r="BG14"/>
      <c r="BH14"/>
      <c r="BI14"/>
      <c r="BJ14"/>
      <c r="BK14"/>
      <c r="BL14" s="678"/>
      <c r="BM14" s="678"/>
      <c r="BU14" s="678"/>
      <c r="BV14" s="678"/>
      <c r="BW14" s="678"/>
      <c r="BX14"/>
      <c r="BY14"/>
      <c r="BZ14"/>
      <c r="CA14"/>
      <c r="CB14"/>
      <c r="CC14"/>
      <c r="CD14"/>
    </row>
    <row r="15" spans="1:82" ht="20.100000000000001" customHeight="1">
      <c r="A15" s="623"/>
      <c r="B15" s="623"/>
      <c r="C15" s="623"/>
      <c r="D15" s="1978" t="s">
        <v>2139</v>
      </c>
      <c r="E15" s="1979"/>
      <c r="F15" s="1979"/>
      <c r="G15" s="1979"/>
      <c r="H15" s="1979"/>
      <c r="I15" s="1979"/>
      <c r="J15" s="1979"/>
      <c r="K15" s="1979"/>
      <c r="L15" s="1979"/>
      <c r="M15" s="1979"/>
      <c r="N15" s="1979"/>
      <c r="O15" s="1980"/>
      <c r="P15" s="1952">
        <f>Tnh!AK113</f>
        <v>249</v>
      </c>
      <c r="Q15" s="1953"/>
      <c r="R15" s="1953"/>
      <c r="S15" s="1953"/>
      <c r="T15" s="1960">
        <f>+DB!Q64*'Surat-02'!P15</f>
        <v>1245000000</v>
      </c>
      <c r="U15" s="1961"/>
      <c r="V15" s="1961"/>
      <c r="W15" s="1961"/>
      <c r="X15" s="1961"/>
      <c r="Y15" s="1961"/>
      <c r="Z15" s="1961"/>
      <c r="AA15" s="1961"/>
      <c r="AB15" s="1961"/>
      <c r="AC15" s="1962"/>
      <c r="AD15" s="1960">
        <f>T15*(1-$AP$15)</f>
        <v>747000000</v>
      </c>
      <c r="AE15" s="1961"/>
      <c r="AF15" s="1961"/>
      <c r="AG15" s="1961"/>
      <c r="AH15" s="1961"/>
      <c r="AI15" s="1961"/>
      <c r="AJ15" s="1961"/>
      <c r="AK15" s="1961"/>
      <c r="AL15" s="1961"/>
      <c r="AM15" s="1962"/>
      <c r="AN15" s="623"/>
      <c r="AO15" s="623"/>
      <c r="AP15" s="1931">
        <v>0.4</v>
      </c>
      <c r="AQ15" s="1931"/>
      <c r="AR15" s="623"/>
      <c r="AS15" s="1932">
        <v>0.2</v>
      </c>
      <c r="AT15" s="1933"/>
      <c r="AU15" s="1936" t="s">
        <v>2140</v>
      </c>
      <c r="AV15" s="1937"/>
      <c r="AW15" s="1934">
        <v>0.5</v>
      </c>
      <c r="AX15" s="1935"/>
      <c r="AY15" s="623"/>
      <c r="AZ15"/>
      <c r="BA15"/>
      <c r="BB15"/>
      <c r="BC15"/>
      <c r="BD15"/>
      <c r="BE15"/>
      <c r="BF15"/>
      <c r="BG15"/>
      <c r="BH15"/>
      <c r="BI15"/>
      <c r="BJ15"/>
      <c r="BK15"/>
      <c r="BL15" s="623"/>
      <c r="BM15" s="623"/>
      <c r="BU15" s="623"/>
      <c r="BV15" s="623"/>
      <c r="BW15" s="623"/>
      <c r="BX15"/>
      <c r="BY15"/>
      <c r="BZ15"/>
      <c r="CA15"/>
      <c r="CB15"/>
      <c r="CC15"/>
      <c r="CD15"/>
    </row>
    <row r="16" spans="1:82" ht="20.100000000000001" customHeight="1">
      <c r="A16" s="623"/>
      <c r="B16" s="623"/>
      <c r="C16" s="623"/>
      <c r="D16" s="1967" t="str">
        <f>"Bangunan "&amp;'B1'!AA75&amp;""</f>
        <v>Bangunan Rumah Tinggal</v>
      </c>
      <c r="E16" s="1968"/>
      <c r="F16" s="1968"/>
      <c r="G16" s="1968"/>
      <c r="H16" s="1968"/>
      <c r="I16" s="1968"/>
      <c r="J16" s="1968"/>
      <c r="K16" s="1968"/>
      <c r="L16" s="1968"/>
      <c r="M16" s="1968"/>
      <c r="N16" s="1968"/>
      <c r="O16" s="1969"/>
      <c r="P16" s="1964">
        <f>'B1'!AJ19</f>
        <v>249</v>
      </c>
      <c r="Q16" s="1965"/>
      <c r="R16" s="1965"/>
      <c r="S16" s="1965"/>
      <c r="T16" s="1960">
        <v>248004000</v>
      </c>
      <c r="U16" s="1961"/>
      <c r="V16" s="1961"/>
      <c r="W16" s="1961"/>
      <c r="X16" s="1961"/>
      <c r="Y16" s="1961"/>
      <c r="Z16" s="1961"/>
      <c r="AA16" s="1961"/>
      <c r="AB16" s="1961"/>
      <c r="AC16" s="1962"/>
      <c r="AD16" s="1960">
        <f>T16*(1-$AP$16)</f>
        <v>148802400</v>
      </c>
      <c r="AE16" s="1961"/>
      <c r="AF16" s="1961"/>
      <c r="AG16" s="1961"/>
      <c r="AH16" s="1961"/>
      <c r="AI16" s="1961"/>
      <c r="AJ16" s="1961"/>
      <c r="AK16" s="1961"/>
      <c r="AL16" s="1961"/>
      <c r="AM16" s="1962"/>
      <c r="AN16" s="623"/>
      <c r="AO16" s="623"/>
      <c r="AP16" s="1931">
        <f>+AP15</f>
        <v>0.4</v>
      </c>
      <c r="AQ16" s="1931"/>
      <c r="AR16" s="623"/>
      <c r="AS16" s="1932">
        <v>0.3</v>
      </c>
      <c r="AT16" s="1933"/>
      <c r="AU16" s="1936" t="s">
        <v>2140</v>
      </c>
      <c r="AV16" s="1937"/>
      <c r="AW16" s="1934">
        <v>0.4</v>
      </c>
      <c r="AX16" s="1935"/>
      <c r="AY16" s="623"/>
      <c r="AZ16"/>
      <c r="BA16"/>
      <c r="BB16"/>
      <c r="BC16"/>
      <c r="BD16"/>
      <c r="BE16"/>
      <c r="BF16"/>
      <c r="BG16"/>
      <c r="BH16"/>
      <c r="BI16"/>
      <c r="BJ16"/>
      <c r="BK16"/>
      <c r="BL16" s="623"/>
      <c r="BM16" s="623"/>
      <c r="BU16" s="623"/>
      <c r="BV16" s="623"/>
      <c r="BW16" s="623"/>
      <c r="BX16"/>
      <c r="BY16"/>
      <c r="BZ16"/>
      <c r="CA16"/>
      <c r="CB16"/>
      <c r="CC16"/>
      <c r="CD16"/>
    </row>
    <row r="17" spans="1:82" ht="24.75" customHeight="1">
      <c r="A17" s="623"/>
      <c r="B17" s="623"/>
      <c r="C17" s="623"/>
      <c r="D17" s="1949" t="s">
        <v>2141</v>
      </c>
      <c r="E17" s="1950"/>
      <c r="F17" s="1950"/>
      <c r="G17" s="1950"/>
      <c r="H17" s="1950"/>
      <c r="I17" s="1950"/>
      <c r="J17" s="1950"/>
      <c r="K17" s="1950"/>
      <c r="L17" s="1950"/>
      <c r="M17" s="1950"/>
      <c r="N17" s="1950"/>
      <c r="O17" s="1951"/>
      <c r="P17" s="1898" t="s">
        <v>2142</v>
      </c>
      <c r="Q17" s="1899"/>
      <c r="R17" s="1899"/>
      <c r="S17" s="1899"/>
      <c r="T17" s="1915">
        <v>0</v>
      </c>
      <c r="U17" s="1916"/>
      <c r="V17" s="1916"/>
      <c r="W17" s="1916"/>
      <c r="X17" s="1916"/>
      <c r="Y17" s="1916"/>
      <c r="Z17" s="1916"/>
      <c r="AA17" s="1916"/>
      <c r="AB17" s="1916"/>
      <c r="AC17" s="1917"/>
      <c r="AD17" s="1915">
        <f>T17*(1-AP17)</f>
        <v>0</v>
      </c>
      <c r="AE17" s="1916"/>
      <c r="AF17" s="1916"/>
      <c r="AG17" s="1916"/>
      <c r="AH17" s="1916"/>
      <c r="AI17" s="1916"/>
      <c r="AJ17" s="1916"/>
      <c r="AK17" s="1916"/>
      <c r="AL17" s="1916"/>
      <c r="AM17" s="1917"/>
      <c r="AN17" s="623"/>
      <c r="AO17" s="623"/>
      <c r="AP17" s="1931">
        <f>+AP16</f>
        <v>0.4</v>
      </c>
      <c r="AQ17" s="1931"/>
      <c r="AR17" s="623"/>
      <c r="AS17" s="1932">
        <v>0.4</v>
      </c>
      <c r="AT17" s="1933"/>
      <c r="AU17" s="1936" t="s">
        <v>2140</v>
      </c>
      <c r="AV17" s="1937"/>
      <c r="AW17" s="1934">
        <v>0.6</v>
      </c>
      <c r="AX17" s="1935"/>
      <c r="AY17" s="623"/>
      <c r="AZ17"/>
      <c r="BA17"/>
      <c r="BB17"/>
      <c r="BC17"/>
      <c r="BD17"/>
      <c r="BE17"/>
      <c r="BF17"/>
      <c r="BG17"/>
      <c r="BH17"/>
      <c r="BI17"/>
      <c r="BJ17"/>
      <c r="BK17"/>
      <c r="BL17" s="623"/>
      <c r="BM17" s="623"/>
      <c r="BU17" s="623"/>
      <c r="BV17" s="623"/>
      <c r="BW17" s="623"/>
      <c r="BX17"/>
      <c r="BY17"/>
      <c r="BZ17"/>
      <c r="CA17"/>
      <c r="CB17"/>
      <c r="CC17"/>
      <c r="CD17"/>
    </row>
    <row r="18" spans="1:82" ht="21" customHeight="1">
      <c r="A18" s="679"/>
      <c r="B18" s="679"/>
      <c r="C18" s="679"/>
      <c r="D18" s="1947" t="s">
        <v>2143</v>
      </c>
      <c r="E18" s="1948"/>
      <c r="F18" s="1948"/>
      <c r="G18" s="1948"/>
      <c r="H18" s="1948"/>
      <c r="I18" s="1948"/>
      <c r="J18" s="1948"/>
      <c r="K18" s="1948"/>
      <c r="L18" s="1948"/>
      <c r="M18" s="1948"/>
      <c r="N18" s="1948"/>
      <c r="O18" s="1948"/>
      <c r="P18" s="1948"/>
      <c r="Q18" s="1948"/>
      <c r="R18" s="1948"/>
      <c r="S18" s="1948"/>
      <c r="T18" s="1938">
        <f>SUM(T15:Z17)</f>
        <v>1493004000</v>
      </c>
      <c r="U18" s="1939"/>
      <c r="V18" s="1939"/>
      <c r="W18" s="1939"/>
      <c r="X18" s="1939"/>
      <c r="Y18" s="1939"/>
      <c r="Z18" s="1939"/>
      <c r="AA18" s="1939"/>
      <c r="AB18" s="1939"/>
      <c r="AC18" s="1940"/>
      <c r="AD18" s="1938">
        <f>SUM(AD15:AM17)</f>
        <v>895802400</v>
      </c>
      <c r="AE18" s="1939"/>
      <c r="AF18" s="1939"/>
      <c r="AG18" s="1939"/>
      <c r="AH18" s="1939"/>
      <c r="AI18" s="1939"/>
      <c r="AJ18" s="1939"/>
      <c r="AK18" s="1939"/>
      <c r="AL18" s="1939"/>
      <c r="AM18" s="1963"/>
      <c r="AN18" s="679"/>
      <c r="AO18" s="679"/>
      <c r="AP18" s="679"/>
      <c r="AQ18" s="679"/>
      <c r="AR18" s="679"/>
      <c r="AS18" s="679"/>
      <c r="AT18" s="679"/>
      <c r="AU18" s="679"/>
      <c r="AV18" s="679"/>
      <c r="AW18" s="679"/>
      <c r="AX18" s="679"/>
      <c r="AY18" s="679"/>
      <c r="AZ18"/>
      <c r="BA18"/>
      <c r="BB18"/>
      <c r="BC18"/>
      <c r="BD18"/>
      <c r="BE18"/>
      <c r="BF18"/>
      <c r="BG18"/>
      <c r="BH18"/>
      <c r="BI18"/>
      <c r="BJ18"/>
      <c r="BK18"/>
      <c r="BL18" s="679"/>
      <c r="BM18" s="679"/>
      <c r="BU18" s="679"/>
      <c r="BV18" s="679"/>
      <c r="BW18" s="679"/>
      <c r="BX18"/>
      <c r="BY18"/>
      <c r="BZ18"/>
      <c r="CA18"/>
      <c r="CB18"/>
      <c r="CC18"/>
      <c r="CD18"/>
    </row>
    <row r="19" spans="1:82" ht="21" customHeight="1">
      <c r="A19" s="623"/>
      <c r="B19" s="623"/>
      <c r="C19" s="1006"/>
      <c r="D19" s="1896" t="s">
        <v>2144</v>
      </c>
      <c r="E19" s="1897"/>
      <c r="F19" s="1897"/>
      <c r="G19" s="1897"/>
      <c r="H19" s="1897"/>
      <c r="I19" s="1897"/>
      <c r="J19" s="1897"/>
      <c r="K19" s="1897"/>
      <c r="L19" s="1897"/>
      <c r="M19" s="1897"/>
      <c r="N19" s="1897"/>
      <c r="O19" s="1897"/>
      <c r="P19" s="1897"/>
      <c r="Q19" s="1897"/>
      <c r="R19" s="1897"/>
      <c r="S19" s="1897"/>
      <c r="T19" s="1918">
        <f>ROUND(T18,-6)</f>
        <v>1493000000</v>
      </c>
      <c r="U19" s="1919"/>
      <c r="V19" s="1919"/>
      <c r="W19" s="1919"/>
      <c r="X19" s="1919"/>
      <c r="Y19" s="1919"/>
      <c r="Z19" s="1919"/>
      <c r="AA19" s="1919"/>
      <c r="AB19" s="1919"/>
      <c r="AC19" s="1920"/>
      <c r="AD19" s="1918">
        <f>ROUND(AD18,-6)</f>
        <v>896000000</v>
      </c>
      <c r="AE19" s="1919"/>
      <c r="AF19" s="1919"/>
      <c r="AG19" s="1919"/>
      <c r="AH19" s="1919"/>
      <c r="AI19" s="1919"/>
      <c r="AJ19" s="1919"/>
      <c r="AK19" s="1919"/>
      <c r="AL19" s="1919"/>
      <c r="AM19" s="1985"/>
      <c r="AN19" s="623"/>
      <c r="AO19" s="623"/>
      <c r="AP19" s="1927">
        <f>1-AD19/T19</f>
        <v>0.39986604152712657</v>
      </c>
      <c r="AQ19" s="1928"/>
      <c r="AR19" s="1929" t="s">
        <v>2145</v>
      </c>
      <c r="AS19" s="1930"/>
      <c r="AT19" s="1930"/>
      <c r="AU19" s="1930"/>
      <c r="AV19" s="1930"/>
      <c r="AW19" s="1930"/>
      <c r="AX19" s="1930"/>
      <c r="AY19" s="623"/>
      <c r="AZ19" s="1989"/>
      <c r="BA19" s="1981"/>
      <c r="BB19" s="1981"/>
      <c r="BC19" s="1981"/>
      <c r="BD19" s="1981"/>
      <c r="BE19" s="1990"/>
      <c r="BF19" s="1989"/>
      <c r="BG19" s="1981"/>
      <c r="BH19" s="1981"/>
      <c r="BI19" s="1981"/>
      <c r="BJ19" s="1981"/>
      <c r="BK19" s="1990"/>
      <c r="BL19" s="623"/>
      <c r="BM19" s="623"/>
      <c r="BU19" s="623"/>
      <c r="BV19" s="623"/>
      <c r="BW19" s="623"/>
      <c r="BX19"/>
      <c r="BY19"/>
      <c r="BZ19"/>
      <c r="CA19"/>
      <c r="CB19"/>
      <c r="CC19"/>
      <c r="CD19"/>
    </row>
    <row r="20" spans="1:82" ht="45.75" customHeight="1">
      <c r="A20" s="623"/>
      <c r="B20" s="623"/>
      <c r="C20" s="1006"/>
      <c r="D20" s="1896" t="s">
        <v>2146</v>
      </c>
      <c r="E20" s="1897"/>
      <c r="F20" s="1897"/>
      <c r="G20" s="1897"/>
      <c r="H20" s="1897"/>
      <c r="I20" s="1897"/>
      <c r="J20" s="1897"/>
      <c r="K20" s="1897"/>
      <c r="L20" s="1897"/>
      <c r="M20" s="1897"/>
      <c r="N20" s="1897"/>
      <c r="O20" s="1897"/>
      <c r="P20" s="1897"/>
      <c r="Q20" s="1897"/>
      <c r="R20" s="1897"/>
      <c r="S20" s="1897"/>
      <c r="T20" s="1921" t="s">
        <v>2560</v>
      </c>
      <c r="U20" s="1922"/>
      <c r="V20" s="1922"/>
      <c r="W20" s="1922"/>
      <c r="X20" s="1922"/>
      <c r="Y20" s="1922"/>
      <c r="Z20" s="1922"/>
      <c r="AA20" s="1922"/>
      <c r="AB20" s="1922"/>
      <c r="AC20" s="1923"/>
      <c r="AD20" s="1986" t="s">
        <v>2560</v>
      </c>
      <c r="AE20" s="1922"/>
      <c r="AF20" s="1922"/>
      <c r="AG20" s="1922"/>
      <c r="AH20" s="1922"/>
      <c r="AI20" s="1922"/>
      <c r="AJ20" s="1922"/>
      <c r="AK20" s="1922"/>
      <c r="AL20" s="1922"/>
      <c r="AM20" s="1987"/>
      <c r="AN20" s="623"/>
      <c r="AO20" s="623"/>
      <c r="AP20" s="1988">
        <f>T19*0.7</f>
        <v>1045099999.9999999</v>
      </c>
      <c r="AQ20" s="1988"/>
      <c r="AR20" s="1988"/>
      <c r="AS20" s="1988"/>
      <c r="AT20" s="1988"/>
      <c r="AU20" s="1004"/>
      <c r="AV20" s="1004"/>
      <c r="AW20" s="1004"/>
      <c r="AX20" s="1004"/>
      <c r="AY20" s="623"/>
      <c r="BL20" s="623"/>
      <c r="BM20" s="623"/>
      <c r="BU20" s="623"/>
      <c r="BV20" s="623"/>
      <c r="BW20" s="623"/>
      <c r="BX20"/>
      <c r="BY20"/>
      <c r="BZ20"/>
      <c r="CA20"/>
      <c r="CB20"/>
      <c r="CC20"/>
      <c r="CD20"/>
    </row>
    <row r="21" spans="1:82" ht="6" customHeight="1">
      <c r="C21" s="613"/>
      <c r="D21" s="629"/>
      <c r="F21" s="629"/>
      <c r="G21" s="629"/>
      <c r="H21" s="629"/>
      <c r="I21" s="629"/>
      <c r="J21" s="629"/>
      <c r="K21" s="629"/>
      <c r="L21" s="629"/>
      <c r="M21" s="629"/>
      <c r="N21" s="629"/>
      <c r="O21" s="629"/>
      <c r="P21" s="613"/>
      <c r="T21" s="682"/>
    </row>
    <row r="22" spans="1:82" ht="3" customHeight="1">
      <c r="C22" s="613"/>
      <c r="D22" s="629"/>
      <c r="F22" s="629"/>
      <c r="G22" s="629"/>
      <c r="H22" s="629"/>
      <c r="I22" s="629"/>
      <c r="J22" s="629"/>
      <c r="K22" s="629"/>
      <c r="L22" s="629"/>
      <c r="M22" s="629"/>
      <c r="N22" s="629"/>
      <c r="O22" s="629"/>
      <c r="P22" s="613"/>
    </row>
    <row r="23" spans="1:82" ht="2.4500000000000002" customHeight="1">
      <c r="C23" s="613"/>
      <c r="D23" s="629"/>
      <c r="F23" s="629"/>
      <c r="G23" s="629"/>
      <c r="H23" s="629"/>
      <c r="I23" s="629"/>
      <c r="J23" s="629"/>
      <c r="K23" s="629"/>
      <c r="L23" s="629"/>
      <c r="M23" s="629"/>
      <c r="N23" s="629"/>
      <c r="O23" s="629"/>
      <c r="P23" s="613"/>
    </row>
    <row r="24" spans="1:82" ht="3.95" hidden="1" customHeight="1">
      <c r="C24" s="613"/>
      <c r="D24" s="684"/>
      <c r="E24" s="619"/>
      <c r="F24" s="685"/>
      <c r="G24" s="685"/>
      <c r="H24" s="685"/>
      <c r="I24" s="685"/>
      <c r="J24" s="685"/>
      <c r="K24" s="685"/>
      <c r="L24" s="685"/>
      <c r="M24" s="685"/>
      <c r="N24" s="685"/>
      <c r="O24" s="685"/>
      <c r="P24" s="619"/>
      <c r="Q24" s="619"/>
      <c r="R24" s="619"/>
      <c r="S24" s="619"/>
      <c r="T24" s="619"/>
      <c r="U24" s="619"/>
      <c r="V24" s="619"/>
      <c r="W24" s="619"/>
      <c r="X24" s="619"/>
      <c r="Y24" s="619"/>
      <c r="Z24" s="619"/>
      <c r="AA24" s="619"/>
      <c r="AB24" s="619"/>
      <c r="AC24" s="619"/>
      <c r="AD24" s="619"/>
      <c r="AE24" s="619"/>
      <c r="AF24" s="619"/>
      <c r="AG24" s="619"/>
      <c r="AH24" s="619"/>
      <c r="AI24" s="619"/>
      <c r="AJ24" s="619"/>
      <c r="AK24" s="619"/>
      <c r="AL24" s="619"/>
      <c r="AM24" s="620"/>
    </row>
    <row r="25" spans="1:82" s="319" customFormat="1" ht="15" hidden="1" customHeight="1">
      <c r="A25" s="607"/>
      <c r="B25" s="607"/>
      <c r="C25" s="613"/>
      <c r="D25" s="1008"/>
      <c r="E25" s="1924" t="s">
        <v>2459</v>
      </c>
      <c r="F25" s="1925"/>
      <c r="G25" s="1925"/>
      <c r="H25" s="1925"/>
      <c r="I25" s="1925"/>
      <c r="J25" s="1925"/>
      <c r="K25" s="1926"/>
      <c r="L25" s="1128"/>
      <c r="M25" s="1128"/>
      <c r="N25" s="1128"/>
      <c r="O25" s="1128"/>
      <c r="P25" s="1128"/>
      <c r="Q25" s="1128"/>
      <c r="R25" s="1128"/>
      <c r="S25" s="1128"/>
      <c r="T25" s="1128"/>
      <c r="U25" s="1128"/>
      <c r="V25" s="1128"/>
      <c r="W25" s="1128"/>
      <c r="X25" s="1128"/>
      <c r="Y25" s="1128"/>
      <c r="Z25" s="1128"/>
      <c r="AA25" s="1128"/>
      <c r="AB25" s="1128"/>
      <c r="AC25" s="1128"/>
      <c r="AD25" s="1128"/>
      <c r="AE25" s="1128"/>
      <c r="AF25" s="1128"/>
      <c r="AG25" s="1128"/>
      <c r="AH25" s="1128"/>
      <c r="AI25" s="1128"/>
      <c r="AJ25" s="1128"/>
      <c r="AK25" s="1128"/>
      <c r="AL25" s="1128"/>
      <c r="AM25" s="686"/>
      <c r="AN25" s="607"/>
      <c r="AO25" s="607"/>
      <c r="AP25" s="607"/>
      <c r="AQ25" s="607"/>
      <c r="AR25" s="607"/>
      <c r="AS25" s="607"/>
      <c r="AT25" s="607"/>
      <c r="AU25" s="607"/>
      <c r="AV25" s="607"/>
      <c r="AW25" s="607"/>
      <c r="AX25" s="607"/>
      <c r="AY25" s="607"/>
      <c r="AZ25" s="607"/>
      <c r="BA25" s="607"/>
      <c r="BB25" s="607"/>
      <c r="BC25" s="607"/>
      <c r="BD25" s="607"/>
      <c r="BE25" s="607"/>
      <c r="BF25" s="607"/>
      <c r="BG25" s="607"/>
      <c r="BH25" s="607"/>
      <c r="BI25" s="607"/>
      <c r="BJ25" s="607"/>
      <c r="BK25" s="607"/>
      <c r="BL25" s="607"/>
      <c r="BM25" s="607"/>
      <c r="BN25" s="607"/>
      <c r="BO25" s="607"/>
      <c r="BP25" s="607"/>
      <c r="BQ25" s="607"/>
      <c r="BR25" s="607"/>
      <c r="BS25" s="607"/>
      <c r="BT25" s="607"/>
      <c r="BU25" s="607"/>
      <c r="BV25" s="607"/>
      <c r="BW25" s="607"/>
      <c r="BX25" s="607"/>
    </row>
    <row r="26" spans="1:82" s="319" customFormat="1" ht="5.25" hidden="1" customHeight="1">
      <c r="A26" s="607"/>
      <c r="B26" s="607"/>
      <c r="C26" s="613"/>
      <c r="D26" s="1008"/>
      <c r="E26" s="1129"/>
      <c r="F26" s="1129"/>
      <c r="G26" s="1129"/>
      <c r="H26" s="1129"/>
      <c r="I26" s="1129"/>
      <c r="J26" s="1129"/>
      <c r="K26" s="1129"/>
      <c r="L26" s="1128"/>
      <c r="M26" s="1128"/>
      <c r="N26" s="1128"/>
      <c r="O26" s="1128"/>
      <c r="P26" s="1128"/>
      <c r="Q26" s="1128"/>
      <c r="R26" s="1128"/>
      <c r="S26" s="1128"/>
      <c r="T26" s="1128"/>
      <c r="U26" s="1128"/>
      <c r="V26" s="1128"/>
      <c r="W26" s="1128"/>
      <c r="X26" s="1128"/>
      <c r="Y26" s="1128"/>
      <c r="Z26" s="1128"/>
      <c r="AA26" s="1128"/>
      <c r="AB26" s="1128"/>
      <c r="AC26" s="1128"/>
      <c r="AD26" s="1128"/>
      <c r="AE26" s="1128"/>
      <c r="AF26" s="1128"/>
      <c r="AG26" s="1128"/>
      <c r="AH26" s="1128"/>
      <c r="AI26" s="1128"/>
      <c r="AJ26" s="1128"/>
      <c r="AK26" s="1128"/>
      <c r="AL26" s="1128"/>
      <c r="AM26" s="686"/>
      <c r="AN26" s="607"/>
      <c r="AO26" s="607"/>
      <c r="AP26" s="607"/>
      <c r="AQ26" s="607"/>
      <c r="AR26" s="607"/>
      <c r="AS26" s="607"/>
      <c r="AT26" s="607"/>
      <c r="AU26" s="607"/>
      <c r="AV26" s="607"/>
      <c r="AW26" s="607"/>
      <c r="AX26" s="607"/>
      <c r="AY26" s="607"/>
      <c r="AZ26" s="607"/>
      <c r="BA26" s="607"/>
      <c r="BB26" s="607"/>
      <c r="BC26" s="607"/>
      <c r="BD26" s="607"/>
      <c r="BE26" s="607"/>
      <c r="BF26" s="607"/>
      <c r="BG26" s="607"/>
      <c r="BH26" s="607"/>
      <c r="BI26" s="607"/>
      <c r="BJ26" s="607"/>
      <c r="BK26" s="607"/>
      <c r="BL26" s="607"/>
      <c r="BM26" s="607"/>
      <c r="BN26" s="607"/>
      <c r="BO26" s="607"/>
      <c r="BP26" s="607"/>
      <c r="BQ26" s="607"/>
      <c r="BR26" s="607"/>
      <c r="BS26" s="607"/>
      <c r="BT26" s="607"/>
      <c r="BU26" s="607"/>
      <c r="BV26" s="607"/>
      <c r="BW26" s="607"/>
      <c r="BX26" s="607"/>
    </row>
    <row r="27" spans="1:82" s="319" customFormat="1" ht="21" hidden="1" customHeight="1">
      <c r="A27" s="607"/>
      <c r="B27" s="607"/>
      <c r="C27" s="613"/>
      <c r="D27" s="1008"/>
      <c r="E27" s="1892" t="s">
        <v>2493</v>
      </c>
      <c r="F27" s="1892"/>
      <c r="G27" s="1892"/>
      <c r="H27" s="1892"/>
      <c r="I27" s="1892"/>
      <c r="J27" s="1892"/>
      <c r="K27" s="1892"/>
      <c r="L27" s="1892"/>
      <c r="M27" s="1892"/>
      <c r="N27" s="1892"/>
      <c r="O27" s="1892"/>
      <c r="P27" s="1892"/>
      <c r="Q27" s="1892"/>
      <c r="R27" s="1892"/>
      <c r="S27" s="1892"/>
      <c r="T27" s="1892"/>
      <c r="U27" s="1892"/>
      <c r="V27" s="1892"/>
      <c r="W27" s="1892"/>
      <c r="X27" s="1892"/>
      <c r="Y27" s="1892"/>
      <c r="Z27" s="1892"/>
      <c r="AA27" s="1892"/>
      <c r="AB27" s="1892"/>
      <c r="AC27" s="1892"/>
      <c r="AD27" s="1892"/>
      <c r="AE27" s="1892"/>
      <c r="AF27" s="1892"/>
      <c r="AG27" s="1892"/>
      <c r="AH27" s="1892"/>
      <c r="AI27" s="1892"/>
      <c r="AJ27" s="1892"/>
      <c r="AK27" s="1892"/>
      <c r="AL27" s="1892"/>
      <c r="AM27" s="686"/>
      <c r="AN27" s="607"/>
      <c r="AO27" s="607"/>
      <c r="AP27" s="607"/>
      <c r="AQ27" s="607"/>
      <c r="AR27" s="607"/>
      <c r="AS27" s="427"/>
      <c r="AT27" s="607"/>
      <c r="AU27" s="607"/>
      <c r="AV27" s="607"/>
      <c r="AW27" s="607"/>
      <c r="AX27" s="607"/>
      <c r="AY27" s="607"/>
      <c r="AZ27" s="607"/>
      <c r="BA27" s="607"/>
      <c r="BB27" s="607"/>
      <c r="BC27" s="607"/>
      <c r="BD27" s="607"/>
      <c r="BE27" s="607"/>
      <c r="BF27" s="607"/>
      <c r="BG27" s="607"/>
      <c r="BH27" s="607"/>
      <c r="BI27" s="607"/>
      <c r="BJ27" s="607"/>
      <c r="BK27" s="607"/>
      <c r="BL27" s="607"/>
      <c r="BM27" s="607"/>
      <c r="BN27" s="607"/>
      <c r="BO27" s="607"/>
      <c r="BP27" s="607"/>
      <c r="BQ27" s="607"/>
      <c r="BR27" s="607"/>
      <c r="BS27" s="607"/>
      <c r="BT27" s="607"/>
      <c r="BU27" s="607"/>
      <c r="BV27" s="607"/>
      <c r="BW27" s="607"/>
      <c r="BX27" s="607"/>
    </row>
    <row r="28" spans="1:82" ht="17.100000000000001" hidden="1" customHeight="1">
      <c r="A28" s="678"/>
      <c r="B28" s="678"/>
      <c r="C28" s="678"/>
      <c r="D28" s="1130"/>
      <c r="E28" s="1893" t="s">
        <v>2460</v>
      </c>
      <c r="F28" s="1894"/>
      <c r="G28" s="1894"/>
      <c r="H28" s="1894"/>
      <c r="I28" s="1894"/>
      <c r="J28" s="1894"/>
      <c r="K28" s="1894"/>
      <c r="L28" s="1894"/>
      <c r="M28" s="1894"/>
      <c r="N28" s="1894"/>
      <c r="O28" s="1894"/>
      <c r="P28" s="1894"/>
      <c r="Q28" s="1894"/>
      <c r="R28" s="1894"/>
      <c r="S28" s="1895"/>
      <c r="T28" s="1131"/>
      <c r="U28" s="1132"/>
      <c r="V28" s="1132"/>
      <c r="W28" s="1132"/>
      <c r="X28" s="1132"/>
      <c r="Y28" s="1132"/>
      <c r="Z28" s="1132"/>
      <c r="AA28" s="1132"/>
      <c r="AB28" s="1132"/>
      <c r="AC28" s="1132"/>
      <c r="AD28" s="1132"/>
      <c r="AE28" s="1132"/>
      <c r="AF28" s="1132"/>
      <c r="AG28" s="1132"/>
      <c r="AH28" s="1132"/>
      <c r="AI28" s="1132"/>
      <c r="AJ28" s="1132"/>
      <c r="AK28" s="1132"/>
      <c r="AL28" s="1133"/>
      <c r="AM28" s="1134"/>
      <c r="AN28" s="678"/>
      <c r="AO28" s="678"/>
      <c r="AP28"/>
      <c r="AQ28"/>
      <c r="AR28"/>
      <c r="AS28"/>
      <c r="AT28"/>
      <c r="AU28"/>
      <c r="AV28"/>
      <c r="AW28"/>
      <c r="AX28"/>
      <c r="AY28"/>
      <c r="AZ28"/>
      <c r="BA28"/>
      <c r="BB28"/>
      <c r="BC28"/>
      <c r="BD28"/>
      <c r="BE28"/>
      <c r="BF28"/>
      <c r="BG28"/>
      <c r="BH28"/>
      <c r="BI28"/>
      <c r="BJ28"/>
      <c r="BK28"/>
      <c r="BL28" s="678"/>
      <c r="BM28" s="678"/>
      <c r="BN28" s="678"/>
      <c r="BO28" s="678"/>
      <c r="BP28" s="678"/>
      <c r="BQ28" s="678"/>
      <c r="BR28" s="678"/>
      <c r="BS28" s="678"/>
      <c r="BT28" s="678"/>
      <c r="BU28" s="678"/>
      <c r="BV28" s="678"/>
      <c r="BW28" s="678"/>
      <c r="BX28" s="678"/>
    </row>
    <row r="29" spans="1:82" ht="15" hidden="1" customHeight="1">
      <c r="A29" s="623"/>
      <c r="B29" s="623"/>
      <c r="C29" s="623"/>
      <c r="D29" s="1130"/>
      <c r="E29" s="837" t="s">
        <v>2139</v>
      </c>
      <c r="F29" s="304"/>
      <c r="G29" s="304"/>
      <c r="H29" s="304"/>
      <c r="I29" s="304"/>
      <c r="J29" s="304"/>
      <c r="K29" s="304"/>
      <c r="L29" s="304"/>
      <c r="M29" s="304"/>
      <c r="N29" s="304"/>
      <c r="O29" s="835"/>
      <c r="P29" s="1900">
        <v>858</v>
      </c>
      <c r="Q29" s="1901"/>
      <c r="R29" s="1901"/>
      <c r="S29" s="1901"/>
      <c r="T29" s="1902">
        <v>59682480000</v>
      </c>
      <c r="U29" s="1903"/>
      <c r="V29" s="1903"/>
      <c r="W29" s="1903"/>
      <c r="X29" s="1903"/>
      <c r="Y29" s="1903"/>
      <c r="Z29" s="1903"/>
      <c r="AA29" s="1903"/>
      <c r="AB29" s="1903"/>
      <c r="AC29" s="1904"/>
      <c r="AD29" s="1902">
        <f>T29*(1-AP29)</f>
        <v>41777736000</v>
      </c>
      <c r="AE29" s="1903"/>
      <c r="AF29" s="1903"/>
      <c r="AG29" s="1903"/>
      <c r="AH29" s="1903"/>
      <c r="AI29" s="1903"/>
      <c r="AJ29" s="1903"/>
      <c r="AK29" s="1903"/>
      <c r="AL29" s="1904"/>
      <c r="AM29" s="1134"/>
      <c r="AN29" s="623"/>
      <c r="AO29" s="623"/>
      <c r="AP29" s="1931">
        <v>0.3</v>
      </c>
      <c r="AQ29" s="1931"/>
      <c r="AR29" s="623"/>
      <c r="AS29" s="1932">
        <v>0.2</v>
      </c>
      <c r="AT29" s="1933"/>
      <c r="AU29" s="1936" t="s">
        <v>2140</v>
      </c>
      <c r="AV29" s="1937"/>
      <c r="AW29" s="1934">
        <v>0.5</v>
      </c>
      <c r="AX29" s="1935"/>
      <c r="AY29" s="623"/>
      <c r="AZ29" s="1983" t="e">
        <f>P29*BG29</f>
        <v>#REF!</v>
      </c>
      <c r="BA29" s="1983"/>
      <c r="BB29" s="1983"/>
      <c r="BC29" s="1983"/>
      <c r="BD29" s="1983"/>
      <c r="BE29" s="1983"/>
      <c r="BF29" s="623"/>
      <c r="BG29" s="1982" t="e">
        <v>#REF!</v>
      </c>
      <c r="BH29" s="1982"/>
      <c r="BI29" s="1982"/>
      <c r="BJ29" s="1982"/>
      <c r="BK29" s="1982"/>
      <c r="BL29" s="623"/>
      <c r="BM29" s="623"/>
      <c r="BN29" s="623"/>
      <c r="BO29" s="623"/>
      <c r="BP29" s="623"/>
      <c r="BQ29" s="623"/>
      <c r="BR29" s="623"/>
      <c r="BS29" s="623"/>
      <c r="BT29" s="623"/>
      <c r="BU29" s="623"/>
      <c r="BV29" s="623"/>
      <c r="BW29" s="623"/>
      <c r="BX29" s="623"/>
    </row>
    <row r="30" spans="1:82" ht="15" hidden="1" customHeight="1">
      <c r="A30" s="623"/>
      <c r="B30" s="623"/>
      <c r="C30" s="623"/>
      <c r="D30" s="1130"/>
      <c r="E30" s="1135" t="s">
        <v>2494</v>
      </c>
      <c r="F30" s="1136"/>
      <c r="G30" s="1136"/>
      <c r="H30" s="1136"/>
      <c r="I30" s="1136"/>
      <c r="J30" s="1136"/>
      <c r="K30" s="1136"/>
      <c r="L30" s="1136"/>
      <c r="M30" s="1136"/>
      <c r="N30" s="1136"/>
      <c r="O30" s="1137"/>
      <c r="P30" s="1913">
        <v>0</v>
      </c>
      <c r="Q30" s="1914"/>
      <c r="R30" s="1914"/>
      <c r="S30" s="1914"/>
      <c r="T30" s="1915">
        <v>0</v>
      </c>
      <c r="U30" s="1916"/>
      <c r="V30" s="1916"/>
      <c r="W30" s="1916"/>
      <c r="X30" s="1916"/>
      <c r="Y30" s="1916"/>
      <c r="Z30" s="1916"/>
      <c r="AA30" s="1916"/>
      <c r="AB30" s="1916"/>
      <c r="AC30" s="1917"/>
      <c r="AD30" s="1915">
        <f>T30*(1-AP30)</f>
        <v>0</v>
      </c>
      <c r="AE30" s="1916"/>
      <c r="AF30" s="1916"/>
      <c r="AG30" s="1916"/>
      <c r="AH30" s="1916"/>
      <c r="AI30" s="1916"/>
      <c r="AJ30" s="1916"/>
      <c r="AK30" s="1916"/>
      <c r="AL30" s="1917"/>
      <c r="AM30" s="1134"/>
      <c r="AN30" s="623"/>
      <c r="AO30" s="623"/>
      <c r="AP30" s="1931">
        <v>0.3</v>
      </c>
      <c r="AQ30" s="1931"/>
      <c r="AR30" s="623"/>
      <c r="AS30" s="1932">
        <v>0.3</v>
      </c>
      <c r="AT30" s="1933"/>
      <c r="AU30" s="1936" t="s">
        <v>2140</v>
      </c>
      <c r="AV30" s="1937"/>
      <c r="AW30" s="1934">
        <v>0.4</v>
      </c>
      <c r="AX30" s="1935"/>
      <c r="AY30" s="623"/>
      <c r="AZ30" s="1983" t="e">
        <f>P30*BG30</f>
        <v>#REF!</v>
      </c>
      <c r="BA30" s="1983"/>
      <c r="BB30" s="1983"/>
      <c r="BC30" s="1983"/>
      <c r="BD30" s="1983"/>
      <c r="BE30" s="1983"/>
      <c r="BF30" s="623"/>
      <c r="BG30" s="1982" t="e">
        <v>#REF!</v>
      </c>
      <c r="BH30" s="1982"/>
      <c r="BI30" s="1982"/>
      <c r="BJ30" s="1982"/>
      <c r="BK30" s="1982"/>
      <c r="BL30" s="623"/>
      <c r="BM30" s="623"/>
      <c r="BN30" s="623"/>
      <c r="BO30" s="623"/>
      <c r="BP30" s="623"/>
      <c r="BQ30" s="623"/>
      <c r="BR30" s="623"/>
      <c r="BS30" s="623"/>
      <c r="BT30" s="623"/>
      <c r="BU30" s="623"/>
      <c r="BV30" s="623"/>
      <c r="BW30" s="623"/>
      <c r="BX30" s="623"/>
    </row>
    <row r="31" spans="1:82" ht="15" hidden="1" customHeight="1">
      <c r="A31" s="623"/>
      <c r="B31" s="623"/>
      <c r="C31" s="623"/>
      <c r="D31" s="1130"/>
      <c r="E31" s="837" t="s">
        <v>2141</v>
      </c>
      <c r="F31" s="304"/>
      <c r="G31" s="304"/>
      <c r="H31" s="304"/>
      <c r="I31" s="304"/>
      <c r="J31" s="304"/>
      <c r="K31" s="304"/>
      <c r="L31" s="304"/>
      <c r="M31" s="304"/>
      <c r="N31" s="304"/>
      <c r="O31" s="835"/>
      <c r="P31" s="1898" t="s">
        <v>2142</v>
      </c>
      <c r="Q31" s="1899"/>
      <c r="R31" s="1899"/>
      <c r="S31" s="1899"/>
      <c r="T31" s="1902">
        <v>0</v>
      </c>
      <c r="U31" s="1903"/>
      <c r="V31" s="1903"/>
      <c r="W31" s="1903"/>
      <c r="X31" s="1903"/>
      <c r="Y31" s="1903"/>
      <c r="Z31" s="1903"/>
      <c r="AA31" s="1903"/>
      <c r="AB31" s="1903"/>
      <c r="AC31" s="1904"/>
      <c r="AD31" s="1915">
        <f>T31*(1-AP31)</f>
        <v>0</v>
      </c>
      <c r="AE31" s="1916"/>
      <c r="AF31" s="1916"/>
      <c r="AG31" s="1916"/>
      <c r="AH31" s="1916"/>
      <c r="AI31" s="1916"/>
      <c r="AJ31" s="1916"/>
      <c r="AK31" s="1916"/>
      <c r="AL31" s="1917"/>
      <c r="AM31" s="1134"/>
      <c r="AN31" s="623"/>
      <c r="AO31" s="623"/>
      <c r="AP31" s="1931">
        <v>0.4</v>
      </c>
      <c r="AQ31" s="1931"/>
      <c r="AR31" s="623"/>
      <c r="AS31" s="1932">
        <v>0.4</v>
      </c>
      <c r="AT31" s="1933"/>
      <c r="AU31" s="1936" t="s">
        <v>2140</v>
      </c>
      <c r="AV31" s="1937"/>
      <c r="AW31" s="1934">
        <v>0.6</v>
      </c>
      <c r="AX31" s="1935"/>
      <c r="AY31" s="623"/>
      <c r="AZ31" s="1983" t="e">
        <v>#REF!</v>
      </c>
      <c r="BA31" s="1983"/>
      <c r="BB31" s="1983"/>
      <c r="BC31" s="1983"/>
      <c r="BD31" s="1983"/>
      <c r="BE31" s="1983"/>
      <c r="BF31" s="623"/>
      <c r="BG31" s="1138"/>
      <c r="BH31" s="1138"/>
      <c r="BI31" s="1138"/>
      <c r="BJ31" s="1138"/>
      <c r="BK31" s="1138"/>
      <c r="BL31" s="623"/>
      <c r="BM31" s="623"/>
      <c r="BN31" s="623"/>
      <c r="BO31" s="623"/>
      <c r="BP31" s="623"/>
      <c r="BQ31" s="623"/>
      <c r="BR31" s="623"/>
      <c r="BS31" s="623"/>
      <c r="BT31" s="623"/>
      <c r="BU31" s="623"/>
      <c r="BV31" s="623"/>
      <c r="BW31" s="623"/>
      <c r="BX31" s="623"/>
    </row>
    <row r="32" spans="1:82" ht="17.100000000000001" hidden="1" customHeight="1">
      <c r="A32" s="679"/>
      <c r="B32" s="679"/>
      <c r="C32" s="679"/>
      <c r="D32" s="1130"/>
      <c r="E32" s="1139" t="s">
        <v>2143</v>
      </c>
      <c r="F32" s="1140"/>
      <c r="G32" s="1140"/>
      <c r="H32" s="1140"/>
      <c r="I32" s="1140"/>
      <c r="J32" s="1140"/>
      <c r="K32" s="1140"/>
      <c r="L32" s="1140"/>
      <c r="M32" s="1140"/>
      <c r="N32" s="1140"/>
      <c r="O32" s="1140"/>
      <c r="P32" s="1140"/>
      <c r="Q32" s="1140"/>
      <c r="R32" s="1140"/>
      <c r="S32" s="1141"/>
      <c r="T32" s="1909">
        <f>SUM(T29:AC31)</f>
        <v>59682480000</v>
      </c>
      <c r="U32" s="1910"/>
      <c r="V32" s="1910"/>
      <c r="W32" s="1910"/>
      <c r="X32" s="1910"/>
      <c r="Y32" s="1910"/>
      <c r="Z32" s="1910"/>
      <c r="AA32" s="1910"/>
      <c r="AB32" s="1910"/>
      <c r="AC32" s="1911"/>
      <c r="AD32" s="1909">
        <f>SUM(AD29:AL31)</f>
        <v>41777736000</v>
      </c>
      <c r="AE32" s="1910"/>
      <c r="AF32" s="1910"/>
      <c r="AG32" s="1910"/>
      <c r="AH32" s="1910"/>
      <c r="AI32" s="1910"/>
      <c r="AJ32" s="1910"/>
      <c r="AK32" s="1910"/>
      <c r="AL32" s="1912"/>
      <c r="AM32" s="1134"/>
      <c r="AN32" s="679"/>
      <c r="AO32" s="679"/>
      <c r="AP32" s="679"/>
      <c r="AQ32" s="679"/>
      <c r="AR32" s="679"/>
      <c r="AS32" s="679"/>
      <c r="AT32" s="679"/>
      <c r="AU32" s="679"/>
      <c r="AV32" s="679"/>
      <c r="AW32" s="679"/>
      <c r="AX32" s="679"/>
      <c r="AY32" s="679"/>
      <c r="AZ32" s="1984" t="e">
        <f>SUM(AZ29:BE31)</f>
        <v>#REF!</v>
      </c>
      <c r="BA32" s="1984"/>
      <c r="BB32" s="1984"/>
      <c r="BC32" s="1984"/>
      <c r="BD32" s="1984"/>
      <c r="BE32" s="1984"/>
      <c r="BF32" s="679"/>
      <c r="BG32" s="679"/>
      <c r="BH32" s="679"/>
      <c r="BI32" s="679"/>
      <c r="BJ32" s="679"/>
      <c r="BK32" s="679"/>
      <c r="BL32" s="679"/>
      <c r="BM32" s="679"/>
      <c r="BN32" s="679"/>
      <c r="BO32" s="679"/>
      <c r="BP32" s="679"/>
      <c r="BQ32" s="679"/>
      <c r="BR32" s="679"/>
      <c r="BS32" s="679"/>
      <c r="BT32" s="679"/>
      <c r="BU32" s="679"/>
      <c r="BV32" s="679"/>
      <c r="BW32" s="679"/>
      <c r="BX32" s="679"/>
    </row>
    <row r="33" spans="1:76" ht="17.100000000000001" hidden="1" customHeight="1">
      <c r="A33" s="623"/>
      <c r="B33" s="623"/>
      <c r="C33" s="1006"/>
      <c r="D33" s="1130"/>
      <c r="E33" s="1142" t="s">
        <v>2144</v>
      </c>
      <c r="F33" s="1143"/>
      <c r="G33" s="1143"/>
      <c r="H33" s="1143"/>
      <c r="I33" s="1143"/>
      <c r="J33" s="1143"/>
      <c r="K33" s="1143"/>
      <c r="L33" s="1143"/>
      <c r="M33" s="1143"/>
      <c r="N33" s="1233"/>
      <c r="O33" s="1233"/>
      <c r="P33" s="1233"/>
      <c r="Q33" s="1233"/>
      <c r="R33" s="1143"/>
      <c r="S33" s="1144"/>
      <c r="T33" s="1905">
        <f>ROUND(T32,-6)</f>
        <v>59682000000</v>
      </c>
      <c r="U33" s="1906"/>
      <c r="V33" s="1906"/>
      <c r="W33" s="1906"/>
      <c r="X33" s="1906"/>
      <c r="Y33" s="1906"/>
      <c r="Z33" s="1906"/>
      <c r="AA33" s="1906"/>
      <c r="AB33" s="1906"/>
      <c r="AC33" s="1907"/>
      <c r="AD33" s="1905">
        <f>ROUND(AD32,-6)</f>
        <v>41778000000</v>
      </c>
      <c r="AE33" s="1906"/>
      <c r="AF33" s="1906"/>
      <c r="AG33" s="1906"/>
      <c r="AH33" s="1906"/>
      <c r="AI33" s="1906"/>
      <c r="AJ33" s="1906"/>
      <c r="AK33" s="1906"/>
      <c r="AL33" s="1908"/>
      <c r="AM33" s="1134"/>
      <c r="AN33" s="623"/>
      <c r="AO33" s="623"/>
      <c r="AP33" s="1927">
        <f>1-AD33/T33</f>
        <v>0.29998994671760326</v>
      </c>
      <c r="AQ33" s="1928"/>
      <c r="AR33" s="1929" t="s">
        <v>2145</v>
      </c>
      <c r="AS33" s="1930"/>
      <c r="AT33" s="1930"/>
      <c r="AU33" s="1930"/>
      <c r="AV33" s="1930"/>
      <c r="AW33" s="1930"/>
      <c r="AX33" s="1930"/>
      <c r="AY33" s="623"/>
      <c r="AZ33" s="1981"/>
      <c r="BA33" s="1981"/>
      <c r="BB33" s="1981"/>
      <c r="BC33" s="1981"/>
      <c r="BD33" s="1981"/>
      <c r="BE33" s="1981"/>
      <c r="BF33" s="1981"/>
      <c r="BG33" s="1981"/>
      <c r="BH33" s="1981"/>
      <c r="BI33" s="1981"/>
      <c r="BJ33" s="1981"/>
      <c r="BK33" s="1981"/>
      <c r="BL33" s="623"/>
      <c r="BM33" s="623"/>
      <c r="BN33" s="623"/>
      <c r="BO33" s="623"/>
      <c r="BP33" s="623"/>
      <c r="BQ33" s="623"/>
      <c r="BR33" s="623"/>
      <c r="BS33" s="623"/>
      <c r="BT33" s="623"/>
      <c r="BU33" s="623"/>
      <c r="BV33" s="623"/>
      <c r="BW33" s="623"/>
      <c r="BX33" s="623"/>
    </row>
    <row r="34" spans="1:76" ht="5.25" hidden="1" customHeight="1">
      <c r="A34" s="623"/>
      <c r="B34" s="623"/>
      <c r="C34" s="1006"/>
      <c r="D34" s="1130"/>
      <c r="E34" s="1145"/>
      <c r="F34" s="1145"/>
      <c r="G34" s="1145"/>
      <c r="H34" s="1145"/>
      <c r="I34" s="1145"/>
      <c r="J34" s="1145"/>
      <c r="K34" s="1145"/>
      <c r="L34" s="1145"/>
      <c r="M34" s="1145"/>
      <c r="N34" s="1145"/>
      <c r="O34" s="1145"/>
      <c r="P34" s="1145"/>
      <c r="Q34" s="1145"/>
      <c r="R34" s="1145"/>
      <c r="S34" s="1145"/>
      <c r="T34" s="1146"/>
      <c r="U34" s="1146"/>
      <c r="V34" s="1146"/>
      <c r="W34" s="1146"/>
      <c r="X34" s="1146"/>
      <c r="Y34" s="1146"/>
      <c r="Z34" s="1146"/>
      <c r="AA34" s="1146"/>
      <c r="AB34" s="1146"/>
      <c r="AC34" s="1146"/>
      <c r="AD34" s="1146"/>
      <c r="AE34" s="1146"/>
      <c r="AF34" s="1146"/>
      <c r="AG34" s="1146"/>
      <c r="AH34" s="1146"/>
      <c r="AI34" s="1146"/>
      <c r="AJ34" s="1146"/>
      <c r="AK34" s="1146"/>
      <c r="AL34" s="1146"/>
      <c r="AM34" s="1134"/>
      <c r="AN34" s="623"/>
      <c r="AO34" s="623"/>
      <c r="AP34" s="680"/>
      <c r="AQ34" s="680"/>
      <c r="AR34" s="681"/>
      <c r="AS34" s="1004"/>
      <c r="AT34" s="1004"/>
      <c r="AU34" s="1004"/>
      <c r="AV34" s="1004"/>
      <c r="AW34" s="1004"/>
      <c r="AX34" s="1004"/>
      <c r="AY34" s="623"/>
      <c r="AZ34" s="1147"/>
      <c r="BA34" s="1147"/>
      <c r="BB34" s="1147"/>
      <c r="BC34" s="1147"/>
      <c r="BD34" s="1147"/>
      <c r="BE34" s="1147"/>
      <c r="BF34" s="1147"/>
      <c r="BG34" s="1147"/>
      <c r="BH34" s="1147"/>
      <c r="BI34" s="1147"/>
      <c r="BJ34" s="1147"/>
      <c r="BK34" s="1147"/>
      <c r="BL34" s="623"/>
      <c r="BM34" s="623"/>
      <c r="BN34" s="623"/>
      <c r="BO34" s="623"/>
      <c r="BP34" s="623"/>
      <c r="BQ34" s="623"/>
      <c r="BR34" s="623"/>
      <c r="BS34" s="623"/>
      <c r="BT34" s="623"/>
      <c r="BU34" s="623"/>
      <c r="BV34" s="623"/>
      <c r="BW34" s="623"/>
      <c r="BX34" s="623"/>
    </row>
    <row r="35" spans="1:76" ht="17.100000000000001" hidden="1" customHeight="1">
      <c r="A35" s="678"/>
      <c r="B35" s="678"/>
      <c r="C35" s="678"/>
      <c r="D35" s="1130"/>
      <c r="E35" s="1893" t="s">
        <v>2461</v>
      </c>
      <c r="F35" s="1894"/>
      <c r="G35" s="1894"/>
      <c r="H35" s="1894"/>
      <c r="I35" s="1894"/>
      <c r="J35" s="1894"/>
      <c r="K35" s="1894"/>
      <c r="L35" s="1894"/>
      <c r="M35" s="1894"/>
      <c r="N35" s="1894"/>
      <c r="O35" s="1894"/>
      <c r="P35" s="1894"/>
      <c r="Q35" s="1894"/>
      <c r="R35" s="1894"/>
      <c r="S35" s="1895"/>
      <c r="T35" s="1131"/>
      <c r="U35" s="1132"/>
      <c r="V35" s="1132"/>
      <c r="W35" s="1132"/>
      <c r="X35" s="1132"/>
      <c r="Y35" s="1132"/>
      <c r="Z35" s="1132"/>
      <c r="AA35" s="1132"/>
      <c r="AB35" s="1132"/>
      <c r="AC35" s="1132"/>
      <c r="AD35" s="1132"/>
      <c r="AE35" s="1132"/>
      <c r="AF35" s="1132"/>
      <c r="AG35" s="1132"/>
      <c r="AH35" s="1132"/>
      <c r="AI35" s="1132"/>
      <c r="AJ35" s="1132"/>
      <c r="AK35" s="1132"/>
      <c r="AL35" s="1133"/>
      <c r="AM35" s="1134"/>
      <c r="AN35" s="678"/>
      <c r="AO35" s="678"/>
      <c r="AP35"/>
      <c r="AQ35"/>
      <c r="AR35"/>
      <c r="AS35"/>
      <c r="AT35"/>
      <c r="AU35"/>
      <c r="AV35"/>
      <c r="AW35"/>
      <c r="AX35"/>
      <c r="AY35"/>
      <c r="AZ35"/>
      <c r="BA35"/>
      <c r="BB35"/>
      <c r="BC35"/>
      <c r="BD35"/>
      <c r="BE35"/>
      <c r="BF35"/>
      <c r="BG35"/>
      <c r="BH35"/>
      <c r="BI35"/>
      <c r="BJ35"/>
      <c r="BK35"/>
      <c r="BL35" s="678"/>
      <c r="BM35" s="678"/>
      <c r="BN35" s="678"/>
      <c r="BO35" s="678"/>
      <c r="BP35" s="678"/>
      <c r="BQ35" s="678"/>
      <c r="BR35" s="678"/>
      <c r="BS35" s="678"/>
      <c r="BT35" s="678"/>
      <c r="BU35" s="678"/>
      <c r="BV35" s="678"/>
      <c r="BW35" s="678"/>
      <c r="BX35" s="678"/>
    </row>
    <row r="36" spans="1:76" ht="15" hidden="1" customHeight="1">
      <c r="A36" s="623"/>
      <c r="B36" s="623"/>
      <c r="C36" s="623"/>
      <c r="D36" s="1130"/>
      <c r="E36" s="837" t="s">
        <v>2139</v>
      </c>
      <c r="F36" s="304"/>
      <c r="G36" s="304"/>
      <c r="H36" s="304"/>
      <c r="I36" s="304"/>
      <c r="J36" s="304"/>
      <c r="K36" s="304"/>
      <c r="L36" s="304"/>
      <c r="M36" s="304"/>
      <c r="N36" s="304"/>
      <c r="O36" s="835"/>
      <c r="P36" s="1900">
        <v>0</v>
      </c>
      <c r="Q36" s="1901"/>
      <c r="R36" s="1901"/>
      <c r="S36" s="1901"/>
      <c r="T36" s="1902">
        <v>0</v>
      </c>
      <c r="U36" s="1903"/>
      <c r="V36" s="1903"/>
      <c r="W36" s="1903"/>
      <c r="X36" s="1903"/>
      <c r="Y36" s="1903"/>
      <c r="Z36" s="1903"/>
      <c r="AA36" s="1903"/>
      <c r="AB36" s="1903"/>
      <c r="AC36" s="1904"/>
      <c r="AD36" s="1902">
        <f>T36*(1-AP36)</f>
        <v>0</v>
      </c>
      <c r="AE36" s="1903"/>
      <c r="AF36" s="1903"/>
      <c r="AG36" s="1903"/>
      <c r="AH36" s="1903"/>
      <c r="AI36" s="1903"/>
      <c r="AJ36" s="1903"/>
      <c r="AK36" s="1903"/>
      <c r="AL36" s="1904"/>
      <c r="AM36" s="1134"/>
      <c r="AN36" s="623"/>
      <c r="AO36" s="623"/>
      <c r="AP36" s="1931">
        <v>0.3</v>
      </c>
      <c r="AQ36" s="1931"/>
      <c r="AR36" s="623"/>
      <c r="AS36" s="1932">
        <v>0.2</v>
      </c>
      <c r="AT36" s="1933"/>
      <c r="AU36" s="1936" t="s">
        <v>2140</v>
      </c>
      <c r="AV36" s="1937"/>
      <c r="AW36" s="1934">
        <v>0.5</v>
      </c>
      <c r="AX36" s="1935"/>
      <c r="AY36" s="623"/>
      <c r="AZ36" s="1983" t="e">
        <f>P36*BG36</f>
        <v>#REF!</v>
      </c>
      <c r="BA36" s="1983"/>
      <c r="BB36" s="1983"/>
      <c r="BC36" s="1983"/>
      <c r="BD36" s="1983"/>
      <c r="BE36" s="1983"/>
      <c r="BF36" s="623"/>
      <c r="BG36" s="1982" t="e">
        <v>#REF!</v>
      </c>
      <c r="BH36" s="1982"/>
      <c r="BI36" s="1982"/>
      <c r="BJ36" s="1982"/>
      <c r="BK36" s="1982"/>
      <c r="BL36" s="623"/>
      <c r="BM36" s="623"/>
      <c r="BN36" s="623"/>
      <c r="BO36" s="623"/>
      <c r="BP36" s="623"/>
      <c r="BQ36" s="623"/>
      <c r="BR36" s="623"/>
      <c r="BS36" s="623"/>
      <c r="BT36" s="623"/>
      <c r="BU36" s="623"/>
      <c r="BV36" s="623"/>
      <c r="BW36" s="623"/>
      <c r="BX36" s="623"/>
    </row>
    <row r="37" spans="1:76" ht="15" hidden="1" customHeight="1">
      <c r="A37" s="623"/>
      <c r="B37" s="623"/>
      <c r="C37" s="623"/>
      <c r="D37" s="1130"/>
      <c r="E37" s="1135" t="s">
        <v>2494</v>
      </c>
      <c r="F37" s="1136"/>
      <c r="G37" s="1136"/>
      <c r="H37" s="1136"/>
      <c r="I37" s="1136"/>
      <c r="J37" s="1136"/>
      <c r="K37" s="1136"/>
      <c r="L37" s="1136"/>
      <c r="M37" s="1136"/>
      <c r="N37" s="1136"/>
      <c r="O37" s="1137"/>
      <c r="P37" s="1913">
        <v>412</v>
      </c>
      <c r="Q37" s="1914"/>
      <c r="R37" s="1914"/>
      <c r="S37" s="1914"/>
      <c r="T37" s="1915">
        <v>706580000.00000024</v>
      </c>
      <c r="U37" s="1916"/>
      <c r="V37" s="1916"/>
      <c r="W37" s="1916"/>
      <c r="X37" s="1916"/>
      <c r="Y37" s="1916"/>
      <c r="Z37" s="1916"/>
      <c r="AA37" s="1916"/>
      <c r="AB37" s="1916"/>
      <c r="AC37" s="1917"/>
      <c r="AD37" s="1915">
        <f>T37*(1-AP37)</f>
        <v>494606000.00000012</v>
      </c>
      <c r="AE37" s="1916"/>
      <c r="AF37" s="1916"/>
      <c r="AG37" s="1916"/>
      <c r="AH37" s="1916"/>
      <c r="AI37" s="1916"/>
      <c r="AJ37" s="1916"/>
      <c r="AK37" s="1916"/>
      <c r="AL37" s="1917"/>
      <c r="AM37" s="1134"/>
      <c r="AN37" s="623"/>
      <c r="AO37" s="623"/>
      <c r="AP37" s="1931">
        <v>0.3</v>
      </c>
      <c r="AQ37" s="1931"/>
      <c r="AR37" s="623"/>
      <c r="AS37" s="1932">
        <v>0.3</v>
      </c>
      <c r="AT37" s="1933"/>
      <c r="AU37" s="1936" t="s">
        <v>2140</v>
      </c>
      <c r="AV37" s="1937"/>
      <c r="AW37" s="1934">
        <v>0.4</v>
      </c>
      <c r="AX37" s="1935"/>
      <c r="AY37" s="623"/>
      <c r="AZ37" s="1983" t="e">
        <f>P37*BG37</f>
        <v>#REF!</v>
      </c>
      <c r="BA37" s="1983"/>
      <c r="BB37" s="1983"/>
      <c r="BC37" s="1983"/>
      <c r="BD37" s="1983"/>
      <c r="BE37" s="1983"/>
      <c r="BF37" s="623"/>
      <c r="BG37" s="1982" t="e">
        <v>#REF!</v>
      </c>
      <c r="BH37" s="1982"/>
      <c r="BI37" s="1982"/>
      <c r="BJ37" s="1982"/>
      <c r="BK37" s="1982"/>
      <c r="BL37" s="623"/>
      <c r="BM37" s="623"/>
      <c r="BN37" s="623"/>
      <c r="BO37" s="623"/>
      <c r="BP37" s="623"/>
      <c r="BQ37" s="623"/>
      <c r="BR37" s="623"/>
      <c r="BS37" s="623"/>
      <c r="BT37" s="623"/>
      <c r="BU37" s="623"/>
      <c r="BV37" s="623"/>
      <c r="BW37" s="623"/>
      <c r="BX37" s="623"/>
    </row>
    <row r="38" spans="1:76" ht="15" hidden="1" customHeight="1">
      <c r="A38" s="623"/>
      <c r="B38" s="623"/>
      <c r="C38" s="623"/>
      <c r="D38" s="1130"/>
      <c r="E38" s="837" t="s">
        <v>2141</v>
      </c>
      <c r="F38" s="304"/>
      <c r="G38" s="304"/>
      <c r="H38" s="304"/>
      <c r="I38" s="304"/>
      <c r="J38" s="304"/>
      <c r="K38" s="304"/>
      <c r="L38" s="304"/>
      <c r="M38" s="304"/>
      <c r="N38" s="304"/>
      <c r="O38" s="835"/>
      <c r="P38" s="1898" t="s">
        <v>2142</v>
      </c>
      <c r="Q38" s="1899"/>
      <c r="R38" s="1899"/>
      <c r="S38" s="1899"/>
      <c r="T38" s="1902">
        <v>0</v>
      </c>
      <c r="U38" s="1903"/>
      <c r="V38" s="1903"/>
      <c r="W38" s="1903"/>
      <c r="X38" s="1903"/>
      <c r="Y38" s="1903"/>
      <c r="Z38" s="1903"/>
      <c r="AA38" s="1903"/>
      <c r="AB38" s="1903"/>
      <c r="AC38" s="1904"/>
      <c r="AD38" s="1915">
        <f>T38*(1-AP38)</f>
        <v>0</v>
      </c>
      <c r="AE38" s="1916"/>
      <c r="AF38" s="1916"/>
      <c r="AG38" s="1916"/>
      <c r="AH38" s="1916"/>
      <c r="AI38" s="1916"/>
      <c r="AJ38" s="1916"/>
      <c r="AK38" s="1916"/>
      <c r="AL38" s="1917"/>
      <c r="AM38" s="1134"/>
      <c r="AN38" s="623"/>
      <c r="AO38" s="623"/>
      <c r="AP38" s="1931">
        <v>0.4</v>
      </c>
      <c r="AQ38" s="1931"/>
      <c r="AR38" s="623"/>
      <c r="AS38" s="1932">
        <v>0.4</v>
      </c>
      <c r="AT38" s="1933"/>
      <c r="AU38" s="1936" t="s">
        <v>2140</v>
      </c>
      <c r="AV38" s="1937"/>
      <c r="AW38" s="1934">
        <v>0.6</v>
      </c>
      <c r="AX38" s="1935"/>
      <c r="AY38" s="623"/>
      <c r="AZ38" s="1983" t="e">
        <v>#REF!</v>
      </c>
      <c r="BA38" s="1983"/>
      <c r="BB38" s="1983"/>
      <c r="BC38" s="1983"/>
      <c r="BD38" s="1983"/>
      <c r="BE38" s="1983"/>
      <c r="BF38" s="623"/>
      <c r="BG38" s="1138"/>
      <c r="BH38" s="1138"/>
      <c r="BI38" s="1138"/>
      <c r="BJ38" s="1138"/>
      <c r="BK38" s="1138"/>
      <c r="BL38" s="623"/>
      <c r="BM38" s="623"/>
      <c r="BN38" s="623"/>
      <c r="BO38" s="623"/>
      <c r="BP38" s="623"/>
      <c r="BQ38" s="623"/>
      <c r="BR38" s="623"/>
      <c r="BS38" s="623"/>
      <c r="BT38" s="623"/>
      <c r="BU38" s="623"/>
      <c r="BV38" s="623"/>
      <c r="BW38" s="623"/>
      <c r="BX38" s="623"/>
    </row>
    <row r="39" spans="1:76" ht="17.100000000000001" hidden="1" customHeight="1">
      <c r="A39" s="679"/>
      <c r="B39" s="679"/>
      <c r="C39" s="679"/>
      <c r="D39" s="1130"/>
      <c r="E39" s="1139" t="s">
        <v>2143</v>
      </c>
      <c r="F39" s="1140"/>
      <c r="G39" s="1140"/>
      <c r="H39" s="1140"/>
      <c r="I39" s="1140"/>
      <c r="J39" s="1140"/>
      <c r="K39" s="1140"/>
      <c r="L39" s="1140"/>
      <c r="M39" s="1140"/>
      <c r="N39" s="1140"/>
      <c r="O39" s="1140"/>
      <c r="P39" s="1140"/>
      <c r="Q39" s="1140"/>
      <c r="R39" s="1140"/>
      <c r="S39" s="1141"/>
      <c r="T39" s="1909">
        <f>SUM(T36:AC38)</f>
        <v>706580000.00000024</v>
      </c>
      <c r="U39" s="1910"/>
      <c r="V39" s="1910"/>
      <c r="W39" s="1910"/>
      <c r="X39" s="1910"/>
      <c r="Y39" s="1910"/>
      <c r="Z39" s="1910"/>
      <c r="AA39" s="1910"/>
      <c r="AB39" s="1910"/>
      <c r="AC39" s="1911"/>
      <c r="AD39" s="1909">
        <f>SUM(AD36:AL38)</f>
        <v>494606000.00000012</v>
      </c>
      <c r="AE39" s="1910"/>
      <c r="AF39" s="1910"/>
      <c r="AG39" s="1910"/>
      <c r="AH39" s="1910"/>
      <c r="AI39" s="1910"/>
      <c r="AJ39" s="1910"/>
      <c r="AK39" s="1910"/>
      <c r="AL39" s="1912"/>
      <c r="AM39" s="1134"/>
      <c r="AN39" s="679"/>
      <c r="AO39" s="679"/>
      <c r="AP39" s="679"/>
      <c r="AQ39" s="679"/>
      <c r="AR39" s="679"/>
      <c r="AS39" s="679"/>
      <c r="AT39" s="679"/>
      <c r="AU39" s="679"/>
      <c r="AV39" s="679"/>
      <c r="AW39" s="679"/>
      <c r="AX39" s="679"/>
      <c r="AY39" s="679"/>
      <c r="AZ39" s="1984" t="e">
        <f>SUM(AZ36:BE38)</f>
        <v>#REF!</v>
      </c>
      <c r="BA39" s="1984"/>
      <c r="BB39" s="1984"/>
      <c r="BC39" s="1984"/>
      <c r="BD39" s="1984"/>
      <c r="BE39" s="1984"/>
      <c r="BF39" s="679"/>
      <c r="BG39" s="679"/>
      <c r="BH39" s="679"/>
      <c r="BI39" s="679"/>
      <c r="BJ39" s="679"/>
      <c r="BK39" s="679"/>
      <c r="BL39" s="679"/>
      <c r="BM39" s="679"/>
      <c r="BN39" s="679"/>
      <c r="BO39" s="679"/>
      <c r="BP39" s="679"/>
      <c r="BQ39" s="679"/>
      <c r="BR39" s="679"/>
      <c r="BS39" s="679"/>
      <c r="BT39" s="679"/>
      <c r="BU39" s="679"/>
      <c r="BV39" s="679"/>
      <c r="BW39" s="679"/>
      <c r="BX39" s="679"/>
    </row>
    <row r="40" spans="1:76" ht="17.100000000000001" hidden="1" customHeight="1">
      <c r="A40" s="623"/>
      <c r="B40" s="623"/>
      <c r="C40" s="1006"/>
      <c r="D40" s="1130"/>
      <c r="E40" s="1142" t="s">
        <v>2144</v>
      </c>
      <c r="F40" s="1143"/>
      <c r="G40" s="1143"/>
      <c r="H40" s="1143"/>
      <c r="I40" s="1143"/>
      <c r="J40" s="1143"/>
      <c r="K40" s="1143"/>
      <c r="L40" s="1143"/>
      <c r="M40" s="1143"/>
      <c r="N40" s="1143"/>
      <c r="O40" s="1143"/>
      <c r="P40" s="1143"/>
      <c r="Q40" s="1143"/>
      <c r="R40" s="1143"/>
      <c r="S40" s="1144"/>
      <c r="T40" s="1905">
        <f>ROUND(T39,-6)</f>
        <v>707000000</v>
      </c>
      <c r="U40" s="1906"/>
      <c r="V40" s="1906"/>
      <c r="W40" s="1906"/>
      <c r="X40" s="1906"/>
      <c r="Y40" s="1906"/>
      <c r="Z40" s="1906"/>
      <c r="AA40" s="1906"/>
      <c r="AB40" s="1906"/>
      <c r="AC40" s="1907"/>
      <c r="AD40" s="1905">
        <f>ROUND(AD39,-6)</f>
        <v>495000000</v>
      </c>
      <c r="AE40" s="1906"/>
      <c r="AF40" s="1906"/>
      <c r="AG40" s="1906"/>
      <c r="AH40" s="1906"/>
      <c r="AI40" s="1906"/>
      <c r="AJ40" s="1906"/>
      <c r="AK40" s="1906"/>
      <c r="AL40" s="1908"/>
      <c r="AM40" s="1134"/>
      <c r="AN40" s="623"/>
      <c r="AO40" s="623"/>
      <c r="AP40" s="1927">
        <f>1-AD40/T40</f>
        <v>0.29985855728429989</v>
      </c>
      <c r="AQ40" s="1928"/>
      <c r="AR40" s="1929" t="s">
        <v>2145</v>
      </c>
      <c r="AS40" s="1930"/>
      <c r="AT40" s="1930"/>
      <c r="AU40" s="1930"/>
      <c r="AV40" s="1930"/>
      <c r="AW40" s="1930"/>
      <c r="AX40" s="1930"/>
      <c r="AY40" s="623"/>
      <c r="AZ40" s="1981"/>
      <c r="BA40" s="1981"/>
      <c r="BB40" s="1981"/>
      <c r="BC40" s="1981"/>
      <c r="BD40" s="1981"/>
      <c r="BE40" s="1981"/>
      <c r="BF40" s="1981"/>
      <c r="BG40" s="1981"/>
      <c r="BH40" s="1981"/>
      <c r="BI40" s="1981"/>
      <c r="BJ40" s="1981"/>
      <c r="BK40" s="1981"/>
      <c r="BL40" s="623"/>
      <c r="BM40" s="623"/>
      <c r="BN40" s="623"/>
      <c r="BO40" s="623"/>
      <c r="BP40" s="623"/>
      <c r="BQ40" s="623"/>
      <c r="BR40" s="623"/>
      <c r="BS40" s="623"/>
      <c r="BT40" s="623"/>
      <c r="BU40" s="623"/>
      <c r="BV40" s="623"/>
      <c r="BW40" s="623"/>
      <c r="BX40" s="623"/>
    </row>
    <row r="41" spans="1:76" ht="3.95" hidden="1" customHeight="1">
      <c r="C41" s="613"/>
      <c r="D41" s="1009"/>
      <c r="E41" s="1010"/>
      <c r="F41" s="1010"/>
      <c r="G41" s="1010"/>
      <c r="H41" s="1010"/>
      <c r="I41" s="1010"/>
      <c r="J41" s="1010"/>
      <c r="K41" s="1010"/>
      <c r="L41" s="1010"/>
      <c r="M41" s="1010"/>
      <c r="N41" s="1010"/>
      <c r="O41" s="1010"/>
      <c r="P41" s="1010"/>
      <c r="Q41" s="1010"/>
      <c r="R41" s="1010"/>
      <c r="S41" s="1010"/>
      <c r="T41" s="1010"/>
      <c r="U41" s="1010"/>
      <c r="V41" s="1010"/>
      <c r="W41" s="1010"/>
      <c r="X41" s="1010"/>
      <c r="Y41" s="1010"/>
      <c r="Z41" s="1010"/>
      <c r="AA41" s="1010"/>
      <c r="AB41" s="1010"/>
      <c r="AC41" s="1010"/>
      <c r="AD41" s="1010"/>
      <c r="AE41" s="1010"/>
      <c r="AF41" s="1010"/>
      <c r="AG41" s="1010"/>
      <c r="AH41" s="1010"/>
      <c r="AI41" s="1010"/>
      <c r="AJ41" s="1010"/>
      <c r="AK41" s="1010"/>
      <c r="AL41" s="1010"/>
      <c r="AM41" s="1011"/>
    </row>
    <row r="42" spans="1:76" ht="30" customHeight="1">
      <c r="C42" s="613"/>
      <c r="D42" s="1941" t="s">
        <v>1194</v>
      </c>
      <c r="E42" s="1941"/>
      <c r="F42" s="1942" t="s">
        <v>2147</v>
      </c>
      <c r="G42" s="1942"/>
      <c r="H42" s="1942"/>
      <c r="I42" s="1942"/>
      <c r="J42" s="1942"/>
      <c r="K42" s="1942"/>
      <c r="L42" s="1942"/>
      <c r="M42" s="1943" t="s">
        <v>2156</v>
      </c>
      <c r="N42" s="1943"/>
      <c r="O42" s="1943"/>
      <c r="P42" s="1943"/>
      <c r="Q42" s="1943"/>
      <c r="R42" s="1943"/>
      <c r="S42" s="1943"/>
      <c r="T42" s="1944" t="s">
        <v>2149</v>
      </c>
      <c r="U42" s="1944"/>
      <c r="V42" s="1944"/>
      <c r="W42" s="1944"/>
      <c r="X42" s="1944"/>
      <c r="Y42" s="1944"/>
      <c r="Z42" s="1944"/>
      <c r="AA42" s="1944"/>
      <c r="AB42" s="1944"/>
      <c r="AC42" s="1944"/>
      <c r="AD42" s="1944"/>
      <c r="AE42" s="1944"/>
      <c r="AF42" s="1944"/>
      <c r="AG42" s="1944"/>
      <c r="AH42" s="1944"/>
      <c r="AI42" s="1944"/>
      <c r="AJ42" s="1944"/>
      <c r="AK42" s="1944"/>
      <c r="AL42" s="1944"/>
      <c r="AM42" s="1944"/>
      <c r="AR42" s="342"/>
      <c r="AS42" s="342"/>
      <c r="AT42" s="342"/>
      <c r="AU42" s="342"/>
      <c r="AV42" s="342"/>
      <c r="AW42" s="342"/>
      <c r="AX42" s="342"/>
      <c r="AY42" s="342"/>
      <c r="AZ42" s="342"/>
      <c r="BA42" s="342"/>
      <c r="BB42" s="342"/>
      <c r="BC42" s="342"/>
      <c r="BD42" s="342"/>
      <c r="BE42" s="342"/>
    </row>
    <row r="43" spans="1:76" ht="3.95" customHeight="1">
      <c r="C43" s="613"/>
      <c r="D43" s="684"/>
      <c r="E43" s="619"/>
      <c r="F43" s="685"/>
      <c r="G43" s="685"/>
      <c r="H43" s="685"/>
      <c r="I43" s="685"/>
      <c r="J43" s="685"/>
      <c r="K43" s="685"/>
      <c r="L43" s="685"/>
      <c r="M43" s="685"/>
      <c r="N43" s="685"/>
      <c r="O43" s="685"/>
      <c r="P43" s="619"/>
      <c r="Q43" s="619"/>
      <c r="R43" s="619"/>
      <c r="S43" s="619"/>
      <c r="T43" s="619"/>
      <c r="U43" s="619"/>
      <c r="V43" s="619"/>
      <c r="W43" s="619"/>
      <c r="X43" s="619"/>
      <c r="Y43" s="619"/>
      <c r="Z43" s="619"/>
      <c r="AA43" s="619"/>
      <c r="AB43" s="619"/>
      <c r="AC43" s="619"/>
      <c r="AD43" s="619"/>
      <c r="AE43" s="619"/>
      <c r="AF43" s="619"/>
      <c r="AG43" s="619"/>
      <c r="AH43" s="619"/>
      <c r="AI43" s="619"/>
      <c r="AJ43" s="619"/>
      <c r="AK43" s="619"/>
      <c r="AL43" s="619"/>
      <c r="AM43" s="620"/>
    </row>
    <row r="44" spans="1:76" s="319" customFormat="1" ht="30.75" customHeight="1">
      <c r="A44" s="607"/>
      <c r="B44" s="607"/>
      <c r="C44" s="613"/>
      <c r="D44" s="1008"/>
      <c r="E44" s="1945" t="str">
        <f>"Sesuai hasil survei lokasi yang mencakup analisa situasi (site data), lingkungan dan pengembangan area serta pemanfaatan dari properti saat ini, maka kami berpendapat bahwa pemanfaatan tertinggi dan terbaik dari properti termaksud adalah sebagai "&amp;Entry!L14&amp;"."</f>
        <v>Sesuai hasil survei lokasi yang mencakup analisa situasi (site data), lingkungan dan pengembangan area serta pemanfaatan dari properti saat ini, maka kami berpendapat bahwa pemanfaatan tertinggi dan terbaik dari properti termaksud adalah sebagai Rumah Tinggal.</v>
      </c>
      <c r="F44" s="1945"/>
      <c r="G44" s="1945"/>
      <c r="H44" s="1945"/>
      <c r="I44" s="1945"/>
      <c r="J44" s="1945"/>
      <c r="K44" s="1945"/>
      <c r="L44" s="1945"/>
      <c r="M44" s="1945"/>
      <c r="N44" s="1945"/>
      <c r="O44" s="1945"/>
      <c r="P44" s="1945"/>
      <c r="Q44" s="1945"/>
      <c r="R44" s="1945"/>
      <c r="S44" s="1945"/>
      <c r="T44" s="1945"/>
      <c r="U44" s="1945"/>
      <c r="V44" s="1945"/>
      <c r="W44" s="1945"/>
      <c r="X44" s="1945"/>
      <c r="Y44" s="1945"/>
      <c r="Z44" s="1945"/>
      <c r="AA44" s="1945"/>
      <c r="AB44" s="1945"/>
      <c r="AC44" s="1945"/>
      <c r="AD44" s="1945"/>
      <c r="AE44" s="1945"/>
      <c r="AF44" s="1945"/>
      <c r="AG44" s="1945"/>
      <c r="AH44" s="1945"/>
      <c r="AI44" s="1945"/>
      <c r="AJ44" s="1945"/>
      <c r="AK44" s="1945"/>
      <c r="AL44" s="1945"/>
      <c r="AM44" s="686"/>
      <c r="AN44" s="607"/>
      <c r="AO44" s="607"/>
      <c r="AP44" s="607"/>
      <c r="AQ44" s="607"/>
      <c r="AR44" s="607"/>
      <c r="AS44" s="607"/>
      <c r="AT44" s="607"/>
      <c r="AU44" s="607"/>
      <c r="AV44" s="607"/>
      <c r="AW44" s="607"/>
      <c r="AX44" s="607"/>
      <c r="AY44" s="607"/>
      <c r="AZ44" s="607"/>
      <c r="BA44" s="607"/>
      <c r="BB44" s="607"/>
      <c r="BC44" s="607"/>
      <c r="BD44" s="607"/>
      <c r="BE44" s="607"/>
      <c r="BF44" s="607"/>
      <c r="BG44" s="607"/>
      <c r="BH44" s="607"/>
      <c r="BI44" s="607"/>
      <c r="BJ44" s="607"/>
      <c r="BK44" s="607"/>
      <c r="BL44" s="607"/>
      <c r="BM44" s="607"/>
      <c r="BN44" s="607"/>
      <c r="BO44" s="607"/>
      <c r="BP44" s="607"/>
      <c r="BQ44" s="607"/>
      <c r="BR44" s="607"/>
      <c r="BS44" s="607"/>
      <c r="BT44" s="607"/>
      <c r="BU44" s="607"/>
      <c r="BV44" s="607"/>
      <c r="BW44" s="607"/>
      <c r="BX44" s="607"/>
    </row>
    <row r="45" spans="1:76" ht="3.95" customHeight="1">
      <c r="C45" s="613"/>
      <c r="D45" s="1009"/>
      <c r="E45" s="1010"/>
      <c r="F45" s="1010"/>
      <c r="G45" s="1010"/>
      <c r="H45" s="1010"/>
      <c r="I45" s="1010"/>
      <c r="J45" s="1010"/>
      <c r="K45" s="1010"/>
      <c r="L45" s="1010"/>
      <c r="M45" s="1010"/>
      <c r="N45" s="1010"/>
      <c r="O45" s="1010"/>
      <c r="P45" s="1010"/>
      <c r="Q45" s="1010"/>
      <c r="R45" s="1010"/>
      <c r="S45" s="1010"/>
      <c r="T45" s="1010"/>
      <c r="U45" s="1010"/>
      <c r="V45" s="1010"/>
      <c r="W45" s="1010"/>
      <c r="X45" s="1010"/>
      <c r="Y45" s="1010"/>
      <c r="Z45" s="1010"/>
      <c r="AA45" s="1010"/>
      <c r="AB45" s="1010"/>
      <c r="AC45" s="1010"/>
      <c r="AD45" s="1010"/>
      <c r="AE45" s="1010"/>
      <c r="AF45" s="1010"/>
      <c r="AG45" s="1010"/>
      <c r="AH45" s="1010"/>
      <c r="AI45" s="1010"/>
      <c r="AJ45" s="1010"/>
      <c r="AK45" s="1010"/>
      <c r="AL45" s="1010"/>
      <c r="AM45" s="1011"/>
    </row>
    <row r="46" spans="1:76" ht="7.5" customHeight="1">
      <c r="C46" s="613"/>
      <c r="D46" s="687"/>
      <c r="F46" s="629"/>
      <c r="G46" s="629"/>
      <c r="H46" s="629"/>
      <c r="I46" s="629"/>
      <c r="J46" s="629"/>
      <c r="K46" s="629"/>
      <c r="L46" s="629"/>
      <c r="M46" s="629"/>
      <c r="N46" s="629"/>
      <c r="O46" s="629"/>
      <c r="P46" s="613"/>
    </row>
    <row r="47" spans="1:76" ht="3.95" customHeight="1">
      <c r="C47" s="613"/>
      <c r="D47" s="684"/>
      <c r="E47" s="619"/>
      <c r="F47" s="685"/>
      <c r="G47" s="685"/>
      <c r="H47" s="685"/>
      <c r="I47" s="685"/>
      <c r="J47" s="685"/>
      <c r="K47" s="685"/>
      <c r="L47" s="685"/>
      <c r="M47" s="685"/>
      <c r="N47" s="685"/>
      <c r="O47" s="685"/>
      <c r="P47" s="685"/>
      <c r="Q47" s="685"/>
      <c r="R47" s="685"/>
      <c r="S47" s="685"/>
      <c r="T47" s="685"/>
      <c r="U47" s="685"/>
      <c r="V47" s="685"/>
      <c r="W47" s="685"/>
      <c r="X47" s="685"/>
      <c r="Y47" s="685"/>
      <c r="Z47" s="685"/>
      <c r="AA47" s="685"/>
      <c r="AB47" s="685"/>
      <c r="AC47" s="685"/>
      <c r="AD47" s="685"/>
      <c r="AE47" s="685"/>
      <c r="AF47" s="685"/>
      <c r="AG47" s="685"/>
      <c r="AH47" s="685"/>
      <c r="AI47" s="685"/>
      <c r="AJ47" s="685"/>
      <c r="AK47" s="685"/>
      <c r="AL47" s="685"/>
      <c r="AM47" s="688"/>
    </row>
    <row r="48" spans="1:76" ht="57" customHeight="1">
      <c r="C48" s="613"/>
      <c r="D48" s="1012"/>
      <c r="E48" s="1946" t="s">
        <v>2150</v>
      </c>
      <c r="F48" s="1946"/>
      <c r="G48" s="1946"/>
      <c r="H48" s="1946"/>
      <c r="I48" s="1946"/>
      <c r="J48" s="1946"/>
      <c r="K48" s="1946"/>
      <c r="L48" s="1946"/>
      <c r="M48" s="1946"/>
      <c r="N48" s="1946"/>
      <c r="O48" s="1946"/>
      <c r="P48" s="1946"/>
      <c r="Q48" s="1946"/>
      <c r="R48" s="1946"/>
      <c r="S48" s="1946"/>
      <c r="T48" s="1946"/>
      <c r="U48" s="1946"/>
      <c r="V48" s="1946"/>
      <c r="W48" s="1946"/>
      <c r="X48" s="1946"/>
      <c r="Y48" s="1946"/>
      <c r="Z48" s="1946"/>
      <c r="AA48" s="1946"/>
      <c r="AB48" s="1946"/>
      <c r="AC48" s="1946"/>
      <c r="AD48" s="1946"/>
      <c r="AE48" s="1946"/>
      <c r="AF48" s="1946"/>
      <c r="AG48" s="1946"/>
      <c r="AH48" s="1946"/>
      <c r="AI48" s="1946"/>
      <c r="AJ48" s="1946"/>
      <c r="AK48" s="1946"/>
      <c r="AL48" s="1946"/>
      <c r="AM48" s="667"/>
      <c r="AP48" s="689" t="s">
        <v>2151</v>
      </c>
      <c r="AQ48" s="689"/>
      <c r="AR48" s="689"/>
      <c r="AS48" s="689"/>
      <c r="AT48" s="689"/>
      <c r="AU48" s="689"/>
      <c r="AV48" s="690"/>
      <c r="AW48" s="690"/>
      <c r="AX48" s="690"/>
      <c r="AY48" s="623"/>
      <c r="AZ48" s="623"/>
      <c r="BA48" s="623"/>
    </row>
    <row r="49" spans="1:76" ht="15.75" hidden="1" customHeight="1">
      <c r="C49" s="613"/>
      <c r="D49" s="1012"/>
      <c r="E49" s="311" t="s">
        <v>2152</v>
      </c>
      <c r="F49" s="300"/>
      <c r="G49" s="300"/>
      <c r="H49" s="300"/>
      <c r="I49" s="300"/>
      <c r="J49" s="300"/>
      <c r="K49" s="300"/>
      <c r="L49" s="300"/>
      <c r="M49" s="300"/>
      <c r="N49" s="300"/>
      <c r="O49" s="300"/>
      <c r="P49" s="300"/>
      <c r="Q49" s="300"/>
      <c r="R49" s="300"/>
      <c r="S49" s="300"/>
      <c r="T49" s="300"/>
      <c r="U49" s="300"/>
      <c r="V49" s="300"/>
      <c r="W49" s="300"/>
      <c r="X49" s="300"/>
      <c r="Y49" s="300"/>
      <c r="Z49" s="300"/>
      <c r="AA49" s="300"/>
      <c r="AB49" s="300"/>
      <c r="AC49" s="300"/>
      <c r="AD49" s="300"/>
      <c r="AE49" s="300"/>
      <c r="AF49" s="300"/>
      <c r="AG49" s="300"/>
      <c r="AH49" s="300"/>
      <c r="AI49" s="300"/>
      <c r="AJ49" s="300"/>
      <c r="AK49" s="300"/>
      <c r="AL49" s="300"/>
      <c r="AM49" s="667"/>
      <c r="AP49" s="689"/>
      <c r="AQ49" s="689"/>
      <c r="AR49" s="689"/>
      <c r="AS49" s="689"/>
      <c r="AT49" s="689"/>
      <c r="AU49" s="689"/>
      <c r="AV49" s="690"/>
      <c r="AW49" s="690"/>
      <c r="AX49" s="690"/>
      <c r="AY49" s="623"/>
      <c r="AZ49" s="623"/>
      <c r="BA49" s="623"/>
    </row>
    <row r="50" spans="1:76" ht="17.100000000000001" customHeight="1">
      <c r="A50" s="623"/>
      <c r="B50" s="623"/>
      <c r="C50" s="1006"/>
      <c r="D50" s="621"/>
      <c r="E50" s="691" t="s">
        <v>2396</v>
      </c>
      <c r="F50" s="692"/>
      <c r="G50" s="692"/>
      <c r="H50" s="692"/>
      <c r="I50" s="692"/>
      <c r="J50" s="692"/>
      <c r="K50" s="692"/>
      <c r="L50" s="692"/>
      <c r="M50" s="692"/>
      <c r="N50" s="692"/>
      <c r="O50" s="692"/>
      <c r="P50" s="693"/>
      <c r="Q50" s="693"/>
      <c r="R50" s="693"/>
      <c r="S50" s="693"/>
      <c r="T50" s="693"/>
      <c r="U50" s="693"/>
      <c r="V50" s="693"/>
      <c r="W50" s="693"/>
      <c r="X50" s="693"/>
      <c r="Y50" s="693"/>
      <c r="Z50" s="693"/>
      <c r="AA50" s="693"/>
      <c r="AB50" s="693"/>
      <c r="AC50" s="693"/>
      <c r="AD50" s="693"/>
      <c r="AE50" s="693"/>
      <c r="AF50" s="693"/>
      <c r="AG50" s="693"/>
      <c r="AH50" s="693"/>
      <c r="AI50" s="693"/>
      <c r="AJ50" s="693"/>
      <c r="AK50" s="693"/>
      <c r="AL50" s="693"/>
      <c r="AM50" s="622"/>
      <c r="AN50" s="623"/>
      <c r="AO50" s="623"/>
      <c r="AP50" s="694" t="s">
        <v>2153</v>
      </c>
      <c r="AQ50" s="695"/>
      <c r="AR50" s="695"/>
      <c r="AS50" s="695"/>
      <c r="AT50" s="695"/>
      <c r="AU50" s="695"/>
      <c r="AW50" s="696" t="s">
        <v>5</v>
      </c>
      <c r="AX50" s="697" t="s">
        <v>2154</v>
      </c>
      <c r="BB50" s="623"/>
      <c r="BC50" s="623"/>
      <c r="BD50" s="623"/>
      <c r="BE50" s="623"/>
      <c r="BF50" s="623"/>
      <c r="BG50" s="623"/>
      <c r="BH50" s="623"/>
      <c r="BI50" s="623"/>
      <c r="BJ50" s="623"/>
      <c r="BK50" s="623"/>
      <c r="BL50" s="623"/>
      <c r="BM50" s="623"/>
      <c r="BN50" s="623"/>
      <c r="BO50" s="623"/>
      <c r="BP50" s="623"/>
      <c r="BQ50" s="623"/>
      <c r="BR50" s="623"/>
      <c r="BS50" s="623"/>
      <c r="BT50" s="623"/>
      <c r="BU50" s="623"/>
      <c r="BV50" s="623"/>
      <c r="BW50" s="623"/>
      <c r="BX50" s="623"/>
    </row>
    <row r="51" spans="1:76" ht="14.1" customHeight="1">
      <c r="C51" s="613"/>
      <c r="D51" s="624"/>
      <c r="E51" s="691" t="s">
        <v>2379</v>
      </c>
      <c r="F51" s="613"/>
      <c r="G51" s="613"/>
      <c r="H51" s="613"/>
      <c r="I51" s="613"/>
      <c r="J51" s="613"/>
      <c r="K51" s="613"/>
      <c r="L51" s="613"/>
      <c r="M51" s="613"/>
      <c r="N51" s="613"/>
      <c r="O51" s="613"/>
      <c r="P51" s="613"/>
      <c r="Q51" s="613"/>
      <c r="R51" s="613"/>
      <c r="S51" s="613"/>
      <c r="T51" s="613"/>
      <c r="U51" s="613"/>
      <c r="V51" s="613"/>
      <c r="W51" s="613"/>
      <c r="X51" s="613"/>
      <c r="Y51" s="613"/>
      <c r="Z51" s="613"/>
      <c r="AA51" s="613"/>
      <c r="AB51" s="613"/>
      <c r="AC51" s="613"/>
      <c r="AD51" s="613"/>
      <c r="AE51" s="613"/>
      <c r="AF51" s="613"/>
      <c r="AG51" s="613"/>
      <c r="AH51" s="613"/>
      <c r="AI51" s="613"/>
      <c r="AJ51" s="613"/>
      <c r="AK51" s="613"/>
      <c r="AL51" s="613"/>
      <c r="AM51" s="627"/>
      <c r="AP51" s="694" t="s">
        <v>2148</v>
      </c>
      <c r="AQ51" s="695"/>
      <c r="AR51" s="695"/>
      <c r="AS51" s="695"/>
      <c r="AT51" s="695"/>
      <c r="AU51" s="695"/>
      <c r="AW51" s="696" t="s">
        <v>5</v>
      </c>
      <c r="AX51" s="697" t="s">
        <v>2155</v>
      </c>
    </row>
    <row r="52" spans="1:76" ht="14.1" customHeight="1">
      <c r="C52" s="613"/>
      <c r="D52" s="624"/>
      <c r="E52" s="613"/>
      <c r="F52" s="613"/>
      <c r="G52" s="613"/>
      <c r="H52" s="613"/>
      <c r="I52" s="613"/>
      <c r="J52" s="613"/>
      <c r="K52" s="613"/>
      <c r="L52" s="613"/>
      <c r="M52" s="613"/>
      <c r="N52" s="613"/>
      <c r="O52" s="613"/>
      <c r="P52" s="613"/>
      <c r="Q52" s="613" t="s">
        <v>1858</v>
      </c>
      <c r="R52" s="613"/>
      <c r="S52" s="613"/>
      <c r="T52" s="613"/>
      <c r="U52" s="613"/>
      <c r="V52" s="613"/>
      <c r="W52" s="613"/>
      <c r="X52" s="613"/>
      <c r="Y52" s="613"/>
      <c r="Z52" s="613"/>
      <c r="AA52" s="613"/>
      <c r="AB52" s="613"/>
      <c r="AC52" s="613"/>
      <c r="AD52" s="613"/>
      <c r="AE52" s="613"/>
      <c r="AF52" s="613"/>
      <c r="AG52" s="613"/>
      <c r="AH52" s="613"/>
      <c r="AI52" s="613"/>
      <c r="AJ52" s="613"/>
      <c r="AK52" s="613"/>
      <c r="AL52" s="613"/>
      <c r="AM52" s="627"/>
      <c r="AP52" s="698" t="s">
        <v>2156</v>
      </c>
      <c r="AQ52" s="697"/>
      <c r="AR52" s="697"/>
      <c r="AS52" s="697"/>
      <c r="AT52" s="697"/>
      <c r="AU52" s="697"/>
      <c r="AW52" s="696" t="s">
        <v>5</v>
      </c>
      <c r="AX52" s="697" t="s">
        <v>2157</v>
      </c>
    </row>
    <row r="53" spans="1:76" ht="14.1" customHeight="1">
      <c r="C53" s="613"/>
      <c r="D53" s="624"/>
      <c r="E53" s="613"/>
      <c r="F53" s="613"/>
      <c r="G53" s="613"/>
      <c r="H53" s="613"/>
      <c r="I53" s="613"/>
      <c r="J53" s="613"/>
      <c r="K53" s="613"/>
      <c r="L53" s="613"/>
      <c r="M53" s="613"/>
      <c r="N53" s="613"/>
      <c r="O53" s="613"/>
      <c r="P53" s="613"/>
      <c r="Q53" s="613"/>
      <c r="R53" s="613"/>
      <c r="S53" s="613"/>
      <c r="T53" s="613"/>
      <c r="U53" s="613"/>
      <c r="V53" s="613"/>
      <c r="W53" s="613"/>
      <c r="X53" s="613"/>
      <c r="Y53" s="613"/>
      <c r="Z53" s="613"/>
      <c r="AA53" s="613"/>
      <c r="AB53" s="613"/>
      <c r="AC53" s="613"/>
      <c r="AD53" s="613"/>
      <c r="AE53" s="613"/>
      <c r="AF53" s="613"/>
      <c r="AG53" s="613"/>
      <c r="AH53" s="613"/>
      <c r="AI53" s="613"/>
      <c r="AJ53" s="613"/>
      <c r="AK53" s="613"/>
      <c r="AL53" s="613"/>
      <c r="AM53" s="627"/>
      <c r="AP53" s="699" t="s">
        <v>2158</v>
      </c>
      <c r="AQ53" s="697"/>
      <c r="AR53" s="697"/>
      <c r="AS53" s="697"/>
      <c r="AT53" s="697"/>
      <c r="AU53" s="697"/>
      <c r="AW53" s="696" t="s">
        <v>5</v>
      </c>
      <c r="AX53" s="697" t="s">
        <v>2159</v>
      </c>
    </row>
    <row r="54" spans="1:76" s="704" customFormat="1" ht="14.1" customHeight="1">
      <c r="A54" s="700"/>
      <c r="B54" s="700"/>
      <c r="C54" s="701"/>
      <c r="D54" s="1013"/>
      <c r="E54" s="701"/>
      <c r="F54" s="701"/>
      <c r="G54" s="701"/>
      <c r="H54" s="701"/>
      <c r="I54" s="701"/>
      <c r="J54" s="701"/>
      <c r="K54" s="701"/>
      <c r="L54" s="701"/>
      <c r="M54" s="701"/>
      <c r="N54" s="701"/>
      <c r="O54" s="701"/>
      <c r="P54" s="701"/>
      <c r="Q54" s="701"/>
      <c r="R54" s="701"/>
      <c r="S54" s="701"/>
      <c r="T54" s="701"/>
      <c r="U54" s="701"/>
      <c r="V54" s="701"/>
      <c r="W54" s="701"/>
      <c r="X54" s="701"/>
      <c r="Y54" s="701"/>
      <c r="Z54" s="701"/>
      <c r="AA54" s="701"/>
      <c r="AB54" s="701"/>
      <c r="AC54" s="701"/>
      <c r="AD54" s="701"/>
      <c r="AE54" s="701"/>
      <c r="AF54" s="701"/>
      <c r="AG54" s="701"/>
      <c r="AH54" s="701"/>
      <c r="AI54" s="701"/>
      <c r="AJ54" s="701"/>
      <c r="AK54" s="701"/>
      <c r="AL54" s="701"/>
      <c r="AM54" s="702"/>
      <c r="AN54" s="700"/>
      <c r="AO54" s="700"/>
      <c r="AP54" s="703" t="s">
        <v>1813</v>
      </c>
      <c r="AQ54" s="700"/>
      <c r="AR54" s="700"/>
      <c r="AS54" s="700"/>
      <c r="AT54" s="700"/>
      <c r="AU54" s="700"/>
      <c r="AV54" s="700"/>
      <c r="AW54" s="700"/>
      <c r="AX54" s="700"/>
      <c r="AY54" s="700"/>
      <c r="AZ54" s="700"/>
      <c r="BA54" s="700"/>
      <c r="BB54" s="700"/>
      <c r="BC54" s="700"/>
      <c r="BD54" s="700"/>
      <c r="BE54" s="700"/>
      <c r="BF54" s="700"/>
      <c r="BG54" s="700"/>
      <c r="BH54" s="700"/>
      <c r="BI54" s="700"/>
      <c r="BJ54" s="700"/>
      <c r="BK54" s="700"/>
      <c r="BL54" s="700"/>
      <c r="BM54" s="700"/>
      <c r="BN54" s="700"/>
      <c r="BO54" s="700"/>
      <c r="BP54" s="700"/>
      <c r="BQ54" s="700"/>
      <c r="BR54" s="700"/>
      <c r="BS54" s="700"/>
      <c r="BT54" s="700"/>
      <c r="BU54" s="700"/>
      <c r="BV54" s="700"/>
      <c r="BW54" s="700"/>
      <c r="BX54" s="700"/>
    </row>
    <row r="55" spans="1:76" ht="14.1" customHeight="1">
      <c r="C55" s="613"/>
      <c r="D55" s="624"/>
      <c r="E55" s="613"/>
      <c r="F55" s="613"/>
      <c r="G55" s="613"/>
      <c r="H55" s="613"/>
      <c r="I55" s="613"/>
      <c r="J55" s="613"/>
      <c r="K55" s="613"/>
      <c r="L55" s="613"/>
      <c r="M55" s="613"/>
      <c r="N55" s="613"/>
      <c r="O55" s="613"/>
      <c r="P55" s="613"/>
      <c r="Q55" s="613"/>
      <c r="R55" s="613"/>
      <c r="S55" s="613"/>
      <c r="T55" s="613"/>
      <c r="U55" s="613"/>
      <c r="V55" s="613"/>
      <c r="W55" s="613"/>
      <c r="X55" s="613"/>
      <c r="Y55" s="613"/>
      <c r="Z55" s="613"/>
      <c r="AA55" s="613"/>
      <c r="AB55" s="613"/>
      <c r="AC55" s="613"/>
      <c r="AD55" s="613"/>
      <c r="AE55" s="613"/>
      <c r="AF55" s="613"/>
      <c r="AG55" s="613"/>
      <c r="AH55" s="613"/>
      <c r="AI55" s="613"/>
      <c r="AJ55" s="613"/>
      <c r="AK55" s="613"/>
      <c r="AL55" s="613"/>
      <c r="AM55" s="627"/>
      <c r="AP55" s="705"/>
    </row>
    <row r="56" spans="1:76" ht="14.1" customHeight="1">
      <c r="C56" s="613"/>
      <c r="D56" s="628"/>
      <c r="E56" s="1067" t="str">
        <f>+Entry!L4</f>
        <v>Ir. Usep Delianta Prawira, MAPPI (Cert.)</v>
      </c>
      <c r="F56" s="629"/>
      <c r="G56" s="613"/>
      <c r="H56" s="707"/>
      <c r="I56" s="613"/>
      <c r="J56" s="613"/>
      <c r="K56" s="613"/>
      <c r="L56" s="613"/>
      <c r="M56" s="613"/>
      <c r="N56" s="613"/>
      <c r="O56" s="613"/>
      <c r="P56" s="613"/>
      <c r="Q56" s="613"/>
      <c r="R56" s="613"/>
      <c r="S56" s="613"/>
      <c r="T56" s="613"/>
      <c r="U56" s="613"/>
      <c r="V56" s="613"/>
      <c r="W56" s="613"/>
      <c r="X56" s="613"/>
      <c r="Y56" s="613"/>
      <c r="Z56" s="613"/>
      <c r="AA56" s="613"/>
      <c r="AB56" s="613"/>
      <c r="AC56" s="613"/>
      <c r="AD56" s="613"/>
      <c r="AE56" s="613"/>
      <c r="AF56" s="613"/>
      <c r="AG56" s="613"/>
      <c r="AH56" s="613"/>
      <c r="AI56" s="613"/>
      <c r="AJ56" s="613"/>
      <c r="AK56" s="613"/>
      <c r="AL56" s="707"/>
      <c r="AM56" s="708"/>
      <c r="AQ56" s="607" t="str">
        <f>+Entry!I112</f>
        <v>Asno Minanda,M.Ec.Dev., MAPPI (Cert.)</v>
      </c>
    </row>
    <row r="57" spans="1:76" ht="14.1" customHeight="1">
      <c r="C57" s="613"/>
      <c r="D57" s="628"/>
      <c r="E57" s="709" t="str">
        <f>Entry!I121</f>
        <v>Senior Partner</v>
      </c>
      <c r="F57" s="629"/>
      <c r="G57" s="613"/>
      <c r="H57" s="707"/>
      <c r="I57" s="613"/>
      <c r="J57" s="613"/>
      <c r="K57" s="613"/>
      <c r="L57" s="613"/>
      <c r="M57" s="613"/>
      <c r="N57" s="613"/>
      <c r="O57" s="613"/>
      <c r="P57" s="613"/>
      <c r="Q57" s="613"/>
      <c r="R57" s="613"/>
      <c r="S57" s="613"/>
      <c r="T57" s="613"/>
      <c r="U57" s="613"/>
      <c r="V57" s="613"/>
      <c r="W57" s="613"/>
      <c r="X57" s="613"/>
      <c r="Y57" s="613"/>
      <c r="Z57" s="613"/>
      <c r="AA57" s="613"/>
      <c r="AB57" s="613"/>
      <c r="AC57" s="613"/>
      <c r="AD57" s="613"/>
      <c r="AE57" s="613"/>
      <c r="AF57" s="613"/>
      <c r="AG57" s="613"/>
      <c r="AH57" s="613"/>
      <c r="AI57" s="613"/>
      <c r="AJ57" s="613"/>
      <c r="AK57" s="613"/>
      <c r="AL57" s="707"/>
      <c r="AM57" s="708"/>
      <c r="AP57" s="521"/>
      <c r="AQ57" s="607" t="str">
        <f>+Entry!S112</f>
        <v>Ir. Usep Delianta Prawira, MAPPI (Cert.)</v>
      </c>
    </row>
    <row r="58" spans="1:76" s="714" customFormat="1" ht="15.75" customHeight="1">
      <c r="A58" s="710"/>
      <c r="B58" s="710"/>
      <c r="C58" s="711"/>
      <c r="D58" s="1014"/>
      <c r="E58" s="711" t="s">
        <v>2161</v>
      </c>
      <c r="F58" s="711"/>
      <c r="G58" s="711"/>
      <c r="H58" s="711"/>
      <c r="I58" s="712" t="s">
        <v>5</v>
      </c>
      <c r="J58" s="711" t="str">
        <f>Entry!I122</f>
        <v>95-S-00575</v>
      </c>
      <c r="K58" s="711"/>
      <c r="L58" s="711"/>
      <c r="M58" s="711"/>
      <c r="N58" s="711"/>
      <c r="O58" s="711"/>
      <c r="P58" s="711"/>
      <c r="Q58" s="711"/>
      <c r="R58" s="711"/>
      <c r="S58" s="711"/>
      <c r="T58" s="711"/>
      <c r="U58" s="711"/>
      <c r="V58" s="711"/>
      <c r="W58" s="711"/>
      <c r="X58" s="711"/>
      <c r="Y58" s="711"/>
      <c r="Z58" s="711"/>
      <c r="AA58" s="711"/>
      <c r="AB58" s="711"/>
      <c r="AC58" s="711"/>
      <c r="AD58" s="711"/>
      <c r="AE58" s="711"/>
      <c r="AF58" s="711"/>
      <c r="AG58" s="711"/>
      <c r="AH58" s="711"/>
      <c r="AI58" s="711"/>
      <c r="AJ58" s="711"/>
      <c r="AK58" s="711"/>
      <c r="AL58" s="711"/>
      <c r="AM58" s="713"/>
      <c r="AN58" s="710"/>
      <c r="AO58" s="710"/>
      <c r="AP58" s="710"/>
      <c r="AR58" s="710"/>
      <c r="AS58" s="710"/>
      <c r="AT58" s="710"/>
      <c r="AU58" s="710"/>
      <c r="AV58" s="710"/>
      <c r="AW58" s="710"/>
      <c r="AX58" s="710"/>
      <c r="AY58" s="710"/>
      <c r="AZ58" s="710"/>
      <c r="BA58" s="710"/>
      <c r="BB58" s="710"/>
      <c r="BC58" s="710"/>
      <c r="BD58" s="710"/>
      <c r="BE58" s="710"/>
      <c r="BF58" s="710"/>
      <c r="BG58" s="710"/>
      <c r="BH58" s="710"/>
      <c r="BI58" s="710"/>
      <c r="BJ58" s="710"/>
      <c r="BK58" s="710"/>
      <c r="BL58" s="710"/>
      <c r="BM58" s="710"/>
      <c r="BN58" s="710"/>
      <c r="BO58" s="710"/>
      <c r="BP58" s="710"/>
      <c r="BQ58" s="710"/>
      <c r="BR58" s="710"/>
      <c r="BS58" s="710"/>
      <c r="BT58" s="710"/>
      <c r="BU58" s="710"/>
      <c r="BV58" s="710"/>
      <c r="BW58" s="710"/>
      <c r="BX58" s="710"/>
    </row>
    <row r="59" spans="1:76" s="714" customFormat="1" ht="9.9499999999999993" customHeight="1">
      <c r="A59" s="710"/>
      <c r="B59" s="710"/>
      <c r="C59" s="711"/>
      <c r="D59" s="1014"/>
      <c r="E59" s="711" t="s">
        <v>2163</v>
      </c>
      <c r="F59" s="711"/>
      <c r="G59" s="711"/>
      <c r="H59" s="711"/>
      <c r="I59" s="712" t="s">
        <v>5</v>
      </c>
      <c r="J59" s="711" t="str">
        <f>Entry!I123</f>
        <v>P-1.10.00275</v>
      </c>
      <c r="K59" s="711"/>
      <c r="L59" s="711"/>
      <c r="M59" s="711"/>
      <c r="N59" s="711"/>
      <c r="O59" s="711"/>
      <c r="P59" s="711"/>
      <c r="Q59" s="711"/>
      <c r="R59" s="711"/>
      <c r="S59" s="711"/>
      <c r="T59" s="711"/>
      <c r="U59" s="711"/>
      <c r="V59" s="711"/>
      <c r="W59" s="711"/>
      <c r="X59" s="711"/>
      <c r="Y59" s="711"/>
      <c r="Z59" s="711"/>
      <c r="AA59" s="711"/>
      <c r="AB59" s="711"/>
      <c r="AC59" s="711"/>
      <c r="AD59" s="711"/>
      <c r="AE59" s="711"/>
      <c r="AF59" s="711"/>
      <c r="AG59" s="711"/>
      <c r="AH59" s="711"/>
      <c r="AI59" s="711"/>
      <c r="AJ59" s="711"/>
      <c r="AK59" s="711"/>
      <c r="AL59" s="711"/>
      <c r="AM59" s="713"/>
      <c r="AN59" s="710"/>
      <c r="AO59" s="710"/>
      <c r="AP59" s="710"/>
      <c r="AR59" s="710"/>
      <c r="AS59" s="710"/>
      <c r="AT59" s="710"/>
      <c r="AU59" s="710"/>
      <c r="AV59" s="710"/>
      <c r="AW59" s="710"/>
      <c r="AX59" s="710"/>
      <c r="AY59" s="710"/>
      <c r="AZ59" s="710"/>
      <c r="BA59" s="710"/>
      <c r="BB59" s="710"/>
      <c r="BC59" s="710"/>
      <c r="BD59" s="710"/>
      <c r="BE59" s="710"/>
      <c r="BF59" s="710"/>
      <c r="BG59" s="710"/>
      <c r="BH59" s="710"/>
      <c r="BI59" s="710"/>
      <c r="BJ59" s="710"/>
      <c r="BK59" s="710"/>
      <c r="BL59" s="710"/>
      <c r="BM59" s="710"/>
      <c r="BN59" s="710"/>
      <c r="BO59" s="710"/>
      <c r="BP59" s="710"/>
      <c r="BQ59" s="710"/>
      <c r="BR59" s="710"/>
      <c r="BS59" s="710"/>
      <c r="BT59" s="710"/>
      <c r="BU59" s="710"/>
      <c r="BV59" s="710"/>
      <c r="BW59" s="710"/>
      <c r="BX59" s="710"/>
    </row>
    <row r="60" spans="1:76" s="714" customFormat="1" ht="9.9499999999999993" customHeight="1">
      <c r="A60" s="710"/>
      <c r="B60" s="710"/>
      <c r="C60" s="711"/>
      <c r="D60" s="1014"/>
      <c r="E60" s="1036" t="s">
        <v>2165</v>
      </c>
      <c r="F60" s="1036"/>
      <c r="G60" s="1036"/>
      <c r="H60" s="1036"/>
      <c r="I60" s="1038" t="s">
        <v>5</v>
      </c>
      <c r="J60" s="1036" t="str">
        <f>Entry!I124</f>
        <v>58/BL/STTD-P/A/2011</v>
      </c>
      <c r="K60" s="1036"/>
      <c r="L60" s="711"/>
      <c r="M60" s="711"/>
      <c r="N60" s="711"/>
      <c r="O60" s="711"/>
      <c r="P60" s="711"/>
      <c r="Q60" s="711"/>
      <c r="R60" s="711"/>
      <c r="S60" s="711"/>
      <c r="T60" s="711"/>
      <c r="U60" s="711"/>
      <c r="V60" s="711"/>
      <c r="W60" s="711"/>
      <c r="X60" s="711"/>
      <c r="Y60" s="711"/>
      <c r="Z60" s="711"/>
      <c r="AA60" s="711"/>
      <c r="AB60" s="711"/>
      <c r="AC60" s="711"/>
      <c r="AD60" s="711"/>
      <c r="AE60" s="711"/>
      <c r="AF60" s="711"/>
      <c r="AG60" s="711"/>
      <c r="AH60" s="711"/>
      <c r="AI60" s="711"/>
      <c r="AJ60" s="711"/>
      <c r="AK60" s="711"/>
      <c r="AL60" s="711"/>
      <c r="AM60" s="713"/>
      <c r="AN60" s="710"/>
      <c r="AO60" s="710"/>
      <c r="AP60" s="710"/>
      <c r="AR60" s="710"/>
      <c r="AS60" s="710"/>
      <c r="AT60" s="710"/>
      <c r="AU60" s="710"/>
      <c r="AV60" s="710"/>
      <c r="AW60" s="710"/>
      <c r="AX60" s="710"/>
      <c r="AY60" s="710"/>
      <c r="AZ60" s="710"/>
      <c r="BA60" s="710"/>
      <c r="BB60" s="710"/>
      <c r="BC60" s="710"/>
      <c r="BD60" s="710"/>
      <c r="BE60" s="710"/>
      <c r="BF60" s="710"/>
      <c r="BG60" s="710"/>
      <c r="BH60" s="710"/>
      <c r="BI60" s="710"/>
      <c r="BJ60" s="710"/>
      <c r="BK60" s="710"/>
      <c r="BL60" s="710"/>
      <c r="BM60" s="710"/>
      <c r="BN60" s="710"/>
      <c r="BO60" s="710"/>
      <c r="BP60" s="710"/>
      <c r="BQ60" s="710"/>
      <c r="BR60" s="710"/>
      <c r="BS60" s="710"/>
      <c r="BT60" s="710"/>
      <c r="BU60" s="710"/>
      <c r="BV60" s="710"/>
      <c r="BW60" s="710"/>
      <c r="BX60" s="710"/>
    </row>
    <row r="61" spans="1:76" s="714" customFormat="1" ht="9.9499999999999993" customHeight="1">
      <c r="A61" s="710"/>
      <c r="B61" s="710"/>
      <c r="C61" s="711"/>
      <c r="D61" s="1014"/>
      <c r="E61" s="1066" t="str">
        <f>+Entry!C125</f>
        <v>Kualifikasi Penilai</v>
      </c>
      <c r="F61" s="1066"/>
      <c r="G61" s="1066"/>
      <c r="H61" s="1066"/>
      <c r="I61" s="1038" t="str">
        <f>+Entry!H125</f>
        <v>:</v>
      </c>
      <c r="J61" s="1036" t="str">
        <f>+Entry!I125</f>
        <v>Properti</v>
      </c>
      <c r="K61" s="1036"/>
      <c r="L61" s="1036"/>
      <c r="M61" s="1036"/>
      <c r="N61" s="1036"/>
      <c r="O61" s="1036"/>
      <c r="P61" s="1036"/>
      <c r="Q61" s="1036"/>
      <c r="R61" s="1036"/>
      <c r="S61" s="1036"/>
      <c r="T61" s="711"/>
      <c r="U61" s="711"/>
      <c r="V61" s="711"/>
      <c r="W61" s="711"/>
      <c r="X61" s="711"/>
      <c r="Y61" s="711"/>
      <c r="Z61" s="711"/>
      <c r="AA61" s="711"/>
      <c r="AB61" s="711"/>
      <c r="AC61" s="711"/>
      <c r="AD61" s="711"/>
      <c r="AE61" s="711"/>
      <c r="AF61" s="711"/>
      <c r="AG61" s="711"/>
      <c r="AH61" s="711"/>
      <c r="AI61" s="711"/>
      <c r="AJ61" s="711"/>
      <c r="AK61" s="711"/>
      <c r="AL61" s="711"/>
      <c r="AM61" s="713"/>
      <c r="AN61" s="710"/>
      <c r="AO61" s="710"/>
      <c r="AP61" s="710"/>
      <c r="AQ61" s="710"/>
      <c r="AR61" s="710"/>
      <c r="AS61" s="710"/>
      <c r="AT61" s="710"/>
      <c r="AU61" s="710"/>
      <c r="AV61" s="710"/>
      <c r="AW61" s="710"/>
      <c r="AX61" s="710"/>
      <c r="AY61" s="710"/>
      <c r="AZ61" s="710"/>
      <c r="BA61" s="710"/>
      <c r="BB61" s="710"/>
      <c r="BC61" s="710"/>
      <c r="BD61" s="710"/>
      <c r="BE61" s="710"/>
      <c r="BF61" s="710"/>
      <c r="BG61" s="710"/>
      <c r="BH61" s="710"/>
      <c r="BI61" s="710"/>
      <c r="BJ61" s="710"/>
      <c r="BK61" s="710"/>
      <c r="BL61" s="710"/>
      <c r="BM61" s="710"/>
      <c r="BN61" s="710"/>
      <c r="BO61" s="710"/>
      <c r="BP61" s="710"/>
      <c r="BQ61" s="710"/>
      <c r="BR61" s="710"/>
      <c r="BS61" s="710"/>
      <c r="BT61" s="710"/>
      <c r="BU61" s="710"/>
      <c r="BV61" s="710"/>
      <c r="BW61" s="710"/>
      <c r="BX61" s="710"/>
    </row>
    <row r="62" spans="1:76" s="714" customFormat="1" ht="9.9499999999999993" customHeight="1">
      <c r="A62" s="710"/>
      <c r="B62" s="710"/>
      <c r="C62" s="711"/>
      <c r="D62" s="1014"/>
      <c r="E62" s="1066" t="str">
        <f>+Entry!C126</f>
        <v xml:space="preserve"> </v>
      </c>
      <c r="F62" s="1066"/>
      <c r="G62" s="1066"/>
      <c r="H62" s="1066"/>
      <c r="I62" s="1038" t="str">
        <f>+Entry!H126</f>
        <v xml:space="preserve"> </v>
      </c>
      <c r="J62" s="1036" t="str">
        <f>+Entry!I126</f>
        <v xml:space="preserve"> </v>
      </c>
      <c r="K62" s="1036"/>
      <c r="L62" s="1036"/>
      <c r="M62" s="1036"/>
      <c r="N62" s="1036"/>
      <c r="O62" s="1036"/>
      <c r="P62" s="1036"/>
      <c r="Q62" s="1036"/>
      <c r="R62" s="1036"/>
      <c r="S62" s="1036"/>
      <c r="T62" s="711"/>
      <c r="U62" s="711"/>
      <c r="V62" s="711"/>
      <c r="W62" s="711"/>
      <c r="X62" s="711"/>
      <c r="Y62" s="711"/>
      <c r="Z62" s="711"/>
      <c r="AA62" s="711"/>
      <c r="AB62" s="711"/>
      <c r="AC62" s="711"/>
      <c r="AD62" s="711"/>
      <c r="AE62" s="711"/>
      <c r="AF62" s="711"/>
      <c r="AG62" s="711"/>
      <c r="AH62" s="711"/>
      <c r="AI62" s="711"/>
      <c r="AJ62" s="711"/>
      <c r="AK62" s="711"/>
      <c r="AL62" s="711"/>
      <c r="AM62" s="713"/>
      <c r="AN62" s="710"/>
      <c r="AO62" s="710"/>
      <c r="AP62" s="710"/>
      <c r="AQ62" s="710"/>
      <c r="AR62" s="710"/>
      <c r="AS62" s="710"/>
      <c r="AT62" s="710"/>
      <c r="AU62" s="710"/>
      <c r="AV62" s="710"/>
      <c r="AW62" s="710"/>
      <c r="AX62" s="710"/>
      <c r="AY62" s="710"/>
      <c r="AZ62" s="710"/>
      <c r="BA62" s="710"/>
      <c r="BB62" s="710"/>
      <c r="BC62" s="710"/>
      <c r="BD62" s="710"/>
      <c r="BE62" s="710"/>
      <c r="BF62" s="710"/>
      <c r="BG62" s="710"/>
      <c r="BH62" s="710"/>
      <c r="BI62" s="710"/>
      <c r="BJ62" s="710"/>
      <c r="BK62" s="710"/>
      <c r="BL62" s="710"/>
      <c r="BM62" s="710"/>
      <c r="BN62" s="710"/>
      <c r="BO62" s="710"/>
      <c r="BP62" s="710"/>
      <c r="BQ62" s="710"/>
      <c r="BR62" s="710"/>
      <c r="BS62" s="710"/>
      <c r="BT62" s="710"/>
      <c r="BU62" s="710"/>
      <c r="BV62" s="710"/>
      <c r="BW62" s="710"/>
      <c r="BX62" s="710"/>
    </row>
    <row r="63" spans="1:76" ht="8.1" customHeight="1">
      <c r="C63" s="613"/>
      <c r="D63" s="661"/>
      <c r="E63" s="647"/>
      <c r="F63" s="647"/>
      <c r="G63" s="647"/>
      <c r="H63" s="647"/>
      <c r="I63" s="647"/>
      <c r="J63" s="647"/>
      <c r="K63" s="647"/>
      <c r="L63" s="647"/>
      <c r="M63" s="647"/>
      <c r="N63" s="647"/>
      <c r="O63" s="647"/>
      <c r="P63" s="647"/>
      <c r="Q63" s="647"/>
      <c r="R63" s="647"/>
      <c r="S63" s="647"/>
      <c r="T63" s="647"/>
      <c r="U63" s="647"/>
      <c r="V63" s="647"/>
      <c r="W63" s="647"/>
      <c r="X63" s="647"/>
      <c r="Y63" s="647"/>
      <c r="Z63" s="647"/>
      <c r="AA63" s="647"/>
      <c r="AB63" s="647"/>
      <c r="AC63" s="647"/>
      <c r="AD63" s="647"/>
      <c r="AE63" s="647"/>
      <c r="AF63" s="647"/>
      <c r="AG63" s="647"/>
      <c r="AH63" s="647"/>
      <c r="AI63" s="647"/>
      <c r="AJ63" s="647"/>
      <c r="AK63" s="647"/>
      <c r="AL63" s="647"/>
      <c r="AM63" s="649"/>
    </row>
    <row r="64" spans="1:76" ht="9.75" customHeight="1"/>
    <row r="65" spans="2:46" ht="18.75" customHeight="1" thickBot="1"/>
    <row r="66" spans="2:46" s="388" customFormat="1" ht="14.1" customHeight="1" thickBot="1">
      <c r="B66" s="383"/>
      <c r="C66" s="383"/>
      <c r="D66" s="383"/>
      <c r="E66" s="383"/>
      <c r="F66" s="383"/>
      <c r="G66" s="383"/>
      <c r="H66" s="383"/>
      <c r="I66" s="383"/>
      <c r="J66" s="383"/>
      <c r="K66" s="383"/>
      <c r="L66" s="383"/>
      <c r="M66" s="383"/>
      <c r="N66" s="383"/>
      <c r="O66" s="383"/>
      <c r="P66" s="383"/>
      <c r="Q66" s="383"/>
      <c r="R66" s="383"/>
      <c r="S66" s="383"/>
      <c r="T66" s="383"/>
      <c r="U66" s="383"/>
      <c r="V66" s="383"/>
      <c r="W66" s="383"/>
      <c r="X66" s="383"/>
      <c r="Y66" s="383"/>
      <c r="Z66" s="383"/>
      <c r="AA66" s="383"/>
      <c r="AB66" s="383"/>
      <c r="AC66" s="383"/>
      <c r="AD66" s="383"/>
      <c r="AE66" s="383"/>
      <c r="AF66" s="383"/>
      <c r="AG66" s="383"/>
      <c r="AH66" s="384"/>
      <c r="AI66" s="384"/>
      <c r="AJ66" s="384"/>
      <c r="AK66" s="385"/>
      <c r="AL66" s="715"/>
      <c r="AM66" s="384" t="str">
        <f>CONCATENATE("Hal - ",AP66,"  dari  ",AS66)</f>
        <v>Hal - 2  dari  10</v>
      </c>
      <c r="AN66" s="715"/>
      <c r="AP66" s="1881">
        <f>+'Surat-01'!AT55+1</f>
        <v>2</v>
      </c>
      <c r="AQ66" s="1882"/>
      <c r="AR66" s="387" t="s">
        <v>3</v>
      </c>
      <c r="AS66" s="1881">
        <f>'Surat-01'!$AW$55</f>
        <v>10</v>
      </c>
      <c r="AT66" s="1882"/>
    </row>
    <row r="70" spans="2:46" ht="14.1" customHeight="1">
      <c r="AS70" s="607">
        <v>13</v>
      </c>
    </row>
  </sheetData>
  <sheetProtection formatCells="0" formatColumns="0" formatRows="0" insertColumns="0" insertRows="0" insertHyperlinks="0" deleteColumns="0" deleteRows="0" sort="0" autoFilter="0" pivotTables="0"/>
  <protectedRanges>
    <protectedRange sqref="AP19:AQ20" name="Range1_4" securityDescriptor="O:WDG:WDD:(A;;CC;;;WD)"/>
    <protectedRange sqref="AP33:AQ34 AP40:AQ40" name="Range1_4_1" securityDescriptor="O:WDG:WDD:(A;;CC;;;WD)"/>
  </protectedRanges>
  <dataConsolidate/>
  <mergeCells count="135">
    <mergeCell ref="BF19:BK19"/>
    <mergeCell ref="AZ33:BE33"/>
    <mergeCell ref="AZ19:BE19"/>
    <mergeCell ref="AR19:AX19"/>
    <mergeCell ref="AP33:AQ33"/>
    <mergeCell ref="AP19:AQ19"/>
    <mergeCell ref="AS30:AT30"/>
    <mergeCell ref="AU30:AV30"/>
    <mergeCell ref="AW29:AX29"/>
    <mergeCell ref="AS29:AT29"/>
    <mergeCell ref="AP20:AT20"/>
    <mergeCell ref="AP31:AQ31"/>
    <mergeCell ref="BG29:BK29"/>
    <mergeCell ref="AU29:AV29"/>
    <mergeCell ref="AP30:AQ30"/>
    <mergeCell ref="AW17:AX17"/>
    <mergeCell ref="AP29:AQ29"/>
    <mergeCell ref="BF33:BK33"/>
    <mergeCell ref="BG36:BK36"/>
    <mergeCell ref="AU31:AV31"/>
    <mergeCell ref="AW31:AX31"/>
    <mergeCell ref="AZ31:BE31"/>
    <mergeCell ref="AZ32:BE32"/>
    <mergeCell ref="AR33:AX33"/>
    <mergeCell ref="AW30:AX30"/>
    <mergeCell ref="AZ40:BE40"/>
    <mergeCell ref="AU37:AV37"/>
    <mergeCell ref="P17:S17"/>
    <mergeCell ref="AP17:AQ17"/>
    <mergeCell ref="AD19:AM19"/>
    <mergeCell ref="AD20:AM20"/>
    <mergeCell ref="AS17:AT17"/>
    <mergeCell ref="AU17:AV17"/>
    <mergeCell ref="AS31:AT31"/>
    <mergeCell ref="BF40:BK40"/>
    <mergeCell ref="BG37:BK37"/>
    <mergeCell ref="AZ30:BE30"/>
    <mergeCell ref="AZ38:BE38"/>
    <mergeCell ref="AZ29:BE29"/>
    <mergeCell ref="BG30:BK30"/>
    <mergeCell ref="AZ36:BE36"/>
    <mergeCell ref="AZ37:BE37"/>
    <mergeCell ref="AZ39:BE39"/>
    <mergeCell ref="AV8:BE8"/>
    <mergeCell ref="E9:AL9"/>
    <mergeCell ref="E10:AL10"/>
    <mergeCell ref="D14:O14"/>
    <mergeCell ref="P14:S14"/>
    <mergeCell ref="AP14:AQ14"/>
    <mergeCell ref="AS14:AU14"/>
    <mergeCell ref="AV14:AX14"/>
    <mergeCell ref="E4:AL4"/>
    <mergeCell ref="E5:AL5"/>
    <mergeCell ref="E6:AL6"/>
    <mergeCell ref="E7:AL7"/>
    <mergeCell ref="E8:AL8"/>
    <mergeCell ref="AS16:AT16"/>
    <mergeCell ref="AP15:AQ15"/>
    <mergeCell ref="AS15:AT15"/>
    <mergeCell ref="D16:O16"/>
    <mergeCell ref="D15:O15"/>
    <mergeCell ref="AU15:AV15"/>
    <mergeCell ref="P16:S16"/>
    <mergeCell ref="AW16:AX16"/>
    <mergeCell ref="AW15:AX15"/>
    <mergeCell ref="AD15:AM15"/>
    <mergeCell ref="AD16:AM16"/>
    <mergeCell ref="AP16:AQ16"/>
    <mergeCell ref="T15:AC15"/>
    <mergeCell ref="AU16:AV16"/>
    <mergeCell ref="D18:S18"/>
    <mergeCell ref="D17:O17"/>
    <mergeCell ref="T40:AC40"/>
    <mergeCell ref="AD40:AL40"/>
    <mergeCell ref="P15:S15"/>
    <mergeCell ref="T14:AC14"/>
    <mergeCell ref="AD14:AM14"/>
    <mergeCell ref="T16:AC16"/>
    <mergeCell ref="AD17:AM17"/>
    <mergeCell ref="AD18:AM18"/>
    <mergeCell ref="AP66:AQ66"/>
    <mergeCell ref="AS36:AT36"/>
    <mergeCell ref="AS38:AT38"/>
    <mergeCell ref="AD38:AL38"/>
    <mergeCell ref="AP38:AQ38"/>
    <mergeCell ref="P38:S38"/>
    <mergeCell ref="T38:AC38"/>
    <mergeCell ref="P37:S37"/>
    <mergeCell ref="T37:AC37"/>
    <mergeCell ref="AD37:AL37"/>
    <mergeCell ref="T17:AC17"/>
    <mergeCell ref="T18:AC18"/>
    <mergeCell ref="T31:AC31"/>
    <mergeCell ref="AS66:AT66"/>
    <mergeCell ref="D42:E42"/>
    <mergeCell ref="F42:L42"/>
    <mergeCell ref="M42:S42"/>
    <mergeCell ref="T42:AM42"/>
    <mergeCell ref="E44:AL44"/>
    <mergeCell ref="E48:AL48"/>
    <mergeCell ref="P36:S36"/>
    <mergeCell ref="T36:AC36"/>
    <mergeCell ref="AD36:AL36"/>
    <mergeCell ref="AP36:AQ36"/>
    <mergeCell ref="AW37:AX37"/>
    <mergeCell ref="AU38:AV38"/>
    <mergeCell ref="AW38:AX38"/>
    <mergeCell ref="AU36:AV36"/>
    <mergeCell ref="AW36:AX36"/>
    <mergeCell ref="D20:S20"/>
    <mergeCell ref="T19:AC19"/>
    <mergeCell ref="T20:AC20"/>
    <mergeCell ref="E25:K25"/>
    <mergeCell ref="AP40:AQ40"/>
    <mergeCell ref="AR40:AX40"/>
    <mergeCell ref="AP37:AQ37"/>
    <mergeCell ref="AS37:AT37"/>
    <mergeCell ref="T39:AC39"/>
    <mergeCell ref="AD39:AL39"/>
    <mergeCell ref="T32:AC32"/>
    <mergeCell ref="AD32:AL32"/>
    <mergeCell ref="P30:S30"/>
    <mergeCell ref="T30:AC30"/>
    <mergeCell ref="AD30:AL30"/>
    <mergeCell ref="AD31:AL31"/>
    <mergeCell ref="E27:AL27"/>
    <mergeCell ref="E28:S28"/>
    <mergeCell ref="D19:S19"/>
    <mergeCell ref="P31:S31"/>
    <mergeCell ref="E35:S35"/>
    <mergeCell ref="P29:S29"/>
    <mergeCell ref="T29:AC29"/>
    <mergeCell ref="AD29:AL29"/>
    <mergeCell ref="T33:AC33"/>
    <mergeCell ref="AD33:AL33"/>
  </mergeCells>
  <dataValidations count="3">
    <dataValidation type="whole" operator="lessThan" allowBlank="1" showInputMessage="1" showErrorMessage="1" sqref="R66:AD66 E64:Q66 E29 E36 AZ32:BE32 AZ39:BE39 E38:E40 AM24:AM27 D24:D27 E31:E34 AP53:AZ55 P14 AM12:AM13 D14:D15 AP48:AZ51 D51:D52 D17:D19 B53:D66 E63:L63 E51:L61 M51:AM63 D12:AL12 D3:AM3 D43:AM50 D41:AM41 E24:AL24">
      <formula1>-5</formula1>
    </dataValidation>
    <dataValidation operator="lessThan" allowBlank="1" showInputMessage="1" showErrorMessage="1" sqref="AP66 AS66 AM66 AH66:AJ66 BN50:BX63 BA48:BA51 AN50:AO63 BB50:BM52 B50:C52 AQ61:AQ63 AP58:AP63 BB54:BM56 AR57:BM63 BA53:BA55"/>
    <dataValidation type="list" allowBlank="1" showInputMessage="1" showErrorMessage="1" sqref="M42">
      <formula1>$AP$50:$AP$54</formula1>
    </dataValidation>
  </dataValidations>
  <pageMargins left="0.35" right="0" top="0" bottom="0.196850393700787" header="0.31496062992126" footer="0"/>
  <pageSetup paperSize="9" scale="90"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CC"/>
  </sheetPr>
  <dimension ref="B2:BW58"/>
  <sheetViews>
    <sheetView showGridLines="0" view="pageBreakPreview" topLeftCell="A13" zoomScaleNormal="85" zoomScaleSheetLayoutView="100" workbookViewId="0">
      <selection activeCell="V14" sqref="V14:AG14"/>
    </sheetView>
  </sheetViews>
  <sheetFormatPr defaultColWidth="2.7109375" defaultRowHeight="12.95" customHeight="1"/>
  <cols>
    <col min="1" max="1" width="5.7109375" style="319" customWidth="1"/>
    <col min="2" max="2" width="7.7109375" style="349" customWidth="1"/>
    <col min="3" max="3" width="1.28515625" style="349" customWidth="1"/>
    <col min="4" max="4" width="0.85546875" style="319" customWidth="1"/>
    <col min="5" max="6" width="2.7109375" style="319"/>
    <col min="7" max="7" width="4" style="319" bestFit="1" customWidth="1"/>
    <col min="8" max="28" width="2.7109375" style="319"/>
    <col min="29" max="34" width="3.28515625" style="319" customWidth="1"/>
    <col min="35" max="38" width="3.7109375" style="319" customWidth="1"/>
    <col min="39" max="39" width="5.7109375" style="319" customWidth="1"/>
    <col min="40" max="40" width="0.5703125" style="319" customWidth="1"/>
    <col min="41" max="41" width="1.28515625" style="349" customWidth="1"/>
    <col min="42" max="16384" width="2.7109375" style="319"/>
  </cols>
  <sheetData>
    <row r="2" spans="2:75" ht="60" customHeight="1"/>
    <row r="3" spans="2:75" s="717" customFormat="1" ht="15.95" customHeight="1">
      <c r="B3" s="716"/>
      <c r="C3" s="716"/>
      <c r="D3" s="2003" t="s">
        <v>2169</v>
      </c>
      <c r="E3" s="2004"/>
      <c r="F3" s="2004"/>
      <c r="G3" s="2004"/>
      <c r="H3" s="2004"/>
      <c r="I3" s="2004"/>
      <c r="J3" s="2004"/>
      <c r="K3" s="2004"/>
      <c r="L3" s="2004"/>
      <c r="M3" s="2004"/>
      <c r="N3" s="2004"/>
      <c r="O3" s="2004"/>
      <c r="P3" s="2004"/>
      <c r="Q3" s="2004"/>
      <c r="R3" s="2004"/>
      <c r="S3" s="2004"/>
      <c r="T3" s="2004"/>
      <c r="U3" s="2004"/>
      <c r="V3" s="2004"/>
      <c r="W3" s="2004"/>
      <c r="X3" s="2004"/>
      <c r="Y3" s="2004"/>
      <c r="Z3" s="2004"/>
      <c r="AA3" s="2004"/>
      <c r="AB3" s="2004"/>
      <c r="AC3" s="2004"/>
      <c r="AD3" s="2004"/>
      <c r="AE3" s="2004"/>
      <c r="AF3" s="2004"/>
      <c r="AG3" s="2004"/>
      <c r="AH3" s="2004"/>
      <c r="AI3" s="2004"/>
      <c r="AJ3" s="2004"/>
      <c r="AK3" s="2004"/>
      <c r="AL3" s="2004"/>
      <c r="AM3" s="2004"/>
      <c r="AN3" s="2005"/>
      <c r="AO3" s="716"/>
    </row>
    <row r="4" spans="2:75" s="721" customFormat="1" ht="3.95" customHeight="1">
      <c r="B4" s="718"/>
      <c r="C4" s="718"/>
      <c r="D4" s="999"/>
      <c r="E4" s="719"/>
      <c r="F4" s="719"/>
      <c r="G4" s="719"/>
      <c r="H4" s="719"/>
      <c r="I4" s="719"/>
      <c r="J4" s="719"/>
      <c r="K4" s="719"/>
      <c r="L4" s="719"/>
      <c r="M4" s="719"/>
      <c r="N4" s="719"/>
      <c r="O4" s="719"/>
      <c r="P4" s="719"/>
      <c r="Q4" s="719"/>
      <c r="R4" s="719"/>
      <c r="S4" s="719"/>
      <c r="T4" s="719"/>
      <c r="U4" s="719"/>
      <c r="V4" s="719"/>
      <c r="W4" s="719"/>
      <c r="X4" s="719"/>
      <c r="Y4" s="719"/>
      <c r="Z4" s="719"/>
      <c r="AA4" s="719"/>
      <c r="AB4" s="719"/>
      <c r="AC4" s="719"/>
      <c r="AD4" s="719"/>
      <c r="AE4" s="719"/>
      <c r="AF4" s="719"/>
      <c r="AG4" s="719"/>
      <c r="AH4" s="719"/>
      <c r="AI4" s="719"/>
      <c r="AJ4" s="719"/>
      <c r="AK4" s="719"/>
      <c r="AL4" s="719"/>
      <c r="AM4" s="719"/>
      <c r="AN4" s="720"/>
      <c r="AO4" s="718"/>
    </row>
    <row r="5" spans="2:75" s="721" customFormat="1" ht="26.1" customHeight="1">
      <c r="B5" s="718"/>
      <c r="C5" s="718"/>
      <c r="D5" s="999"/>
      <c r="E5" s="722" t="s">
        <v>1822</v>
      </c>
      <c r="F5" s="2013" t="s">
        <v>2170</v>
      </c>
      <c r="G5" s="2013"/>
      <c r="H5" s="2013"/>
      <c r="I5" s="2013"/>
      <c r="J5" s="2013"/>
      <c r="K5" s="2013"/>
      <c r="L5" s="2013"/>
      <c r="M5" s="2013"/>
      <c r="N5" s="2013"/>
      <c r="O5" s="2013"/>
      <c r="P5" s="2013"/>
      <c r="Q5" s="2013"/>
      <c r="R5" s="2013"/>
      <c r="S5" s="2013"/>
      <c r="T5" s="2013"/>
      <c r="U5" s="2013"/>
      <c r="V5" s="2013"/>
      <c r="W5" s="2013"/>
      <c r="X5" s="2013"/>
      <c r="Y5" s="2013"/>
      <c r="Z5" s="2013"/>
      <c r="AA5" s="2013"/>
      <c r="AB5" s="2013"/>
      <c r="AC5" s="2013"/>
      <c r="AD5" s="2013"/>
      <c r="AE5" s="2013"/>
      <c r="AF5" s="2013"/>
      <c r="AG5" s="2013"/>
      <c r="AH5" s="2013"/>
      <c r="AI5" s="2013"/>
      <c r="AJ5" s="2013"/>
      <c r="AK5" s="2013"/>
      <c r="AL5" s="2013"/>
      <c r="AM5" s="2013"/>
      <c r="AN5" s="720"/>
      <c r="AO5" s="718"/>
      <c r="AR5" s="723"/>
    </row>
    <row r="6" spans="2:75" s="721" customFormat="1" ht="26.1" customHeight="1">
      <c r="B6" s="718"/>
      <c r="C6" s="718"/>
      <c r="D6" s="999"/>
      <c r="E6" s="724" t="s">
        <v>1823</v>
      </c>
      <c r="F6" s="2013" t="s">
        <v>2171</v>
      </c>
      <c r="G6" s="2013"/>
      <c r="H6" s="2013"/>
      <c r="I6" s="2013"/>
      <c r="J6" s="2013"/>
      <c r="K6" s="2013"/>
      <c r="L6" s="2013"/>
      <c r="M6" s="2013"/>
      <c r="N6" s="2013"/>
      <c r="O6" s="2013"/>
      <c r="P6" s="2013"/>
      <c r="Q6" s="2013"/>
      <c r="R6" s="2013"/>
      <c r="S6" s="2013"/>
      <c r="T6" s="2013"/>
      <c r="U6" s="2013"/>
      <c r="V6" s="2013"/>
      <c r="W6" s="2013"/>
      <c r="X6" s="2013"/>
      <c r="Y6" s="2013"/>
      <c r="Z6" s="2013"/>
      <c r="AA6" s="2013"/>
      <c r="AB6" s="2013"/>
      <c r="AC6" s="2013"/>
      <c r="AD6" s="2013"/>
      <c r="AE6" s="2013"/>
      <c r="AF6" s="2013"/>
      <c r="AG6" s="2013"/>
      <c r="AH6" s="2013"/>
      <c r="AI6" s="2013"/>
      <c r="AJ6" s="2013"/>
      <c r="AK6" s="2013"/>
      <c r="AL6" s="2013"/>
      <c r="AM6" s="2013"/>
      <c r="AN6" s="720"/>
      <c r="AO6" s="718"/>
      <c r="AR6" s="723"/>
    </row>
    <row r="7" spans="2:75" s="721" customFormat="1" ht="26.1" customHeight="1">
      <c r="B7" s="718"/>
      <c r="C7" s="718"/>
      <c r="D7" s="999"/>
      <c r="E7" s="724" t="s">
        <v>1880</v>
      </c>
      <c r="F7" s="2013" t="s">
        <v>2172</v>
      </c>
      <c r="G7" s="2013"/>
      <c r="H7" s="2013"/>
      <c r="I7" s="2013"/>
      <c r="J7" s="2013"/>
      <c r="K7" s="2013"/>
      <c r="L7" s="2013"/>
      <c r="M7" s="2013"/>
      <c r="N7" s="2013"/>
      <c r="O7" s="2013"/>
      <c r="P7" s="2013"/>
      <c r="Q7" s="2013"/>
      <c r="R7" s="2013"/>
      <c r="S7" s="2013"/>
      <c r="T7" s="2013"/>
      <c r="U7" s="2013"/>
      <c r="V7" s="2013"/>
      <c r="W7" s="2013"/>
      <c r="X7" s="2013"/>
      <c r="Y7" s="2013"/>
      <c r="Z7" s="2013"/>
      <c r="AA7" s="2013"/>
      <c r="AB7" s="2013"/>
      <c r="AC7" s="2013"/>
      <c r="AD7" s="2013"/>
      <c r="AE7" s="2013"/>
      <c r="AF7" s="2013"/>
      <c r="AG7" s="2013"/>
      <c r="AH7" s="2013"/>
      <c r="AI7" s="2013"/>
      <c r="AJ7" s="2013"/>
      <c r="AK7" s="2013"/>
      <c r="AL7" s="2013"/>
      <c r="AM7" s="2013"/>
      <c r="AN7" s="720"/>
      <c r="AO7" s="718"/>
    </row>
    <row r="8" spans="2:75" s="721" customFormat="1" ht="6.95" customHeight="1">
      <c r="B8" s="718"/>
      <c r="C8" s="718"/>
      <c r="D8" s="999"/>
      <c r="E8" s="725"/>
      <c r="F8" s="719"/>
      <c r="G8" s="719"/>
      <c r="H8" s="719"/>
      <c r="I8" s="719"/>
      <c r="J8" s="719"/>
      <c r="K8" s="719"/>
      <c r="L8" s="719"/>
      <c r="M8" s="719"/>
      <c r="N8" s="719"/>
      <c r="O8" s="719"/>
      <c r="P8" s="719"/>
      <c r="Q8" s="719"/>
      <c r="R8" s="719"/>
      <c r="S8" s="719"/>
      <c r="T8" s="719"/>
      <c r="U8" s="719"/>
      <c r="V8" s="719"/>
      <c r="W8" s="719"/>
      <c r="X8" s="719"/>
      <c r="Y8" s="719"/>
      <c r="Z8" s="719"/>
      <c r="AA8" s="719"/>
      <c r="AB8" s="719"/>
      <c r="AC8" s="719"/>
      <c r="AD8" s="719"/>
      <c r="AE8" s="719"/>
      <c r="AF8" s="719"/>
      <c r="AG8" s="719"/>
      <c r="AH8" s="719"/>
      <c r="AI8" s="719"/>
      <c r="AJ8" s="719"/>
      <c r="AK8" s="719"/>
      <c r="AL8" s="719"/>
      <c r="AM8" s="719"/>
      <c r="AN8" s="720"/>
      <c r="AO8" s="718"/>
      <c r="AR8" s="723"/>
    </row>
    <row r="9" spans="2:75" s="717" customFormat="1" ht="15.95" customHeight="1">
      <c r="B9" s="716"/>
      <c r="C9" s="716"/>
      <c r="D9" s="2003" t="s">
        <v>2173</v>
      </c>
      <c r="E9" s="2004"/>
      <c r="F9" s="2004"/>
      <c r="G9" s="2004"/>
      <c r="H9" s="2004"/>
      <c r="I9" s="2004"/>
      <c r="J9" s="2004"/>
      <c r="K9" s="2004"/>
      <c r="L9" s="2004"/>
      <c r="M9" s="2004"/>
      <c r="N9" s="2004"/>
      <c r="O9" s="2004"/>
      <c r="P9" s="2004"/>
      <c r="Q9" s="2004"/>
      <c r="R9" s="2004"/>
      <c r="S9" s="2004"/>
      <c r="T9" s="2004"/>
      <c r="U9" s="2004"/>
      <c r="V9" s="2004"/>
      <c r="W9" s="2004"/>
      <c r="X9" s="2004"/>
      <c r="Y9" s="2004"/>
      <c r="Z9" s="2004"/>
      <c r="AA9" s="2004"/>
      <c r="AB9" s="2004"/>
      <c r="AC9" s="2004"/>
      <c r="AD9" s="2004"/>
      <c r="AE9" s="2004"/>
      <c r="AF9" s="2004"/>
      <c r="AG9" s="2004"/>
      <c r="AH9" s="2004"/>
      <c r="AI9" s="2004"/>
      <c r="AJ9" s="2004"/>
      <c r="AK9" s="2004"/>
      <c r="AL9" s="2004"/>
      <c r="AM9" s="2004"/>
      <c r="AN9" s="2005"/>
      <c r="AO9" s="716"/>
    </row>
    <row r="10" spans="2:75" s="721" customFormat="1" ht="3.95" customHeight="1">
      <c r="B10" s="718"/>
      <c r="C10" s="718"/>
      <c r="D10" s="999"/>
      <c r="E10" s="719"/>
      <c r="F10" s="719"/>
      <c r="G10" s="719"/>
      <c r="H10" s="719"/>
      <c r="I10" s="719"/>
      <c r="J10" s="719"/>
      <c r="K10" s="719"/>
      <c r="L10" s="719"/>
      <c r="M10" s="719"/>
      <c r="N10" s="719"/>
      <c r="O10" s="719"/>
      <c r="P10" s="719"/>
      <c r="Q10" s="719"/>
      <c r="R10" s="719"/>
      <c r="S10" s="719"/>
      <c r="T10" s="719"/>
      <c r="U10" s="719"/>
      <c r="V10" s="719"/>
      <c r="W10" s="719"/>
      <c r="X10" s="719"/>
      <c r="Y10" s="719"/>
      <c r="Z10" s="719"/>
      <c r="AA10" s="719"/>
      <c r="AB10" s="719"/>
      <c r="AC10" s="719"/>
      <c r="AD10" s="719"/>
      <c r="AE10" s="719"/>
      <c r="AF10" s="719"/>
      <c r="AG10" s="719"/>
      <c r="AH10" s="719"/>
      <c r="AI10" s="719"/>
      <c r="AJ10" s="719"/>
      <c r="AK10" s="719"/>
      <c r="AL10" s="719"/>
      <c r="AM10" s="719"/>
      <c r="AN10" s="720"/>
      <c r="AO10" s="718"/>
    </row>
    <row r="11" spans="2:75" s="1000" customFormat="1" ht="26.1" customHeight="1">
      <c r="B11" s="1001"/>
      <c r="C11" s="1001"/>
      <c r="D11" s="1003"/>
      <c r="E11" s="2013" t="s">
        <v>2174</v>
      </c>
      <c r="F11" s="2013"/>
      <c r="G11" s="2013"/>
      <c r="H11" s="2013"/>
      <c r="I11" s="2013"/>
      <c r="J11" s="2013"/>
      <c r="K11" s="2013"/>
      <c r="L11" s="2013"/>
      <c r="M11" s="2013"/>
      <c r="N11" s="2013"/>
      <c r="O11" s="2013"/>
      <c r="P11" s="2013"/>
      <c r="Q11" s="2013"/>
      <c r="R11" s="2013"/>
      <c r="S11" s="2013"/>
      <c r="T11" s="2013"/>
      <c r="U11" s="2013"/>
      <c r="V11" s="2013"/>
      <c r="W11" s="2013"/>
      <c r="X11" s="2013"/>
      <c r="Y11" s="2013"/>
      <c r="Z11" s="2013"/>
      <c r="AA11" s="2013"/>
      <c r="AB11" s="2013"/>
      <c r="AC11" s="2013"/>
      <c r="AD11" s="2013"/>
      <c r="AE11" s="2013"/>
      <c r="AF11" s="2013"/>
      <c r="AG11" s="2013"/>
      <c r="AH11" s="2013"/>
      <c r="AI11" s="2013"/>
      <c r="AJ11" s="2013"/>
      <c r="AK11" s="2013"/>
      <c r="AL11" s="2013"/>
      <c r="AM11" s="2013"/>
      <c r="AN11" s="1002"/>
      <c r="AO11" s="1001"/>
      <c r="AQ11" s="2012"/>
      <c r="AR11" s="2012"/>
      <c r="AS11" s="2012"/>
      <c r="AT11" s="2012"/>
      <c r="AU11" s="2012"/>
      <c r="AV11" s="2012"/>
      <c r="AW11" s="2012"/>
      <c r="AX11" s="2012"/>
      <c r="AY11" s="2012"/>
      <c r="AZ11" s="2012"/>
      <c r="BA11" s="2012"/>
      <c r="BB11" s="2012"/>
      <c r="BC11" s="2012"/>
      <c r="BD11" s="2012"/>
      <c r="BE11" s="2012"/>
      <c r="BF11" s="2012"/>
      <c r="BG11" s="2012"/>
      <c r="BH11" s="2012"/>
      <c r="BI11" s="2012"/>
      <c r="BJ11" s="2012"/>
      <c r="BK11" s="2012"/>
      <c r="BL11" s="2012"/>
      <c r="BM11" s="2012"/>
      <c r="BN11" s="2012"/>
      <c r="BO11" s="2012"/>
      <c r="BP11" s="2012"/>
      <c r="BQ11" s="2012"/>
      <c r="BR11" s="2012"/>
      <c r="BS11" s="2012"/>
      <c r="BT11" s="2012"/>
      <c r="BU11" s="2012"/>
      <c r="BV11" s="2012"/>
      <c r="BW11" s="2012"/>
    </row>
    <row r="12" spans="2:75" s="721" customFormat="1" ht="6.95" customHeight="1">
      <c r="B12" s="718"/>
      <c r="C12" s="718"/>
      <c r="D12" s="999"/>
      <c r="E12" s="719"/>
      <c r="F12" s="719"/>
      <c r="G12" s="719"/>
      <c r="H12" s="719"/>
      <c r="I12" s="719"/>
      <c r="J12" s="719"/>
      <c r="K12" s="719"/>
      <c r="L12" s="719"/>
      <c r="M12" s="719"/>
      <c r="N12" s="719"/>
      <c r="O12" s="719"/>
      <c r="P12" s="719"/>
      <c r="Q12" s="719"/>
      <c r="R12" s="719"/>
      <c r="S12" s="719"/>
      <c r="T12" s="719"/>
      <c r="U12" s="719"/>
      <c r="V12" s="719"/>
      <c r="W12" s="719"/>
      <c r="X12" s="719"/>
      <c r="Y12" s="719"/>
      <c r="Z12" s="719"/>
      <c r="AA12" s="719"/>
      <c r="AB12" s="719"/>
      <c r="AC12" s="719"/>
      <c r="AD12" s="719"/>
      <c r="AE12" s="719"/>
      <c r="AF12" s="719"/>
      <c r="AG12" s="719"/>
      <c r="AH12" s="719"/>
      <c r="AI12" s="719"/>
      <c r="AJ12" s="719"/>
      <c r="AK12" s="719"/>
      <c r="AL12" s="719"/>
      <c r="AM12" s="719"/>
      <c r="AN12" s="720"/>
      <c r="AO12" s="718"/>
    </row>
    <row r="13" spans="2:75" s="717" customFormat="1" ht="15.95" customHeight="1">
      <c r="B13" s="716"/>
      <c r="C13" s="716"/>
      <c r="D13" s="2003" t="s">
        <v>2175</v>
      </c>
      <c r="E13" s="2004"/>
      <c r="F13" s="2004"/>
      <c r="G13" s="2004"/>
      <c r="H13" s="2004"/>
      <c r="I13" s="2004"/>
      <c r="J13" s="2004"/>
      <c r="K13" s="2004"/>
      <c r="L13" s="2004"/>
      <c r="M13" s="2004"/>
      <c r="N13" s="2004"/>
      <c r="O13" s="2004"/>
      <c r="P13" s="2004"/>
      <c r="Q13" s="2004"/>
      <c r="R13" s="2004"/>
      <c r="S13" s="2004"/>
      <c r="T13" s="2004"/>
      <c r="U13" s="2004"/>
      <c r="V13" s="2004"/>
      <c r="W13" s="2004"/>
      <c r="X13" s="2004"/>
      <c r="Y13" s="2004"/>
      <c r="Z13" s="2004"/>
      <c r="AA13" s="2004"/>
      <c r="AB13" s="2004"/>
      <c r="AC13" s="2004"/>
      <c r="AD13" s="2004"/>
      <c r="AE13" s="2004"/>
      <c r="AF13" s="2004"/>
      <c r="AG13" s="2004"/>
      <c r="AH13" s="2004"/>
      <c r="AI13" s="2004"/>
      <c r="AJ13" s="2004"/>
      <c r="AK13" s="2004"/>
      <c r="AL13" s="2004"/>
      <c r="AM13" s="2004"/>
      <c r="AN13" s="2005"/>
      <c r="AO13" s="716"/>
    </row>
    <row r="14" spans="2:75" ht="3.95" customHeight="1">
      <c r="D14" s="980"/>
      <c r="E14" s="726"/>
      <c r="F14" s="726"/>
      <c r="G14" s="726"/>
      <c r="H14" s="726"/>
      <c r="I14" s="726"/>
      <c r="J14" s="726"/>
      <c r="K14" s="726"/>
      <c r="L14" s="726"/>
      <c r="M14" s="726"/>
      <c r="N14" s="726"/>
      <c r="O14" s="726"/>
      <c r="P14" s="726"/>
      <c r="Q14" s="726"/>
      <c r="R14" s="726"/>
      <c r="S14" s="726"/>
      <c r="T14" s="726"/>
      <c r="U14" s="726"/>
      <c r="V14" s="726"/>
      <c r="W14" s="726"/>
      <c r="X14" s="726"/>
      <c r="Y14" s="726"/>
      <c r="Z14" s="726"/>
      <c r="AA14" s="726"/>
      <c r="AB14" s="726"/>
      <c r="AC14" s="726"/>
      <c r="AD14" s="726"/>
      <c r="AE14" s="726"/>
      <c r="AF14" s="726"/>
      <c r="AG14" s="726"/>
      <c r="AH14" s="726"/>
      <c r="AI14" s="726"/>
      <c r="AJ14" s="726"/>
      <c r="AK14" s="726"/>
      <c r="AL14" s="726"/>
      <c r="AM14" s="726"/>
      <c r="AN14" s="727"/>
      <c r="AP14" s="317"/>
      <c r="AQ14" s="317"/>
    </row>
    <row r="15" spans="2:75" ht="27.6" customHeight="1">
      <c r="D15" s="2007" t="s">
        <v>1822</v>
      </c>
      <c r="E15" s="2008"/>
      <c r="F15" s="1996" t="s">
        <v>2176</v>
      </c>
      <c r="G15" s="1996"/>
      <c r="H15" s="1996"/>
      <c r="I15" s="1996"/>
      <c r="J15" s="1996"/>
      <c r="K15" s="1996"/>
      <c r="L15" s="1996"/>
      <c r="M15" s="1996"/>
      <c r="N15" s="1996"/>
      <c r="O15" s="1996"/>
      <c r="P15" s="1996"/>
      <c r="Q15" s="1996"/>
      <c r="R15" s="1996"/>
      <c r="S15" s="1996"/>
      <c r="T15" s="1996"/>
      <c r="U15" s="1996"/>
      <c r="V15" s="1996"/>
      <c r="W15" s="1996"/>
      <c r="X15" s="1996"/>
      <c r="Y15" s="1996"/>
      <c r="Z15" s="1996"/>
      <c r="AA15" s="1996"/>
      <c r="AB15" s="1996"/>
      <c r="AC15" s="1996"/>
      <c r="AD15" s="1996"/>
      <c r="AE15" s="1996"/>
      <c r="AF15" s="1996"/>
      <c r="AG15" s="1996"/>
      <c r="AH15" s="1996"/>
      <c r="AI15" s="1996"/>
      <c r="AJ15" s="1996"/>
      <c r="AK15" s="1996"/>
      <c r="AL15" s="1996"/>
      <c r="AM15" s="1996"/>
      <c r="AN15" s="727"/>
      <c r="AQ15" s="2012"/>
      <c r="AR15" s="2012"/>
      <c r="AS15" s="2012"/>
      <c r="AT15" s="2012"/>
      <c r="AU15" s="2012"/>
      <c r="AV15" s="2012"/>
      <c r="AW15" s="2012"/>
      <c r="AX15" s="2012"/>
      <c r="AY15" s="2012"/>
      <c r="AZ15" s="2012"/>
      <c r="BA15" s="2012"/>
      <c r="BB15" s="2012"/>
      <c r="BC15" s="2012"/>
      <c r="BD15" s="2012"/>
      <c r="BE15" s="2012"/>
      <c r="BF15" s="2012"/>
      <c r="BG15" s="2012"/>
      <c r="BH15" s="2012"/>
      <c r="BI15" s="2012"/>
      <c r="BJ15" s="2012"/>
      <c r="BK15" s="2012"/>
      <c r="BL15" s="2012"/>
      <c r="BM15" s="2012"/>
      <c r="BN15" s="2012"/>
      <c r="BO15" s="2012"/>
      <c r="BP15" s="2012"/>
      <c r="BQ15" s="2012"/>
      <c r="BR15" s="2012"/>
      <c r="BS15" s="2012"/>
      <c r="BT15" s="2012"/>
      <c r="BU15" s="2012"/>
      <c r="BV15" s="2012"/>
      <c r="BW15" s="2012"/>
    </row>
    <row r="16" spans="2:75" ht="27.6" customHeight="1">
      <c r="D16" s="2007" t="s">
        <v>1823</v>
      </c>
      <c r="E16" s="2008"/>
      <c r="F16" s="1996" t="s">
        <v>2177</v>
      </c>
      <c r="G16" s="1996"/>
      <c r="H16" s="1996"/>
      <c r="I16" s="1996"/>
      <c r="J16" s="1996"/>
      <c r="K16" s="1996"/>
      <c r="L16" s="1996"/>
      <c r="M16" s="1996"/>
      <c r="N16" s="1996"/>
      <c r="O16" s="1996"/>
      <c r="P16" s="1996"/>
      <c r="Q16" s="1996"/>
      <c r="R16" s="1996"/>
      <c r="S16" s="1996"/>
      <c r="T16" s="1996"/>
      <c r="U16" s="1996"/>
      <c r="V16" s="1996"/>
      <c r="W16" s="1996"/>
      <c r="X16" s="1996"/>
      <c r="Y16" s="1996"/>
      <c r="Z16" s="1996"/>
      <c r="AA16" s="1996"/>
      <c r="AB16" s="1996"/>
      <c r="AC16" s="1996"/>
      <c r="AD16" s="1996"/>
      <c r="AE16" s="1996"/>
      <c r="AF16" s="1996"/>
      <c r="AG16" s="1996"/>
      <c r="AH16" s="1996"/>
      <c r="AI16" s="1996"/>
      <c r="AJ16" s="1996"/>
      <c r="AK16" s="1996"/>
      <c r="AL16" s="1996"/>
      <c r="AM16" s="1996"/>
      <c r="AN16" s="727"/>
      <c r="AQ16" s="723"/>
    </row>
    <row r="17" spans="2:43" ht="39.950000000000003" customHeight="1">
      <c r="D17" s="2007" t="s">
        <v>1880</v>
      </c>
      <c r="E17" s="2008"/>
      <c r="F17" s="1996" t="s">
        <v>2178</v>
      </c>
      <c r="G17" s="1996"/>
      <c r="H17" s="1996"/>
      <c r="I17" s="1996"/>
      <c r="J17" s="1996"/>
      <c r="K17" s="1996"/>
      <c r="L17" s="1996"/>
      <c r="M17" s="1996"/>
      <c r="N17" s="1996"/>
      <c r="O17" s="1996"/>
      <c r="P17" s="1996"/>
      <c r="Q17" s="1996"/>
      <c r="R17" s="1996"/>
      <c r="S17" s="1996"/>
      <c r="T17" s="1996"/>
      <c r="U17" s="1996"/>
      <c r="V17" s="1996"/>
      <c r="W17" s="1996"/>
      <c r="X17" s="1996"/>
      <c r="Y17" s="1996"/>
      <c r="Z17" s="1996"/>
      <c r="AA17" s="1996"/>
      <c r="AB17" s="1996"/>
      <c r="AC17" s="1996"/>
      <c r="AD17" s="1996"/>
      <c r="AE17" s="1996"/>
      <c r="AF17" s="1996"/>
      <c r="AG17" s="1996"/>
      <c r="AH17" s="1996"/>
      <c r="AI17" s="1996"/>
      <c r="AJ17" s="1996"/>
      <c r="AK17" s="1996"/>
      <c r="AL17" s="1996"/>
      <c r="AM17" s="1996"/>
      <c r="AN17" s="727"/>
    </row>
    <row r="18" spans="2:43" ht="39.950000000000003" customHeight="1">
      <c r="D18" s="2007" t="s">
        <v>1882</v>
      </c>
      <c r="E18" s="2008"/>
      <c r="F18" s="1996" t="s">
        <v>2179</v>
      </c>
      <c r="G18" s="1996"/>
      <c r="H18" s="1996"/>
      <c r="I18" s="1996"/>
      <c r="J18" s="1996"/>
      <c r="K18" s="1996"/>
      <c r="L18" s="1996"/>
      <c r="M18" s="1996"/>
      <c r="N18" s="1996"/>
      <c r="O18" s="1996"/>
      <c r="P18" s="1996"/>
      <c r="Q18" s="1996"/>
      <c r="R18" s="1996"/>
      <c r="S18" s="1996"/>
      <c r="T18" s="1996"/>
      <c r="U18" s="1996"/>
      <c r="V18" s="1996"/>
      <c r="W18" s="1996"/>
      <c r="X18" s="1996"/>
      <c r="Y18" s="1996"/>
      <c r="Z18" s="1996"/>
      <c r="AA18" s="1996"/>
      <c r="AB18" s="1996"/>
      <c r="AC18" s="1996"/>
      <c r="AD18" s="1996"/>
      <c r="AE18" s="1996"/>
      <c r="AF18" s="1996"/>
      <c r="AG18" s="1996"/>
      <c r="AH18" s="1996"/>
      <c r="AI18" s="1996"/>
      <c r="AJ18" s="1996"/>
      <c r="AK18" s="1996"/>
      <c r="AL18" s="1996"/>
      <c r="AM18" s="1996"/>
      <c r="AN18" s="727"/>
    </row>
    <row r="19" spans="2:43" ht="39" customHeight="1">
      <c r="D19" s="2007" t="s">
        <v>1884</v>
      </c>
      <c r="E19" s="2008"/>
      <c r="F19" s="1996" t="s">
        <v>2180</v>
      </c>
      <c r="G19" s="1996"/>
      <c r="H19" s="1996"/>
      <c r="I19" s="1996"/>
      <c r="J19" s="1996"/>
      <c r="K19" s="1996"/>
      <c r="L19" s="1996"/>
      <c r="M19" s="1996"/>
      <c r="N19" s="1996"/>
      <c r="O19" s="1996"/>
      <c r="P19" s="1996"/>
      <c r="Q19" s="1996"/>
      <c r="R19" s="1996"/>
      <c r="S19" s="1996"/>
      <c r="T19" s="1996"/>
      <c r="U19" s="1996"/>
      <c r="V19" s="1996"/>
      <c r="W19" s="1996"/>
      <c r="X19" s="1996"/>
      <c r="Y19" s="1996"/>
      <c r="Z19" s="1996"/>
      <c r="AA19" s="1996"/>
      <c r="AB19" s="1996"/>
      <c r="AC19" s="1996"/>
      <c r="AD19" s="1996"/>
      <c r="AE19" s="1996"/>
      <c r="AF19" s="1996"/>
      <c r="AG19" s="1996"/>
      <c r="AH19" s="1996"/>
      <c r="AI19" s="1996"/>
      <c r="AJ19" s="1996"/>
      <c r="AK19" s="1996"/>
      <c r="AL19" s="1996"/>
      <c r="AM19" s="1996"/>
      <c r="AN19" s="727"/>
    </row>
    <row r="20" spans="2:43" ht="39.950000000000003" customHeight="1">
      <c r="D20" s="2007" t="s">
        <v>1886</v>
      </c>
      <c r="E20" s="2008"/>
      <c r="F20" s="1996" t="s">
        <v>2181</v>
      </c>
      <c r="G20" s="1996"/>
      <c r="H20" s="1996"/>
      <c r="I20" s="1996"/>
      <c r="J20" s="1996"/>
      <c r="K20" s="1996"/>
      <c r="L20" s="1996"/>
      <c r="M20" s="1996"/>
      <c r="N20" s="1996"/>
      <c r="O20" s="1996"/>
      <c r="P20" s="1996"/>
      <c r="Q20" s="1996"/>
      <c r="R20" s="1996"/>
      <c r="S20" s="1996"/>
      <c r="T20" s="1996"/>
      <c r="U20" s="1996"/>
      <c r="V20" s="1996"/>
      <c r="W20" s="1996"/>
      <c r="X20" s="1996"/>
      <c r="Y20" s="1996"/>
      <c r="Z20" s="1996"/>
      <c r="AA20" s="1996"/>
      <c r="AB20" s="1996"/>
      <c r="AC20" s="1996"/>
      <c r="AD20" s="1996"/>
      <c r="AE20" s="1996"/>
      <c r="AF20" s="1996"/>
      <c r="AG20" s="1996"/>
      <c r="AH20" s="1996"/>
      <c r="AI20" s="1996"/>
      <c r="AJ20" s="1996"/>
      <c r="AK20" s="1996"/>
      <c r="AL20" s="1996"/>
      <c r="AM20" s="1996"/>
      <c r="AN20" s="727"/>
    </row>
    <row r="21" spans="2:43" ht="14.1" customHeight="1">
      <c r="D21" s="2007" t="s">
        <v>1888</v>
      </c>
      <c r="E21" s="2008"/>
      <c r="F21" s="1996" t="s">
        <v>2182</v>
      </c>
      <c r="G21" s="1996"/>
      <c r="H21" s="1996"/>
      <c r="I21" s="1996"/>
      <c r="J21" s="1996"/>
      <c r="K21" s="1996"/>
      <c r="L21" s="1996"/>
      <c r="M21" s="1996"/>
      <c r="N21" s="1996"/>
      <c r="O21" s="1996"/>
      <c r="P21" s="1996"/>
      <c r="Q21" s="1996"/>
      <c r="R21" s="1996"/>
      <c r="S21" s="1996"/>
      <c r="T21" s="1996"/>
      <c r="U21" s="1996"/>
      <c r="V21" s="1996"/>
      <c r="W21" s="1996"/>
      <c r="X21" s="1996"/>
      <c r="Y21" s="1996"/>
      <c r="Z21" s="1996"/>
      <c r="AA21" s="1996"/>
      <c r="AB21" s="1996"/>
      <c r="AC21" s="1996"/>
      <c r="AD21" s="1996"/>
      <c r="AE21" s="1996"/>
      <c r="AF21" s="1996"/>
      <c r="AG21" s="1996"/>
      <c r="AH21" s="1996"/>
      <c r="AI21" s="1996"/>
      <c r="AJ21" s="1996"/>
      <c r="AK21" s="1996"/>
      <c r="AL21" s="1996"/>
      <c r="AM21" s="1996"/>
      <c r="AN21" s="727"/>
    </row>
    <row r="22" spans="2:43" ht="26.45" customHeight="1">
      <c r="D22" s="2007" t="s">
        <v>1890</v>
      </c>
      <c r="E22" s="2008"/>
      <c r="F22" s="1996" t="s">
        <v>2183</v>
      </c>
      <c r="G22" s="1996"/>
      <c r="H22" s="1996"/>
      <c r="I22" s="1996"/>
      <c r="J22" s="1996"/>
      <c r="K22" s="1996"/>
      <c r="L22" s="1996"/>
      <c r="M22" s="1996"/>
      <c r="N22" s="1996"/>
      <c r="O22" s="1996"/>
      <c r="P22" s="1996"/>
      <c r="Q22" s="1996"/>
      <c r="R22" s="1996"/>
      <c r="S22" s="1996"/>
      <c r="T22" s="1996"/>
      <c r="U22" s="1996"/>
      <c r="V22" s="1996"/>
      <c r="W22" s="1996"/>
      <c r="X22" s="1996"/>
      <c r="Y22" s="1996"/>
      <c r="Z22" s="1996"/>
      <c r="AA22" s="1996"/>
      <c r="AB22" s="1996"/>
      <c r="AC22" s="1996"/>
      <c r="AD22" s="1996"/>
      <c r="AE22" s="1996"/>
      <c r="AF22" s="1996"/>
      <c r="AG22" s="1996"/>
      <c r="AH22" s="1996"/>
      <c r="AI22" s="1996"/>
      <c r="AJ22" s="1996"/>
      <c r="AK22" s="1996"/>
      <c r="AL22" s="1996"/>
      <c r="AM22" s="1996"/>
      <c r="AN22" s="727"/>
    </row>
    <row r="23" spans="2:43" ht="13.5" customHeight="1">
      <c r="D23" s="2009" t="s">
        <v>2184</v>
      </c>
      <c r="E23" s="2010"/>
      <c r="F23" s="2011" t="s">
        <v>2185</v>
      </c>
      <c r="G23" s="2011"/>
      <c r="H23" s="2011"/>
      <c r="I23" s="2011"/>
      <c r="J23" s="2011"/>
      <c r="K23" s="2011"/>
      <c r="L23" s="2011"/>
      <c r="M23" s="2011"/>
      <c r="N23" s="2011"/>
      <c r="O23" s="2011"/>
      <c r="P23" s="2011"/>
      <c r="Q23" s="2011"/>
      <c r="R23" s="2011"/>
      <c r="S23" s="2011"/>
      <c r="T23" s="2011"/>
      <c r="U23" s="2011"/>
      <c r="V23" s="2011"/>
      <c r="W23" s="2011"/>
      <c r="X23" s="2011"/>
      <c r="Y23" s="2011"/>
      <c r="Z23" s="2011"/>
      <c r="AA23" s="2011"/>
      <c r="AB23" s="2011"/>
      <c r="AC23" s="2011"/>
      <c r="AD23" s="2011"/>
      <c r="AE23" s="2011"/>
      <c r="AF23" s="2011"/>
      <c r="AG23" s="2011"/>
      <c r="AH23" s="2011"/>
      <c r="AI23" s="2011"/>
      <c r="AJ23" s="2011"/>
      <c r="AK23" s="2011"/>
      <c r="AL23" s="2011"/>
      <c r="AM23" s="2011"/>
      <c r="AN23" s="921"/>
    </row>
    <row r="24" spans="2:43" s="732" customFormat="1" ht="8.1" customHeight="1">
      <c r="B24" s="728"/>
      <c r="C24" s="728"/>
      <c r="D24" s="729"/>
      <c r="E24" s="729"/>
      <c r="F24" s="730"/>
      <c r="G24" s="730"/>
      <c r="H24" s="730"/>
      <c r="I24" s="730"/>
      <c r="J24" s="730"/>
      <c r="K24" s="730"/>
      <c r="L24" s="730"/>
      <c r="M24" s="730"/>
      <c r="N24" s="730"/>
      <c r="O24" s="730"/>
      <c r="P24" s="730"/>
      <c r="Q24" s="730"/>
      <c r="R24" s="730"/>
      <c r="S24" s="730"/>
      <c r="T24" s="730"/>
      <c r="U24" s="730"/>
      <c r="V24" s="730"/>
      <c r="W24" s="730"/>
      <c r="X24" s="730"/>
      <c r="Y24" s="730"/>
      <c r="Z24" s="730"/>
      <c r="AA24" s="730"/>
      <c r="AB24" s="730"/>
      <c r="AC24" s="730"/>
      <c r="AD24" s="730"/>
      <c r="AE24" s="730"/>
      <c r="AF24" s="730"/>
      <c r="AG24" s="730"/>
      <c r="AH24" s="730"/>
      <c r="AI24" s="730"/>
      <c r="AJ24" s="730"/>
      <c r="AK24" s="730"/>
      <c r="AL24" s="730"/>
      <c r="AM24" s="730"/>
      <c r="AN24" s="731"/>
      <c r="AO24" s="728"/>
    </row>
    <row r="25" spans="2:43" s="717" customFormat="1" ht="15.95" customHeight="1">
      <c r="B25" s="716"/>
      <c r="C25" s="716"/>
      <c r="D25" s="2003" t="s">
        <v>2186</v>
      </c>
      <c r="E25" s="2004"/>
      <c r="F25" s="2004"/>
      <c r="G25" s="2004"/>
      <c r="H25" s="2004"/>
      <c r="I25" s="2004"/>
      <c r="J25" s="2004"/>
      <c r="K25" s="2004"/>
      <c r="L25" s="2004"/>
      <c r="M25" s="2004"/>
      <c r="N25" s="2004"/>
      <c r="O25" s="2004"/>
      <c r="P25" s="2004"/>
      <c r="Q25" s="2004"/>
      <c r="R25" s="2004"/>
      <c r="S25" s="2004"/>
      <c r="T25" s="2004"/>
      <c r="U25" s="2004"/>
      <c r="V25" s="2004"/>
      <c r="W25" s="2004"/>
      <c r="X25" s="2004"/>
      <c r="Y25" s="2004"/>
      <c r="Z25" s="2004"/>
      <c r="AA25" s="2004"/>
      <c r="AB25" s="2004"/>
      <c r="AC25" s="2004"/>
      <c r="AD25" s="2004"/>
      <c r="AE25" s="2004"/>
      <c r="AF25" s="2004"/>
      <c r="AG25" s="2004"/>
      <c r="AH25" s="2004"/>
      <c r="AI25" s="2004"/>
      <c r="AJ25" s="2004"/>
      <c r="AK25" s="2004"/>
      <c r="AL25" s="2004"/>
      <c r="AM25" s="2004"/>
      <c r="AN25" s="2005"/>
      <c r="AO25" s="716"/>
    </row>
    <row r="26" spans="2:43" ht="3" customHeight="1">
      <c r="D26" s="980"/>
      <c r="E26" s="726"/>
      <c r="F26" s="726"/>
      <c r="G26" s="726"/>
      <c r="H26" s="726"/>
      <c r="I26" s="726"/>
      <c r="J26" s="726"/>
      <c r="K26" s="726"/>
      <c r="L26" s="726"/>
      <c r="M26" s="726"/>
      <c r="N26" s="726"/>
      <c r="O26" s="726"/>
      <c r="P26" s="726"/>
      <c r="Q26" s="726"/>
      <c r="R26" s="726"/>
      <c r="S26" s="726"/>
      <c r="T26" s="726"/>
      <c r="U26" s="726"/>
      <c r="V26" s="726"/>
      <c r="W26" s="726"/>
      <c r="X26" s="726"/>
      <c r="Y26" s="726"/>
      <c r="Z26" s="726"/>
      <c r="AA26" s="726"/>
      <c r="AB26" s="726"/>
      <c r="AC26" s="726"/>
      <c r="AD26" s="726"/>
      <c r="AE26" s="726"/>
      <c r="AF26" s="726"/>
      <c r="AG26" s="726"/>
      <c r="AH26" s="726"/>
      <c r="AI26" s="726"/>
      <c r="AJ26" s="726"/>
      <c r="AK26" s="726"/>
      <c r="AL26" s="726"/>
      <c r="AM26" s="726"/>
      <c r="AN26" s="727"/>
      <c r="AP26" s="317"/>
      <c r="AQ26" s="317"/>
    </row>
    <row r="27" spans="2:43" ht="15" customHeight="1">
      <c r="D27" s="998"/>
      <c r="E27" s="1996" t="s">
        <v>2187</v>
      </c>
      <c r="F27" s="1996"/>
      <c r="G27" s="1996"/>
      <c r="H27" s="1996"/>
      <c r="I27" s="1996"/>
      <c r="J27" s="1996"/>
      <c r="K27" s="1996"/>
      <c r="L27" s="1996"/>
      <c r="M27" s="1996"/>
      <c r="N27" s="1996"/>
      <c r="O27" s="1996"/>
      <c r="P27" s="1996"/>
      <c r="Q27" s="1996"/>
      <c r="R27" s="1996"/>
      <c r="S27" s="1996"/>
      <c r="T27" s="1996"/>
      <c r="U27" s="1996"/>
      <c r="V27" s="1996"/>
      <c r="W27" s="1996"/>
      <c r="X27" s="1996"/>
      <c r="Y27" s="1996"/>
      <c r="Z27" s="1996"/>
      <c r="AA27" s="1996"/>
      <c r="AB27" s="1996"/>
      <c r="AC27" s="1996"/>
      <c r="AD27" s="1996"/>
      <c r="AE27" s="1996"/>
      <c r="AF27" s="1996"/>
      <c r="AG27" s="1996"/>
      <c r="AH27" s="1996"/>
      <c r="AI27" s="1996"/>
      <c r="AJ27" s="1996"/>
      <c r="AK27" s="1996"/>
      <c r="AL27" s="1996"/>
      <c r="AM27" s="1996"/>
      <c r="AN27" s="727"/>
    </row>
    <row r="28" spans="2:43" s="733" customFormat="1" ht="14.1" customHeight="1">
      <c r="B28" s="967"/>
      <c r="C28" s="967"/>
      <c r="D28" s="1994" t="s">
        <v>1822</v>
      </c>
      <c r="E28" s="1995"/>
      <c r="F28" s="2006" t="s">
        <v>2188</v>
      </c>
      <c r="G28" s="2006"/>
      <c r="H28" s="2006"/>
      <c r="I28" s="2006"/>
      <c r="J28" s="2006"/>
      <c r="K28" s="2006"/>
      <c r="L28" s="2006"/>
      <c r="M28" s="2006"/>
      <c r="N28" s="2006"/>
      <c r="O28" s="2006"/>
      <c r="P28" s="2006"/>
      <c r="Q28" s="2006"/>
      <c r="R28" s="2006"/>
      <c r="S28" s="2006"/>
      <c r="T28" s="2006"/>
      <c r="U28" s="2006"/>
      <c r="V28" s="2006"/>
      <c r="W28" s="2006"/>
      <c r="X28" s="2006"/>
      <c r="Y28" s="2006"/>
      <c r="Z28" s="2006"/>
      <c r="AA28" s="2006"/>
      <c r="AB28" s="2006"/>
      <c r="AC28" s="2006"/>
      <c r="AD28" s="2006"/>
      <c r="AE28" s="2006"/>
      <c r="AF28" s="2006"/>
      <c r="AG28" s="2006"/>
      <c r="AH28" s="2006"/>
      <c r="AI28" s="2006"/>
      <c r="AJ28" s="2006"/>
      <c r="AK28" s="2006"/>
      <c r="AL28" s="2006"/>
      <c r="AM28" s="2006"/>
      <c r="AN28" s="727"/>
      <c r="AO28" s="967"/>
    </row>
    <row r="29" spans="2:43" s="733" customFormat="1" ht="14.1" customHeight="1">
      <c r="B29" s="967"/>
      <c r="C29" s="967"/>
      <c r="D29" s="997"/>
      <c r="E29" s="996"/>
      <c r="F29" s="2006"/>
      <c r="G29" s="2006"/>
      <c r="H29" s="2006"/>
      <c r="I29" s="2006"/>
      <c r="J29" s="2006"/>
      <c r="K29" s="2006"/>
      <c r="L29" s="2006"/>
      <c r="M29" s="2006"/>
      <c r="N29" s="2006"/>
      <c r="O29" s="2006"/>
      <c r="P29" s="2006"/>
      <c r="Q29" s="2006"/>
      <c r="R29" s="2006"/>
      <c r="S29" s="2006"/>
      <c r="T29" s="2006"/>
      <c r="U29" s="2006"/>
      <c r="V29" s="2006"/>
      <c r="W29" s="2006"/>
      <c r="X29" s="2006"/>
      <c r="Y29" s="2006"/>
      <c r="Z29" s="2006"/>
      <c r="AA29" s="2006"/>
      <c r="AB29" s="2006"/>
      <c r="AC29" s="2006"/>
      <c r="AD29" s="2006"/>
      <c r="AE29" s="2006"/>
      <c r="AF29" s="2006"/>
      <c r="AG29" s="2006"/>
      <c r="AH29" s="2006"/>
      <c r="AI29" s="2006"/>
      <c r="AJ29" s="2006"/>
      <c r="AK29" s="2006"/>
      <c r="AL29" s="2006"/>
      <c r="AM29" s="2006"/>
      <c r="AN29" s="727"/>
      <c r="AO29" s="967"/>
    </row>
    <row r="30" spans="2:43" s="733" customFormat="1" ht="14.1" customHeight="1">
      <c r="B30" s="967"/>
      <c r="C30" s="967"/>
      <c r="D30" s="1994" t="s">
        <v>1823</v>
      </c>
      <c r="E30" s="1995"/>
      <c r="F30" s="1996" t="s">
        <v>2189</v>
      </c>
      <c r="G30" s="1996"/>
      <c r="H30" s="1996"/>
      <c r="I30" s="1996"/>
      <c r="J30" s="1996"/>
      <c r="K30" s="1996"/>
      <c r="L30" s="1996"/>
      <c r="M30" s="1996"/>
      <c r="N30" s="1996"/>
      <c r="O30" s="1996"/>
      <c r="P30" s="1996"/>
      <c r="Q30" s="1996"/>
      <c r="R30" s="1996"/>
      <c r="S30" s="1996"/>
      <c r="T30" s="1996"/>
      <c r="U30" s="1996"/>
      <c r="V30" s="1996"/>
      <c r="W30" s="1996"/>
      <c r="X30" s="1996"/>
      <c r="Y30" s="1996"/>
      <c r="Z30" s="1996"/>
      <c r="AA30" s="1996"/>
      <c r="AB30" s="1996"/>
      <c r="AC30" s="1996"/>
      <c r="AD30" s="1996"/>
      <c r="AE30" s="1996"/>
      <c r="AF30" s="1996"/>
      <c r="AG30" s="1996"/>
      <c r="AH30" s="1996"/>
      <c r="AI30" s="1996"/>
      <c r="AJ30" s="1996"/>
      <c r="AK30" s="1996"/>
      <c r="AL30" s="1996"/>
      <c r="AM30" s="1996"/>
      <c r="AN30" s="727"/>
      <c r="AO30" s="967"/>
    </row>
    <row r="31" spans="2:43" s="733" customFormat="1" ht="14.1" customHeight="1">
      <c r="B31" s="967"/>
      <c r="C31" s="967"/>
      <c r="D31" s="1994" t="s">
        <v>1880</v>
      </c>
      <c r="E31" s="1995"/>
      <c r="F31" s="1996" t="s">
        <v>2190</v>
      </c>
      <c r="G31" s="1996"/>
      <c r="H31" s="1996"/>
      <c r="I31" s="1996"/>
      <c r="J31" s="1996"/>
      <c r="K31" s="1996"/>
      <c r="L31" s="1996"/>
      <c r="M31" s="1996"/>
      <c r="N31" s="1996"/>
      <c r="O31" s="1996"/>
      <c r="P31" s="1996"/>
      <c r="Q31" s="1996"/>
      <c r="R31" s="1996"/>
      <c r="S31" s="1996"/>
      <c r="T31" s="1996"/>
      <c r="U31" s="1996"/>
      <c r="V31" s="1996"/>
      <c r="W31" s="1996"/>
      <c r="X31" s="1996"/>
      <c r="Y31" s="1996"/>
      <c r="Z31" s="1996"/>
      <c r="AA31" s="1996"/>
      <c r="AB31" s="1996"/>
      <c r="AC31" s="1996"/>
      <c r="AD31" s="1996"/>
      <c r="AE31" s="1996"/>
      <c r="AF31" s="1996"/>
      <c r="AG31" s="1996"/>
      <c r="AH31" s="1996"/>
      <c r="AI31" s="1996"/>
      <c r="AJ31" s="1996"/>
      <c r="AK31" s="1996"/>
      <c r="AL31" s="1996"/>
      <c r="AM31" s="1996"/>
      <c r="AN31" s="727"/>
      <c r="AO31" s="967"/>
    </row>
    <row r="32" spans="2:43" s="733" customFormat="1" ht="14.1" customHeight="1">
      <c r="B32" s="967"/>
      <c r="C32" s="967"/>
      <c r="D32" s="1994" t="s">
        <v>1882</v>
      </c>
      <c r="E32" s="1995"/>
      <c r="F32" s="1996" t="s">
        <v>2191</v>
      </c>
      <c r="G32" s="1996"/>
      <c r="H32" s="1996"/>
      <c r="I32" s="1996"/>
      <c r="J32" s="1996"/>
      <c r="K32" s="1996"/>
      <c r="L32" s="1996"/>
      <c r="M32" s="1996"/>
      <c r="N32" s="1996"/>
      <c r="O32" s="1996"/>
      <c r="P32" s="1996"/>
      <c r="Q32" s="1996"/>
      <c r="R32" s="1996"/>
      <c r="S32" s="1996"/>
      <c r="T32" s="1996"/>
      <c r="U32" s="1996"/>
      <c r="V32" s="1996"/>
      <c r="W32" s="1996"/>
      <c r="X32" s="1996"/>
      <c r="Y32" s="1996"/>
      <c r="Z32" s="1996"/>
      <c r="AA32" s="1996"/>
      <c r="AB32" s="1996"/>
      <c r="AC32" s="1996"/>
      <c r="AD32" s="1996"/>
      <c r="AE32" s="1996"/>
      <c r="AF32" s="1996"/>
      <c r="AG32" s="1996"/>
      <c r="AH32" s="1996"/>
      <c r="AI32" s="1996"/>
      <c r="AJ32" s="1996"/>
      <c r="AK32" s="1996"/>
      <c r="AL32" s="1996"/>
      <c r="AM32" s="1996"/>
      <c r="AN32" s="727"/>
      <c r="AO32" s="967"/>
    </row>
    <row r="33" spans="2:44" s="733" customFormat="1" ht="14.1" customHeight="1">
      <c r="B33" s="967"/>
      <c r="C33" s="967"/>
      <c r="D33" s="1994" t="s">
        <v>1884</v>
      </c>
      <c r="E33" s="1995"/>
      <c r="F33" s="1996" t="s">
        <v>2192</v>
      </c>
      <c r="G33" s="1996"/>
      <c r="H33" s="1996"/>
      <c r="I33" s="1996"/>
      <c r="J33" s="1996"/>
      <c r="K33" s="1996"/>
      <c r="L33" s="1996"/>
      <c r="M33" s="1996"/>
      <c r="N33" s="1996"/>
      <c r="O33" s="1996"/>
      <c r="P33" s="1996"/>
      <c r="Q33" s="1996"/>
      <c r="R33" s="1996"/>
      <c r="S33" s="1996"/>
      <c r="T33" s="1996"/>
      <c r="U33" s="1996"/>
      <c r="V33" s="1996"/>
      <c r="W33" s="1996"/>
      <c r="X33" s="1996"/>
      <c r="Y33" s="1996"/>
      <c r="Z33" s="1996"/>
      <c r="AA33" s="1996"/>
      <c r="AB33" s="1996"/>
      <c r="AC33" s="1996"/>
      <c r="AD33" s="1996"/>
      <c r="AE33" s="1996"/>
      <c r="AF33" s="1996"/>
      <c r="AG33" s="1996"/>
      <c r="AH33" s="1996"/>
      <c r="AI33" s="1996"/>
      <c r="AJ33" s="1996"/>
      <c r="AK33" s="1996"/>
      <c r="AL33" s="1996"/>
      <c r="AM33" s="1996"/>
      <c r="AN33" s="727"/>
      <c r="AO33" s="967"/>
    </row>
    <row r="34" spans="2:44" s="733" customFormat="1" ht="26.45" customHeight="1">
      <c r="B34" s="967"/>
      <c r="C34" s="967"/>
      <c r="D34" s="1994" t="s">
        <v>1886</v>
      </c>
      <c r="E34" s="1995"/>
      <c r="F34" s="1996" t="s">
        <v>2193</v>
      </c>
      <c r="G34" s="1996"/>
      <c r="H34" s="1996"/>
      <c r="I34" s="1996"/>
      <c r="J34" s="1996"/>
      <c r="K34" s="1996"/>
      <c r="L34" s="1996"/>
      <c r="M34" s="1996"/>
      <c r="N34" s="1996"/>
      <c r="O34" s="1996"/>
      <c r="P34" s="1996"/>
      <c r="Q34" s="1996"/>
      <c r="R34" s="1996"/>
      <c r="S34" s="1996"/>
      <c r="T34" s="1996"/>
      <c r="U34" s="1996"/>
      <c r="V34" s="1996"/>
      <c r="W34" s="1996"/>
      <c r="X34" s="1996"/>
      <c r="Y34" s="1996"/>
      <c r="Z34" s="1996"/>
      <c r="AA34" s="1996"/>
      <c r="AB34" s="1996"/>
      <c r="AC34" s="1996"/>
      <c r="AD34" s="1996"/>
      <c r="AE34" s="1996"/>
      <c r="AF34" s="1996"/>
      <c r="AG34" s="1996"/>
      <c r="AH34" s="1996"/>
      <c r="AI34" s="1996"/>
      <c r="AJ34" s="1996"/>
      <c r="AK34" s="1996"/>
      <c r="AL34" s="1996"/>
      <c r="AM34" s="1996"/>
      <c r="AN34" s="727"/>
      <c r="AO34" s="967"/>
    </row>
    <row r="35" spans="2:44" s="733" customFormat="1" ht="14.1" customHeight="1">
      <c r="B35" s="967"/>
      <c r="C35" s="967"/>
      <c r="D35" s="1994" t="s">
        <v>1888</v>
      </c>
      <c r="E35" s="1995"/>
      <c r="F35" s="1996" t="s">
        <v>2194</v>
      </c>
      <c r="G35" s="1996"/>
      <c r="H35" s="1996"/>
      <c r="I35" s="1996"/>
      <c r="J35" s="1996"/>
      <c r="K35" s="1996"/>
      <c r="L35" s="1996"/>
      <c r="M35" s="1996"/>
      <c r="N35" s="1996"/>
      <c r="O35" s="1996"/>
      <c r="P35" s="1996"/>
      <c r="Q35" s="1996"/>
      <c r="R35" s="1996"/>
      <c r="S35" s="1996"/>
      <c r="T35" s="1996"/>
      <c r="U35" s="1996"/>
      <c r="V35" s="1996"/>
      <c r="W35" s="1996"/>
      <c r="X35" s="1996"/>
      <c r="Y35" s="1996"/>
      <c r="Z35" s="1996"/>
      <c r="AA35" s="1996"/>
      <c r="AB35" s="1996"/>
      <c r="AC35" s="1996"/>
      <c r="AD35" s="1996"/>
      <c r="AE35" s="1996"/>
      <c r="AF35" s="1996"/>
      <c r="AG35" s="1996"/>
      <c r="AH35" s="1996"/>
      <c r="AI35" s="1996"/>
      <c r="AJ35" s="1996"/>
      <c r="AK35" s="1996"/>
      <c r="AL35" s="1996"/>
      <c r="AM35" s="1996"/>
      <c r="AN35" s="727"/>
      <c r="AO35" s="967"/>
    </row>
    <row r="36" spans="2:44" s="733" customFormat="1" ht="14.1" customHeight="1">
      <c r="B36" s="967"/>
      <c r="C36" s="967"/>
      <c r="D36" s="1994" t="s">
        <v>1890</v>
      </c>
      <c r="E36" s="1995"/>
      <c r="F36" s="1996" t="s">
        <v>2195</v>
      </c>
      <c r="G36" s="1996"/>
      <c r="H36" s="1996"/>
      <c r="I36" s="1996"/>
      <c r="J36" s="1996"/>
      <c r="K36" s="1996"/>
      <c r="L36" s="1996"/>
      <c r="M36" s="1996"/>
      <c r="N36" s="1996"/>
      <c r="O36" s="1996"/>
      <c r="P36" s="1996"/>
      <c r="Q36" s="1996"/>
      <c r="R36" s="1996"/>
      <c r="S36" s="1996"/>
      <c r="T36" s="1996"/>
      <c r="U36" s="1996"/>
      <c r="V36" s="1996"/>
      <c r="W36" s="1996"/>
      <c r="X36" s="1996"/>
      <c r="Y36" s="1996"/>
      <c r="Z36" s="1996"/>
      <c r="AA36" s="1996"/>
      <c r="AB36" s="1996"/>
      <c r="AC36" s="1996"/>
      <c r="AD36" s="1996"/>
      <c r="AE36" s="1996"/>
      <c r="AF36" s="1996"/>
      <c r="AG36" s="1996"/>
      <c r="AH36" s="1996"/>
      <c r="AI36" s="1996"/>
      <c r="AJ36" s="1996"/>
      <c r="AK36" s="1996"/>
      <c r="AL36" s="1996"/>
      <c r="AM36" s="1996"/>
      <c r="AN36" s="727"/>
      <c r="AO36" s="967"/>
    </row>
    <row r="37" spans="2:44" ht="15" hidden="1" customHeight="1">
      <c r="D37" s="997"/>
      <c r="E37" s="996"/>
      <c r="F37" s="734" t="s">
        <v>2196</v>
      </c>
      <c r="G37" s="1996" t="s">
        <v>2197</v>
      </c>
      <c r="H37" s="1996"/>
      <c r="I37" s="1996"/>
      <c r="J37" s="1996"/>
      <c r="K37" s="1996"/>
      <c r="L37" s="1996"/>
      <c r="M37" s="1996"/>
      <c r="N37" s="1996"/>
      <c r="O37" s="1996"/>
      <c r="P37" s="1996"/>
      <c r="Q37" s="1996"/>
      <c r="R37" s="1996"/>
      <c r="S37" s="1996"/>
      <c r="T37" s="1996"/>
      <c r="U37" s="1996"/>
      <c r="V37" s="1996"/>
      <c r="W37" s="1996"/>
      <c r="X37" s="1996"/>
      <c r="Y37" s="1996"/>
      <c r="Z37" s="1996"/>
      <c r="AA37" s="1996"/>
      <c r="AB37" s="1996"/>
      <c r="AC37" s="1996"/>
      <c r="AD37" s="1996"/>
      <c r="AE37" s="1996"/>
      <c r="AF37" s="1996"/>
      <c r="AG37" s="1996"/>
      <c r="AH37" s="1996"/>
      <c r="AI37" s="1996"/>
      <c r="AJ37" s="1996"/>
      <c r="AK37" s="1996"/>
      <c r="AL37" s="1996"/>
      <c r="AM37" s="1996"/>
      <c r="AN37" s="727"/>
    </row>
    <row r="38" spans="2:44" ht="27.6" hidden="1" customHeight="1">
      <c r="D38" s="997"/>
      <c r="E38" s="996"/>
      <c r="F38" s="734" t="s">
        <v>2196</v>
      </c>
      <c r="G38" s="1996" t="s">
        <v>2198</v>
      </c>
      <c r="H38" s="1996"/>
      <c r="I38" s="1996"/>
      <c r="J38" s="1996"/>
      <c r="K38" s="1996"/>
      <c r="L38" s="1996"/>
      <c r="M38" s="1996"/>
      <c r="N38" s="1996"/>
      <c r="O38" s="1996"/>
      <c r="P38" s="1996"/>
      <c r="Q38" s="1996"/>
      <c r="R38" s="1996"/>
      <c r="S38" s="1996"/>
      <c r="T38" s="1996"/>
      <c r="U38" s="1996"/>
      <c r="V38" s="1996"/>
      <c r="W38" s="1996"/>
      <c r="X38" s="1996"/>
      <c r="Y38" s="1996"/>
      <c r="Z38" s="1996"/>
      <c r="AA38" s="1996"/>
      <c r="AB38" s="1996"/>
      <c r="AC38" s="1996"/>
      <c r="AD38" s="1996"/>
      <c r="AE38" s="1996"/>
      <c r="AF38" s="1996"/>
      <c r="AG38" s="1996"/>
      <c r="AH38" s="1996"/>
      <c r="AI38" s="1996"/>
      <c r="AJ38" s="1996"/>
      <c r="AK38" s="1996"/>
      <c r="AL38" s="1996"/>
      <c r="AM38" s="1996"/>
      <c r="AN38" s="727"/>
    </row>
    <row r="39" spans="2:44" ht="15" hidden="1" customHeight="1">
      <c r="D39" s="997"/>
      <c r="E39" s="996"/>
      <c r="F39" s="734" t="s">
        <v>2196</v>
      </c>
      <c r="G39" s="1996" t="s">
        <v>2199</v>
      </c>
      <c r="H39" s="1996"/>
      <c r="I39" s="1996"/>
      <c r="J39" s="1996"/>
      <c r="K39" s="1996"/>
      <c r="L39" s="1996"/>
      <c r="M39" s="1996"/>
      <c r="N39" s="1996"/>
      <c r="O39" s="1996"/>
      <c r="P39" s="1996"/>
      <c r="Q39" s="1996"/>
      <c r="R39" s="1996"/>
      <c r="S39" s="1996"/>
      <c r="T39" s="1996"/>
      <c r="U39" s="1996"/>
      <c r="V39" s="1996"/>
      <c r="W39" s="1996"/>
      <c r="X39" s="1996"/>
      <c r="Y39" s="1996"/>
      <c r="Z39" s="1996"/>
      <c r="AA39" s="1996"/>
      <c r="AB39" s="1996"/>
      <c r="AC39" s="1996"/>
      <c r="AD39" s="1996"/>
      <c r="AE39" s="1996"/>
      <c r="AF39" s="1996"/>
      <c r="AG39" s="1996"/>
      <c r="AH39" s="1996"/>
      <c r="AI39" s="1996"/>
      <c r="AJ39" s="1996"/>
      <c r="AK39" s="1996"/>
      <c r="AL39" s="1996"/>
      <c r="AM39" s="1996"/>
      <c r="AN39" s="727"/>
    </row>
    <row r="40" spans="2:44" ht="15" hidden="1" customHeight="1">
      <c r="D40" s="997"/>
      <c r="E40" s="996"/>
      <c r="F40" s="734" t="s">
        <v>2196</v>
      </c>
      <c r="G40" s="1996" t="s">
        <v>2200</v>
      </c>
      <c r="H40" s="1996"/>
      <c r="I40" s="1996"/>
      <c r="J40" s="1996"/>
      <c r="K40" s="1996"/>
      <c r="L40" s="1996"/>
      <c r="M40" s="1996"/>
      <c r="N40" s="1996"/>
      <c r="O40" s="1996"/>
      <c r="P40" s="1996"/>
      <c r="Q40" s="1996"/>
      <c r="R40" s="1996"/>
      <c r="S40" s="1996"/>
      <c r="T40" s="1996"/>
      <c r="U40" s="1996"/>
      <c r="V40" s="1996"/>
      <c r="W40" s="1996"/>
      <c r="X40" s="1996"/>
      <c r="Y40" s="1996"/>
      <c r="Z40" s="1996"/>
      <c r="AA40" s="1996"/>
      <c r="AB40" s="1996"/>
      <c r="AC40" s="1996"/>
      <c r="AD40" s="1996"/>
      <c r="AE40" s="1996"/>
      <c r="AF40" s="1996"/>
      <c r="AG40" s="1996"/>
      <c r="AH40" s="1996"/>
      <c r="AI40" s="1996"/>
      <c r="AJ40" s="1996"/>
      <c r="AK40" s="1996"/>
      <c r="AL40" s="1996"/>
      <c r="AM40" s="1996"/>
      <c r="AN40" s="727"/>
    </row>
    <row r="41" spans="2:44" s="733" customFormat="1" ht="14.1" customHeight="1">
      <c r="B41" s="967"/>
      <c r="C41" s="967"/>
      <c r="D41" s="1994" t="s">
        <v>2184</v>
      </c>
      <c r="E41" s="1995"/>
      <c r="F41" s="1996" t="s">
        <v>2201</v>
      </c>
      <c r="G41" s="1996"/>
      <c r="H41" s="1996"/>
      <c r="I41" s="1996"/>
      <c r="J41" s="1996"/>
      <c r="K41" s="1996"/>
      <c r="L41" s="1996"/>
      <c r="M41" s="1996"/>
      <c r="N41" s="1996"/>
      <c r="O41" s="1996"/>
      <c r="P41" s="1996"/>
      <c r="Q41" s="1996"/>
      <c r="R41" s="1996"/>
      <c r="S41" s="1996"/>
      <c r="T41" s="1996"/>
      <c r="U41" s="1996"/>
      <c r="V41" s="1996"/>
      <c r="W41" s="1996"/>
      <c r="X41" s="1996"/>
      <c r="Y41" s="1996"/>
      <c r="Z41" s="1996"/>
      <c r="AA41" s="1996"/>
      <c r="AB41" s="1996"/>
      <c r="AC41" s="1996"/>
      <c r="AD41" s="1996"/>
      <c r="AE41" s="1996"/>
      <c r="AF41" s="1996"/>
      <c r="AG41" s="1996"/>
      <c r="AH41" s="1996"/>
      <c r="AI41" s="1996"/>
      <c r="AJ41" s="1996"/>
      <c r="AK41" s="1996"/>
      <c r="AL41" s="1996"/>
      <c r="AM41" s="1996"/>
      <c r="AN41" s="727"/>
      <c r="AO41" s="967"/>
    </row>
    <row r="42" spans="2:44" s="735" customFormat="1" ht="6" customHeight="1">
      <c r="B42" s="728"/>
      <c r="C42" s="728"/>
      <c r="D42" s="995"/>
      <c r="E42" s="994"/>
      <c r="F42" s="970"/>
      <c r="G42" s="970"/>
      <c r="H42" s="970"/>
      <c r="I42" s="970"/>
      <c r="J42" s="970"/>
      <c r="K42" s="970"/>
      <c r="L42" s="970"/>
      <c r="M42" s="970"/>
      <c r="N42" s="970"/>
      <c r="O42" s="970"/>
      <c r="P42" s="970"/>
      <c r="Q42" s="970"/>
      <c r="R42" s="970"/>
      <c r="S42" s="970"/>
      <c r="T42" s="970"/>
      <c r="U42" s="970"/>
      <c r="V42" s="970"/>
      <c r="W42" s="970"/>
      <c r="X42" s="970"/>
      <c r="Y42" s="970"/>
      <c r="Z42" s="970"/>
      <c r="AA42" s="970"/>
      <c r="AB42" s="970"/>
      <c r="AC42" s="970"/>
      <c r="AD42" s="970"/>
      <c r="AE42" s="970"/>
      <c r="AF42" s="970"/>
      <c r="AG42" s="970"/>
      <c r="AH42" s="970"/>
      <c r="AI42" s="970"/>
      <c r="AJ42" s="970"/>
      <c r="AK42" s="970"/>
      <c r="AL42" s="970"/>
      <c r="AM42" s="970"/>
      <c r="AN42" s="993"/>
      <c r="AO42" s="728"/>
    </row>
    <row r="43" spans="2:44" ht="20.100000000000001" customHeight="1">
      <c r="D43" s="2000" t="s">
        <v>1877</v>
      </c>
      <c r="E43" s="2001"/>
      <c r="F43" s="2001" t="s">
        <v>2202</v>
      </c>
      <c r="G43" s="2001"/>
      <c r="H43" s="2001"/>
      <c r="I43" s="2001"/>
      <c r="J43" s="2001"/>
      <c r="K43" s="2001"/>
      <c r="L43" s="2001"/>
      <c r="M43" s="2001"/>
      <c r="N43" s="2001"/>
      <c r="O43" s="2001"/>
      <c r="P43" s="2001"/>
      <c r="Q43" s="2001"/>
      <c r="R43" s="2001"/>
      <c r="S43" s="2001"/>
      <c r="T43" s="2001"/>
      <c r="U43" s="2001"/>
      <c r="V43" s="2001"/>
      <c r="W43" s="2001"/>
      <c r="X43" s="2001"/>
      <c r="Y43" s="2001"/>
      <c r="Z43" s="2001"/>
      <c r="AA43" s="2001"/>
      <c r="AB43" s="2001"/>
      <c r="AC43" s="2001"/>
      <c r="AD43" s="2001" t="s">
        <v>2203</v>
      </c>
      <c r="AE43" s="2001"/>
      <c r="AF43" s="2001"/>
      <c r="AG43" s="2001"/>
      <c r="AH43" s="2001"/>
      <c r="AI43" s="2001"/>
      <c r="AJ43" s="2001"/>
      <c r="AK43" s="2001"/>
      <c r="AL43" s="2001"/>
      <c r="AM43" s="2001"/>
      <c r="AN43" s="2002"/>
    </row>
    <row r="44" spans="2:44" ht="5.25" customHeight="1">
      <c r="D44" s="1997"/>
      <c r="E44" s="1998"/>
      <c r="F44" s="1997"/>
      <c r="G44" s="1999"/>
      <c r="H44" s="1999"/>
      <c r="I44" s="1999"/>
      <c r="J44" s="1999"/>
      <c r="K44" s="1999"/>
      <c r="L44" s="1999"/>
      <c r="M44" s="1999"/>
      <c r="N44" s="1999"/>
      <c r="O44" s="1999"/>
      <c r="P44" s="1999"/>
      <c r="Q44" s="1999"/>
      <c r="R44" s="1999"/>
      <c r="S44" s="1999"/>
      <c r="T44" s="1999"/>
      <c r="U44" s="1999"/>
      <c r="V44" s="1999"/>
      <c r="W44" s="1999"/>
      <c r="X44" s="1999"/>
      <c r="Y44" s="1999"/>
      <c r="Z44" s="1999"/>
      <c r="AA44" s="1999"/>
      <c r="AB44" s="1999"/>
      <c r="AC44" s="1998"/>
      <c r="AD44" s="1997"/>
      <c r="AE44" s="1999"/>
      <c r="AF44" s="1999"/>
      <c r="AG44" s="1999"/>
      <c r="AH44" s="1999"/>
      <c r="AI44" s="1999"/>
      <c r="AJ44" s="1999"/>
      <c r="AK44" s="1999"/>
      <c r="AL44" s="1999"/>
      <c r="AM44" s="1999"/>
      <c r="AN44" s="1998"/>
    </row>
    <row r="45" spans="2:44" ht="15" customHeight="1">
      <c r="D45" s="1991" t="s">
        <v>1822</v>
      </c>
      <c r="E45" s="1992"/>
      <c r="F45" s="978"/>
      <c r="G45" s="736" t="str">
        <f>+Entry!L4</f>
        <v>Ir. Usep Delianta Prawira, MAPPI (Cert.)</v>
      </c>
      <c r="H45" s="737"/>
      <c r="I45" s="737"/>
      <c r="J45" s="737"/>
      <c r="K45" s="737"/>
      <c r="L45" s="738"/>
      <c r="M45" s="738"/>
      <c r="N45" s="738"/>
      <c r="O45" s="738"/>
      <c r="P45" s="738"/>
      <c r="Q45" s="738"/>
      <c r="R45" s="738"/>
      <c r="S45" s="739"/>
      <c r="T45" s="740" t="s">
        <v>2204</v>
      </c>
      <c r="U45" s="966"/>
      <c r="V45" s="966"/>
      <c r="W45" s="966"/>
      <c r="X45" s="741"/>
      <c r="Y45" s="742"/>
      <c r="Z45" s="742"/>
      <c r="AA45" s="742"/>
      <c r="AB45" s="742"/>
      <c r="AC45" s="965"/>
      <c r="AD45" s="989"/>
      <c r="AE45" s="742"/>
      <c r="AF45" s="742"/>
      <c r="AG45" s="742"/>
      <c r="AH45" s="742"/>
      <c r="AI45" s="742"/>
      <c r="AJ45" s="742"/>
      <c r="AK45" s="742"/>
      <c r="AL45" s="742"/>
      <c r="AM45" s="742"/>
      <c r="AN45" s="965"/>
    </row>
    <row r="46" spans="2:44" ht="13.5" customHeight="1">
      <c r="D46" s="983"/>
      <c r="E46" s="987"/>
      <c r="F46" s="986"/>
      <c r="G46" s="985" t="str">
        <f>Entry!S126</f>
        <v>MAPPI No.: 95-S-00575</v>
      </c>
      <c r="H46" s="982"/>
      <c r="I46" s="982"/>
      <c r="J46" s="982"/>
      <c r="K46" s="982"/>
      <c r="L46" s="982"/>
      <c r="M46" s="982"/>
      <c r="N46" s="982"/>
      <c r="O46" s="982"/>
      <c r="P46" s="982"/>
      <c r="Q46" s="982"/>
      <c r="R46" s="982"/>
      <c r="S46" s="982"/>
      <c r="T46" s="971"/>
      <c r="U46" s="971"/>
      <c r="V46" s="982"/>
      <c r="W46" s="982"/>
      <c r="X46" s="982"/>
      <c r="Y46" s="991"/>
      <c r="Z46" s="991"/>
      <c r="AA46" s="991"/>
      <c r="AB46" s="991"/>
      <c r="AC46" s="990"/>
      <c r="AD46" s="992"/>
      <c r="AE46" s="991"/>
      <c r="AF46" s="991"/>
      <c r="AG46" s="991"/>
      <c r="AH46" s="991"/>
      <c r="AI46" s="991"/>
      <c r="AJ46" s="991"/>
      <c r="AK46" s="991"/>
      <c r="AL46" s="991"/>
      <c r="AM46" s="991"/>
      <c r="AN46" s="990"/>
    </row>
    <row r="47" spans="2:44" ht="3" customHeight="1">
      <c r="D47" s="989"/>
      <c r="E47" s="965"/>
      <c r="F47" s="989"/>
      <c r="G47" s="742"/>
      <c r="H47" s="742"/>
      <c r="I47" s="742"/>
      <c r="J47" s="742"/>
      <c r="K47" s="742"/>
      <c r="L47" s="742"/>
      <c r="M47" s="742"/>
      <c r="N47" s="742"/>
      <c r="O47" s="742"/>
      <c r="P47" s="742"/>
      <c r="Q47" s="742"/>
      <c r="R47" s="742"/>
      <c r="S47" s="742"/>
      <c r="T47" s="742"/>
      <c r="U47" s="742"/>
      <c r="V47" s="742"/>
      <c r="W47" s="742"/>
      <c r="X47" s="742"/>
      <c r="Y47" s="742"/>
      <c r="Z47" s="742"/>
      <c r="AA47" s="742"/>
      <c r="AB47" s="742"/>
      <c r="AC47" s="965"/>
      <c r="AD47" s="989"/>
      <c r="AE47" s="742"/>
      <c r="AF47" s="742"/>
      <c r="AG47" s="742"/>
      <c r="AH47" s="742"/>
      <c r="AI47" s="742"/>
      <c r="AJ47" s="742"/>
      <c r="AK47" s="742"/>
      <c r="AL47" s="742"/>
      <c r="AM47" s="742"/>
      <c r="AN47" s="965"/>
    </row>
    <row r="48" spans="2:44" s="342" customFormat="1" ht="15.95" customHeight="1">
      <c r="B48" s="305"/>
      <c r="C48" s="305"/>
      <c r="D48" s="1993" t="s">
        <v>1823</v>
      </c>
      <c r="E48" s="1992"/>
      <c r="F48" s="978"/>
      <c r="G48" s="736" t="str">
        <f>Entry!L5</f>
        <v>Moh. Sugianto. SE.</v>
      </c>
      <c r="H48" s="737"/>
      <c r="I48" s="737"/>
      <c r="J48" s="737"/>
      <c r="K48" s="737"/>
      <c r="L48" s="737"/>
      <c r="M48" s="737"/>
      <c r="N48" s="737"/>
      <c r="O48" s="737"/>
      <c r="P48" s="737"/>
      <c r="Q48" s="737"/>
      <c r="R48" s="737"/>
      <c r="S48" s="737"/>
      <c r="T48" s="743" t="s">
        <v>2206</v>
      </c>
      <c r="U48" s="966"/>
      <c r="V48" s="966"/>
      <c r="W48" s="966"/>
      <c r="X48" s="743"/>
      <c r="Y48" s="743"/>
      <c r="Z48" s="741"/>
      <c r="AA48" s="741"/>
      <c r="AB48" s="741"/>
      <c r="AC48" s="744"/>
      <c r="AD48" s="988"/>
      <c r="AE48" s="745"/>
      <c r="AF48" s="745"/>
      <c r="AG48" s="745"/>
      <c r="AH48" s="745"/>
      <c r="AI48" s="745"/>
      <c r="AJ48" s="745"/>
      <c r="AK48" s="745"/>
      <c r="AL48" s="745"/>
      <c r="AM48" s="745"/>
      <c r="AN48" s="746"/>
      <c r="AO48" s="305"/>
      <c r="AR48" s="706" t="s">
        <v>2387</v>
      </c>
    </row>
    <row r="49" spans="2:47" s="747" customFormat="1" ht="18" customHeight="1">
      <c r="B49" s="728"/>
      <c r="C49" s="728"/>
      <c r="D49" s="983"/>
      <c r="E49" s="987"/>
      <c r="F49" s="986"/>
      <c r="G49" s="985" t="s">
        <v>2207</v>
      </c>
      <c r="H49" s="984"/>
      <c r="I49" s="984"/>
      <c r="J49" s="984"/>
      <c r="K49" s="984"/>
      <c r="L49" s="984"/>
      <c r="M49" s="984"/>
      <c r="N49" s="984"/>
      <c r="O49" s="984"/>
      <c r="P49" s="984"/>
      <c r="Q49" s="984"/>
      <c r="R49" s="984"/>
      <c r="S49" s="984"/>
      <c r="T49" s="972"/>
      <c r="U49" s="972"/>
      <c r="V49" s="984"/>
      <c r="W49" s="984"/>
      <c r="X49" s="984"/>
      <c r="Y49" s="984"/>
      <c r="Z49" s="982"/>
      <c r="AA49" s="982"/>
      <c r="AB49" s="982"/>
      <c r="AC49" s="981"/>
      <c r="AD49" s="983"/>
      <c r="AE49" s="982"/>
      <c r="AF49" s="982"/>
      <c r="AG49" s="982"/>
      <c r="AH49" s="982"/>
      <c r="AI49" s="982"/>
      <c r="AJ49" s="982"/>
      <c r="AK49" s="982"/>
      <c r="AL49" s="982"/>
      <c r="AM49" s="982"/>
      <c r="AN49" s="981"/>
      <c r="AO49" s="728"/>
      <c r="AR49" s="706" t="s">
        <v>2022</v>
      </c>
    </row>
    <row r="50" spans="2:47" ht="3.75" customHeight="1">
      <c r="D50" s="979"/>
      <c r="E50" s="727"/>
      <c r="F50" s="980"/>
      <c r="G50" s="748"/>
      <c r="H50" s="748"/>
      <c r="I50" s="748"/>
      <c r="J50" s="748"/>
      <c r="K50" s="748"/>
      <c r="L50" s="748"/>
      <c r="M50" s="748"/>
      <c r="N50" s="748"/>
      <c r="O50" s="748"/>
      <c r="P50" s="748"/>
      <c r="Q50" s="748"/>
      <c r="R50" s="748"/>
      <c r="S50" s="748"/>
      <c r="T50" s="317"/>
      <c r="U50" s="317"/>
      <c r="V50" s="748"/>
      <c r="W50" s="748"/>
      <c r="X50" s="748"/>
      <c r="Y50" s="748"/>
      <c r="Z50" s="748"/>
      <c r="AA50" s="748"/>
      <c r="AB50" s="748"/>
      <c r="AC50" s="749"/>
      <c r="AD50" s="979"/>
      <c r="AE50" s="748"/>
      <c r="AF50" s="748"/>
      <c r="AG50" s="748"/>
      <c r="AH50" s="748"/>
      <c r="AI50" s="748"/>
      <c r="AJ50" s="748"/>
      <c r="AK50" s="748"/>
      <c r="AL50" s="748"/>
      <c r="AM50" s="748"/>
      <c r="AN50" s="749"/>
    </row>
    <row r="51" spans="2:47" s="674" customFormat="1" ht="15.95" customHeight="1">
      <c r="B51" s="750"/>
      <c r="C51" s="750"/>
      <c r="D51" s="1993" t="s">
        <v>1880</v>
      </c>
      <c r="E51" s="1992"/>
      <c r="F51" s="978"/>
      <c r="G51" s="736" t="str">
        <f>Entry!L6</f>
        <v>Rizky Pujakesuma</v>
      </c>
      <c r="H51" s="737"/>
      <c r="I51" s="737"/>
      <c r="J51" s="737"/>
      <c r="K51" s="737"/>
      <c r="L51" s="738"/>
      <c r="M51" s="738"/>
      <c r="N51" s="738"/>
      <c r="O51" s="738"/>
      <c r="P51" s="738"/>
      <c r="Q51" s="738"/>
      <c r="R51" s="738"/>
      <c r="S51" s="739"/>
      <c r="T51" s="740" t="s">
        <v>2208</v>
      </c>
      <c r="U51" s="966"/>
      <c r="V51" s="966"/>
      <c r="W51" s="966"/>
      <c r="X51" s="741"/>
      <c r="Y51" s="741"/>
      <c r="Z51" s="743"/>
      <c r="AA51" s="743"/>
      <c r="AB51" s="743"/>
      <c r="AC51" s="751"/>
      <c r="AD51" s="977"/>
      <c r="AE51" s="737"/>
      <c r="AF51" s="737"/>
      <c r="AG51" s="737"/>
      <c r="AH51" s="737"/>
      <c r="AI51" s="737"/>
      <c r="AJ51" s="737"/>
      <c r="AK51" s="737"/>
      <c r="AL51" s="737"/>
      <c r="AM51" s="737"/>
      <c r="AN51" s="752"/>
      <c r="AO51" s="750"/>
    </row>
    <row r="52" spans="2:47" s="735" customFormat="1" ht="15" customHeight="1">
      <c r="B52" s="728"/>
      <c r="C52" s="728"/>
      <c r="D52" s="975"/>
      <c r="E52" s="753"/>
      <c r="F52" s="976"/>
      <c r="G52" s="1030" t="str">
        <f>Entry!L7</f>
        <v>MAPPI No.: 17-P-07130</v>
      </c>
      <c r="H52" s="754"/>
      <c r="I52" s="754"/>
      <c r="J52" s="754"/>
      <c r="K52" s="754"/>
      <c r="L52" s="754"/>
      <c r="M52" s="754"/>
      <c r="N52" s="754"/>
      <c r="O52" s="754"/>
      <c r="P52" s="754"/>
      <c r="Q52" s="754"/>
      <c r="R52" s="754"/>
      <c r="S52" s="754"/>
      <c r="T52" s="728"/>
      <c r="U52" s="728"/>
      <c r="V52" s="754"/>
      <c r="W52" s="754"/>
      <c r="X52" s="754"/>
      <c r="Y52" s="754"/>
      <c r="Z52" s="419"/>
      <c r="AA52" s="419"/>
      <c r="AB52" s="419"/>
      <c r="AC52" s="755"/>
      <c r="AD52" s="975"/>
      <c r="AE52" s="419"/>
      <c r="AF52" s="419"/>
      <c r="AG52" s="419"/>
      <c r="AH52" s="419"/>
      <c r="AI52" s="419"/>
      <c r="AJ52" s="419"/>
      <c r="AK52" s="419"/>
      <c r="AL52" s="419"/>
      <c r="AM52" s="419"/>
      <c r="AN52" s="755"/>
      <c r="AO52" s="728"/>
    </row>
    <row r="53" spans="2:47" ht="3.95" customHeight="1">
      <c r="D53" s="974"/>
      <c r="E53" s="921"/>
      <c r="F53" s="974"/>
      <c r="G53" s="973"/>
      <c r="H53" s="973"/>
      <c r="I53" s="973"/>
      <c r="J53" s="973"/>
      <c r="K53" s="973"/>
      <c r="L53" s="973"/>
      <c r="M53" s="973"/>
      <c r="N53" s="973"/>
      <c r="O53" s="973"/>
      <c r="P53" s="973"/>
      <c r="Q53" s="973"/>
      <c r="R53" s="973"/>
      <c r="S53" s="973"/>
      <c r="T53" s="973"/>
      <c r="U53" s="973"/>
      <c r="V53" s="973"/>
      <c r="W53" s="973"/>
      <c r="X53" s="973"/>
      <c r="Y53" s="973"/>
      <c r="Z53" s="973"/>
      <c r="AA53" s="973"/>
      <c r="AB53" s="973"/>
      <c r="AC53" s="921"/>
      <c r="AD53" s="974"/>
      <c r="AE53" s="973"/>
      <c r="AF53" s="973"/>
      <c r="AG53" s="973"/>
      <c r="AH53" s="973"/>
      <c r="AI53" s="973"/>
      <c r="AJ53" s="973"/>
      <c r="AK53" s="973"/>
      <c r="AL53" s="973"/>
      <c r="AM53" s="973"/>
      <c r="AN53" s="921"/>
    </row>
    <row r="54" spans="2:47" ht="22.5" customHeight="1" thickBot="1">
      <c r="D54" s="726"/>
      <c r="E54" s="726"/>
      <c r="F54" s="726"/>
      <c r="G54" s="726"/>
      <c r="H54" s="726"/>
      <c r="I54" s="726"/>
      <c r="J54" s="726"/>
      <c r="K54" s="726"/>
      <c r="L54" s="726"/>
      <c r="M54" s="726"/>
      <c r="N54" s="726"/>
      <c r="O54" s="726"/>
      <c r="P54" s="726"/>
      <c r="Q54" s="726"/>
      <c r="R54" s="726"/>
      <c r="S54" s="726"/>
      <c r="T54" s="726"/>
      <c r="U54" s="726"/>
      <c r="V54" s="726"/>
      <c r="W54" s="726"/>
      <c r="X54" s="726"/>
      <c r="Y54" s="726"/>
      <c r="Z54" s="726"/>
      <c r="AA54" s="726"/>
      <c r="AB54" s="726"/>
      <c r="AC54" s="726"/>
      <c r="AD54" s="726"/>
      <c r="AE54" s="726"/>
      <c r="AF54" s="726"/>
      <c r="AG54" s="726"/>
      <c r="AH54" s="726"/>
      <c r="AI54" s="726"/>
      <c r="AJ54" s="726"/>
      <c r="AK54" s="726"/>
      <c r="AL54" s="726"/>
      <c r="AM54" s="726"/>
      <c r="AN54" s="726"/>
    </row>
    <row r="55" spans="2:47" s="388" customFormat="1" ht="14.1" customHeight="1" thickBot="1">
      <c r="B55" s="383"/>
      <c r="C55" s="383"/>
      <c r="D55" s="383"/>
      <c r="E55" s="383"/>
      <c r="F55" s="383"/>
      <c r="G55" s="383"/>
      <c r="H55" s="383"/>
      <c r="I55" s="383"/>
      <c r="J55" s="383"/>
      <c r="K55" s="383"/>
      <c r="L55" s="383"/>
      <c r="M55" s="383"/>
      <c r="N55" s="383"/>
      <c r="O55" s="383"/>
      <c r="P55" s="383"/>
      <c r="Q55" s="383"/>
      <c r="R55" s="383"/>
      <c r="S55" s="383"/>
      <c r="T55" s="383"/>
      <c r="U55" s="383"/>
      <c r="V55" s="383"/>
      <c r="W55" s="383"/>
      <c r="X55" s="383"/>
      <c r="Y55" s="383"/>
      <c r="Z55" s="383"/>
      <c r="AA55" s="383"/>
      <c r="AB55" s="383"/>
      <c r="AC55" s="383"/>
      <c r="AD55" s="383"/>
      <c r="AE55" s="383"/>
      <c r="AF55" s="383"/>
      <c r="AG55" s="383"/>
      <c r="AH55" s="383"/>
      <c r="AI55" s="383"/>
      <c r="AJ55" s="384"/>
      <c r="AK55" s="384"/>
      <c r="AL55" s="384"/>
      <c r="AM55" s="385"/>
      <c r="AN55" s="384" t="str">
        <f>CONCATENATE("Hal - ",AQ55,"  dari  ",AT55)</f>
        <v>Hal - 3  dari  10</v>
      </c>
      <c r="AO55" s="385"/>
      <c r="AQ55" s="1881">
        <f>'Surat-02'!AP66+1</f>
        <v>3</v>
      </c>
      <c r="AR55" s="1882"/>
      <c r="AS55" s="387" t="s">
        <v>3</v>
      </c>
      <c r="AT55" s="1881">
        <f>'Surat-01'!$AW$55</f>
        <v>10</v>
      </c>
      <c r="AU55" s="1882"/>
    </row>
    <row r="56" spans="2:47" ht="14.1" customHeight="1"/>
    <row r="57" spans="2:47" ht="14.1" customHeight="1"/>
    <row r="58" spans="2:47" ht="14.1" customHeight="1"/>
  </sheetData>
  <sheetProtection formatCells="0" formatColumns="0" formatRows="0" insertColumns="0" insertRows="0" insertHyperlinks="0" deleteColumns="0" deleteRows="0" sort="0" autoFilter="0" pivotTables="0"/>
  <protectedRanges>
    <protectedRange sqref="P42 P23:P24 P27 P37:P40" name="Range2_1_2_1_1_3"/>
    <protectedRange sqref="Q48 Q43 AC43:AC52" name="Range2_1_2_1_1_1_1"/>
    <protectedRange sqref="G44 G47" name="Range1_1_1"/>
    <protectedRange sqref="Q52 Q46 Q49:Q50" name="Range2_1_2_1_1_1_1_1"/>
    <protectedRange sqref="P21:P22 BL15 Q15:Q17 AC15:AC17 P28:P36 P41 BA11 BL11 BA15" name="Range2_1_2_1_1_3_1"/>
  </protectedRanges>
  <dataConsolidate/>
  <mergeCells count="62">
    <mergeCell ref="D3:AN3"/>
    <mergeCell ref="F5:AM5"/>
    <mergeCell ref="F6:AM6"/>
    <mergeCell ref="F7:AM7"/>
    <mergeCell ref="D9:AN9"/>
    <mergeCell ref="E11:AM11"/>
    <mergeCell ref="AQ11:BW11"/>
    <mergeCell ref="D13:AN13"/>
    <mergeCell ref="D15:E15"/>
    <mergeCell ref="F15:AM15"/>
    <mergeCell ref="AQ15:BW15"/>
    <mergeCell ref="D17:E17"/>
    <mergeCell ref="F17:AM17"/>
    <mergeCell ref="D16:E16"/>
    <mergeCell ref="F16:AM16"/>
    <mergeCell ref="D18:E18"/>
    <mergeCell ref="F18:AM18"/>
    <mergeCell ref="D19:E19"/>
    <mergeCell ref="F19:AM19"/>
    <mergeCell ref="D20:E20"/>
    <mergeCell ref="F20:AM20"/>
    <mergeCell ref="D21:E21"/>
    <mergeCell ref="F21:AM21"/>
    <mergeCell ref="D22:E22"/>
    <mergeCell ref="F22:AM22"/>
    <mergeCell ref="D23:E23"/>
    <mergeCell ref="F23:AM23"/>
    <mergeCell ref="D25:AN25"/>
    <mergeCell ref="E27:AM27"/>
    <mergeCell ref="D28:E28"/>
    <mergeCell ref="D30:E30"/>
    <mergeCell ref="F30:AM30"/>
    <mergeCell ref="F28:AM29"/>
    <mergeCell ref="G40:AM40"/>
    <mergeCell ref="D41:E41"/>
    <mergeCell ref="F41:AM41"/>
    <mergeCell ref="D31:E31"/>
    <mergeCell ref="F31:AM31"/>
    <mergeCell ref="D32:E32"/>
    <mergeCell ref="F32:AM32"/>
    <mergeCell ref="D33:E33"/>
    <mergeCell ref="F33:AM33"/>
    <mergeCell ref="D44:E44"/>
    <mergeCell ref="F44:AC44"/>
    <mergeCell ref="AD44:AN44"/>
    <mergeCell ref="D36:E36"/>
    <mergeCell ref="F36:AM36"/>
    <mergeCell ref="G37:AM37"/>
    <mergeCell ref="D43:E43"/>
    <mergeCell ref="F43:AC43"/>
    <mergeCell ref="AD43:AN43"/>
    <mergeCell ref="G39:AM39"/>
    <mergeCell ref="D45:E45"/>
    <mergeCell ref="D48:E48"/>
    <mergeCell ref="D51:E51"/>
    <mergeCell ref="AQ55:AR55"/>
    <mergeCell ref="AT55:AU55"/>
    <mergeCell ref="D34:E34"/>
    <mergeCell ref="F34:AM34"/>
    <mergeCell ref="D35:E35"/>
    <mergeCell ref="F35:AM35"/>
    <mergeCell ref="G38:AM38"/>
  </mergeCells>
  <dataValidations count="2">
    <dataValidation operator="lessThan" allowBlank="1" showInputMessage="1" showErrorMessage="1" sqref="AJ55:AL55 AQ55 AN55 CC42:IV54 AS42:CB42 AP37:IV40 AP27:IV27 AP20:IV24 AT55 AP42:AQ54 AR42:AR47 AR50:AR54 X48:AC49 X51:AC52 V52:W52 E46 V46:W46 X45:X46 T45 G45:S46 F43:F52 D43:D52 T48 A20:C24 A37:C40 A27:C27 G48:S52 A42:C54 AE48:AN52 AD43:AD52 E49:E52 AE43:AN43 G43:AC43 E43 V49:W49 T51 V50:AC50"/>
    <dataValidation type="whole" operator="lessThan" allowBlank="1" showInputMessage="1" showErrorMessage="1" sqref="AO42:AO54 AO27 AO19:AO24 AO37:AO40 D55:AF55">
      <formula1>-5</formula1>
    </dataValidation>
  </dataValidations>
  <pageMargins left="0.27" right="0" top="0" bottom="0.196850393700787" header="0.31496062992126" footer="0"/>
  <pageSetup paperSize="9" scale="9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147</vt:i4>
      </vt:variant>
    </vt:vector>
  </HeadingPairs>
  <TitlesOfParts>
    <vt:vector size="163" baseType="lpstr">
      <vt:lpstr>SOURCE</vt:lpstr>
      <vt:lpstr>resume</vt:lpstr>
      <vt:lpstr>Entry</vt:lpstr>
      <vt:lpstr>DB</vt:lpstr>
      <vt:lpstr>BTB</vt:lpstr>
      <vt:lpstr>BCT</vt:lpstr>
      <vt:lpstr>Surat-01</vt:lpstr>
      <vt:lpstr>Surat-02</vt:lpstr>
      <vt:lpstr>Asumtas</vt:lpstr>
      <vt:lpstr>Tnh</vt:lpstr>
      <vt:lpstr>B1</vt:lpstr>
      <vt:lpstr>DB-PRINT</vt:lpstr>
      <vt:lpstr>BCT-PRINT</vt:lpstr>
      <vt:lpstr>Foto</vt:lpstr>
      <vt:lpstr>Gbr-Peta</vt:lpstr>
      <vt:lpstr>CVR</vt:lpstr>
      <vt:lpstr>'Surat-01'!_Toc397012609</vt:lpstr>
      <vt:lpstr>ARSITEKTUR_BANGUNAN</vt:lpstr>
      <vt:lpstr>BANK_PEMBERI_TUGAS</vt:lpstr>
      <vt:lpstr>DINDING_GDG_4LT</vt:lpstr>
      <vt:lpstr>DINDING_GDG_8LT</vt:lpstr>
      <vt:lpstr>DINDING_GDG_9LT</vt:lpstr>
      <vt:lpstr>DINDING_GUDANG</vt:lpstr>
      <vt:lpstr>DINDING_RT_MNG</vt:lpstr>
      <vt:lpstr>DINDING_RT_MWH</vt:lpstr>
      <vt:lpstr>DINDING_RT_SDN</vt:lpstr>
      <vt:lpstr>DINDING_SEMI_P</vt:lpstr>
      <vt:lpstr>HBU</vt:lpstr>
      <vt:lpstr>INDEKS_MATERIAL_GDG_4LT</vt:lpstr>
      <vt:lpstr>INDEKS_MATERIAL_GDG_8LT</vt:lpstr>
      <vt:lpstr>INDEKS_MATERIAL_GDG_9LT</vt:lpstr>
      <vt:lpstr>INDEKS_MATERIAL_GUDANG</vt:lpstr>
      <vt:lpstr>INDEKS_MATERIAL_RT_MNG</vt:lpstr>
      <vt:lpstr>INDEKS_MATERIAL_RT_MWH</vt:lpstr>
      <vt:lpstr>INDEKS_MATERIAL_RT_SDN</vt:lpstr>
      <vt:lpstr>INDEKS_MATERIAL_SEMI_P</vt:lpstr>
      <vt:lpstr>JENIS_IMB</vt:lpstr>
      <vt:lpstr>JUMLAH_LANTAI</vt:lpstr>
      <vt:lpstr>KONDISI_KESESUAIAN</vt:lpstr>
      <vt:lpstr>LANTAI_GDG_4LT</vt:lpstr>
      <vt:lpstr>LANTAI_GDG_8LT</vt:lpstr>
      <vt:lpstr>LANTAI_GDG_9LT</vt:lpstr>
      <vt:lpstr>LANTAI_GUDANG</vt:lpstr>
      <vt:lpstr>LANTAI_MEZZANINE</vt:lpstr>
      <vt:lpstr>LANTAI_RT_MNG</vt:lpstr>
      <vt:lpstr>LANTAI_RT_MWH</vt:lpstr>
      <vt:lpstr>LANTAI_RT_SDN</vt:lpstr>
      <vt:lpstr>LANTAI_SEMI_P</vt:lpstr>
      <vt:lpstr>LETAK___POSISI_TANAH</vt:lpstr>
      <vt:lpstr>MATA_ANGIN</vt:lpstr>
      <vt:lpstr>NAMA_PROVINSI</vt:lpstr>
      <vt:lpstr>PENGGUNAAN_BANGUNAN</vt:lpstr>
      <vt:lpstr>PENGGUNAAN_OBYEK</vt:lpstr>
      <vt:lpstr>PENUTUP_ATAP_GDG_4LT</vt:lpstr>
      <vt:lpstr>PENUTUP_ATAP_GDG_8LT</vt:lpstr>
      <vt:lpstr>PENUTUP_ATAP_GDG_9LT</vt:lpstr>
      <vt:lpstr>PENUTUP_ATAP_GUDANG</vt:lpstr>
      <vt:lpstr>PENUTUP_ATAP_RT_MNG</vt:lpstr>
      <vt:lpstr>PENUTUP_ATAP_RT_MWH</vt:lpstr>
      <vt:lpstr>PENUTUP_ATAP_RT_SDN</vt:lpstr>
      <vt:lpstr>PENUTUP_ATAP_SEMI_P</vt:lpstr>
      <vt:lpstr>PERUNTUKAN___ZONING</vt:lpstr>
      <vt:lpstr>PINTU___JENDELA_GDG_4LT</vt:lpstr>
      <vt:lpstr>PINTU___JENDELA_GDG_8LT</vt:lpstr>
      <vt:lpstr>PINTU___JENDELA_GDG_9LT</vt:lpstr>
      <vt:lpstr>PINTU___JENDELA_GUDANG</vt:lpstr>
      <vt:lpstr>PINTU___JENDELA_RT_MNG</vt:lpstr>
      <vt:lpstr>PINTU___JENDELA_RT_MWH</vt:lpstr>
      <vt:lpstr>PINTU___JENDELA_RT_SDN</vt:lpstr>
      <vt:lpstr>PINTU___JENDELA_SEMI_P</vt:lpstr>
      <vt:lpstr>PLAFON_GDG_4LT</vt:lpstr>
      <vt:lpstr>PLAFON_GDG_8LT</vt:lpstr>
      <vt:lpstr>PLAFON_GDG_9LT</vt:lpstr>
      <vt:lpstr>PLAFON_GUDANG</vt:lpstr>
      <vt:lpstr>PLAFON_RT_MNG</vt:lpstr>
      <vt:lpstr>PLAFON_RT_MWH</vt:lpstr>
      <vt:lpstr>PLAFON_RT_SDN</vt:lpstr>
      <vt:lpstr>PLAFON_SEMI_P</vt:lpstr>
      <vt:lpstr>PONDASI_GDG_4LT</vt:lpstr>
      <vt:lpstr>PONDASI_GDG_8LT</vt:lpstr>
      <vt:lpstr>PONDASI_GDG_9LT</vt:lpstr>
      <vt:lpstr>PONDASI_GUDANG</vt:lpstr>
      <vt:lpstr>PONDASI_RT_MNG</vt:lpstr>
      <vt:lpstr>PONDASI_RT_MWH</vt:lpstr>
      <vt:lpstr>PONDASI_RT_SDN</vt:lpstr>
      <vt:lpstr>PONDASI_SEMI_P</vt:lpstr>
      <vt:lpstr>Asumtas!Print_Area</vt:lpstr>
      <vt:lpstr>'B1'!Print_Area</vt:lpstr>
      <vt:lpstr>'BCT-PRINT'!Print_Area</vt:lpstr>
      <vt:lpstr>CVR!Print_Area</vt:lpstr>
      <vt:lpstr>DB!Print_Area</vt:lpstr>
      <vt:lpstr>'DB-PRINT'!Print_Area</vt:lpstr>
      <vt:lpstr>Entry!Print_Area</vt:lpstr>
      <vt:lpstr>Foto!Print_Area</vt:lpstr>
      <vt:lpstr>'Gbr-Peta'!Print_Area</vt:lpstr>
      <vt:lpstr>'Surat-01'!Print_Area</vt:lpstr>
      <vt:lpstr>'Surat-02'!Print_Area</vt:lpstr>
      <vt:lpstr>Tnh!Print_Area</vt:lpstr>
      <vt:lpstr>Prov_Bali</vt:lpstr>
      <vt:lpstr>Prov_Banten</vt:lpstr>
      <vt:lpstr>Prov_Bengkulu</vt:lpstr>
      <vt:lpstr>Prov_DI_Yogyakarta</vt:lpstr>
      <vt:lpstr>Prov_DKI_Jakarta</vt:lpstr>
      <vt:lpstr>Prov_Gorontalo</vt:lpstr>
      <vt:lpstr>Prov_Jambi</vt:lpstr>
      <vt:lpstr>Prov_Jawa_Barat</vt:lpstr>
      <vt:lpstr>Prov_Jawa_Tengah</vt:lpstr>
      <vt:lpstr>Prov_Jawa_Timur</vt:lpstr>
      <vt:lpstr>Prov_Kalimantan_Barat</vt:lpstr>
      <vt:lpstr>Prov_Kalimantan_Selatan</vt:lpstr>
      <vt:lpstr>Prov_Kalimantan_Tengah</vt:lpstr>
      <vt:lpstr>Prov_Kalimantan_Timur</vt:lpstr>
      <vt:lpstr>Prov_Kalimantan_Utara</vt:lpstr>
      <vt:lpstr>Prov_Kepulauan_Bangka_Belitung</vt:lpstr>
      <vt:lpstr>Prov_Kepulauan_Riau</vt:lpstr>
      <vt:lpstr>Prov_Lampung</vt:lpstr>
      <vt:lpstr>Prov_Maluku</vt:lpstr>
      <vt:lpstr>Prov_Maluku_Utara</vt:lpstr>
      <vt:lpstr>Prov_Nanggroe_Aceh_Darussalam</vt:lpstr>
      <vt:lpstr>Prov_Nusa_Tenggara_Barat</vt:lpstr>
      <vt:lpstr>Prov_Nusa_Tenggara_Timur</vt:lpstr>
      <vt:lpstr>Prov_Papua</vt:lpstr>
      <vt:lpstr>Prov_Papua_Barat</vt:lpstr>
      <vt:lpstr>Prov_Riau</vt:lpstr>
      <vt:lpstr>Prov_Sulawesi_Barat</vt:lpstr>
      <vt:lpstr>Prov_Sulawesi_Selatan</vt:lpstr>
      <vt:lpstr>Prov_Sulawesi_Tengah</vt:lpstr>
      <vt:lpstr>Prov_Sulawesi_Tenggara</vt:lpstr>
      <vt:lpstr>Prov_Sulawesi_Utara</vt:lpstr>
      <vt:lpstr>Prov_Sumatera_Barat</vt:lpstr>
      <vt:lpstr>Prov_Sumatera_Selatan</vt:lpstr>
      <vt:lpstr>Prov_Sumatera_Utara</vt:lpstr>
      <vt:lpstr>RANGKA_ATAP_GDG_4LT</vt:lpstr>
      <vt:lpstr>RANGKA_ATAP_GDG_8LT</vt:lpstr>
      <vt:lpstr>RANGKA_ATAP_GDG_9LT</vt:lpstr>
      <vt:lpstr>RANGKA_ATAP_GUDANG</vt:lpstr>
      <vt:lpstr>RANGKA_ATAP_RT_MNG</vt:lpstr>
      <vt:lpstr>RANGKA_ATAP_RT_MWH</vt:lpstr>
      <vt:lpstr>RANGKA_ATAP_RT_SDN</vt:lpstr>
      <vt:lpstr>RANGKA_ATAP_SEMI_P</vt:lpstr>
      <vt:lpstr>STATUS_OBYEK</vt:lpstr>
      <vt:lpstr>STRUKTUR_GDG_4LT</vt:lpstr>
      <vt:lpstr>STRUKTUR_GDG_8LT</vt:lpstr>
      <vt:lpstr>STRUKTUR_GDG_9LT</vt:lpstr>
      <vt:lpstr>STRUKTUR_GUDANG</vt:lpstr>
      <vt:lpstr>STRUKTUR_RT_MNG</vt:lpstr>
      <vt:lpstr>STRUKTUR_RT_MWH</vt:lpstr>
      <vt:lpstr>STRUKTUR_RT_SDN</vt:lpstr>
      <vt:lpstr>STRUKTUR_SEMI_P</vt:lpstr>
      <vt:lpstr>SURAT_PENUGASAN</vt:lpstr>
      <vt:lpstr>TERAS_BANGUNAN</vt:lpstr>
      <vt:lpstr>TIPE_BANGUNAN</vt:lpstr>
      <vt:lpstr>TIPE_BANGUNAN_MAPPI</vt:lpstr>
      <vt:lpstr>UEKO_BGN_GEDUNG_PEMERINTAH</vt:lpstr>
      <vt:lpstr>UEKO_BGN_HOTEL___MOTEL</vt:lpstr>
      <vt:lpstr>UEKO_BGN_INDUSTRI_DAN_GUDANG</vt:lpstr>
      <vt:lpstr>UEKO_BGN_KANTOR</vt:lpstr>
      <vt:lpstr>UEKO_BGN_KAWASAN_PERKEBUNAN</vt:lpstr>
      <vt:lpstr>UEKO_BGN_PUSAT_PERBELANJAAN</vt:lpstr>
      <vt:lpstr>UEKO_BGN_RUMAH_SUSUN</vt:lpstr>
      <vt:lpstr>UEKO_BGN_RUMAH_TINGGAL</vt:lpstr>
      <vt:lpstr>UMUR_EKONOMIS_BANGUNAN</vt:lpstr>
      <vt:lpstr>ZONING_TATA_KOTA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Daud</dc:creator>
  <cp:lastModifiedBy>ismail - [2010]</cp:lastModifiedBy>
  <cp:lastPrinted>2018-05-04T04:43:00Z</cp:lastPrinted>
  <dcterms:created xsi:type="dcterms:W3CDTF">2017-01-09T04:58:59Z</dcterms:created>
  <dcterms:modified xsi:type="dcterms:W3CDTF">2018-07-10T17:24:13Z</dcterms:modified>
</cp:coreProperties>
</file>