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CC BEAM" sheetId="1" r:id="rId1"/>
    <sheet name="ONE WAY SLAB" sheetId="2" r:id="rId2"/>
    <sheet name="TWO WAY SLAB" sheetId="3" r:id="rId3"/>
    <sheet name=" ISOLATED FOOTING" sheetId="4" r:id="rId4"/>
    <sheet name="COMBINED FOOTING " sheetId="5" r:id="rId5"/>
    <sheet name="BASE PLATE" sheetId="6" r:id="rId6"/>
    <sheet name="TYPE 1 " sheetId="7" r:id="rId7"/>
    <sheet name="TYPE 2" sheetId="8" r:id="rId8"/>
  </sheets>
  <definedNames>
    <definedName name="anjani">'RCC BEAM'!#REF!</definedName>
  </definedNames>
  <calcPr calcId="124519"/>
</workbook>
</file>

<file path=xl/calcChain.xml><?xml version="1.0" encoding="utf-8"?>
<calcChain xmlns="http://schemas.openxmlformats.org/spreadsheetml/2006/main">
  <c r="C29" i="8"/>
  <c r="B25"/>
  <c r="B26"/>
  <c r="F12"/>
  <c r="B13" s="1"/>
  <c r="B11"/>
  <c r="B10"/>
  <c r="B7"/>
  <c r="M3" i="7"/>
  <c r="D29"/>
  <c r="D28"/>
  <c r="B29"/>
  <c r="B28"/>
  <c r="B27"/>
  <c r="H21"/>
  <c r="H22"/>
  <c r="H23"/>
  <c r="H24"/>
  <c r="H25"/>
  <c r="F25"/>
  <c r="F24"/>
  <c r="F23"/>
  <c r="F22"/>
  <c r="F21"/>
  <c r="F20"/>
  <c r="B25"/>
  <c r="D25" s="1"/>
  <c r="G25" s="1"/>
  <c r="B24"/>
  <c r="D24" s="1"/>
  <c r="G24" s="1"/>
  <c r="B23"/>
  <c r="D23" s="1"/>
  <c r="G23" s="1"/>
  <c r="B22"/>
  <c r="C25"/>
  <c r="C24"/>
  <c r="C21"/>
  <c r="C20"/>
  <c r="B21"/>
  <c r="B17" s="1"/>
  <c r="B20"/>
  <c r="E15"/>
  <c r="C15"/>
  <c r="A24" i="6"/>
  <c r="B23"/>
  <c r="B19"/>
  <c r="B21"/>
  <c r="B22"/>
  <c r="B18"/>
  <c r="H8"/>
  <c r="I8" s="1"/>
  <c r="B14"/>
  <c r="B13"/>
  <c r="B12"/>
  <c r="U21" i="5"/>
  <c r="S10"/>
  <c r="R4"/>
  <c r="F8"/>
  <c r="F9" s="1"/>
  <c r="F10" s="1"/>
  <c r="F12"/>
  <c r="A25"/>
  <c r="V4"/>
  <c r="X15"/>
  <c r="B22"/>
  <c r="B17"/>
  <c r="B12"/>
  <c r="B13"/>
  <c r="J13" i="4"/>
  <c r="J8"/>
  <c r="J9" s="1"/>
  <c r="J10" s="1"/>
  <c r="J7"/>
  <c r="J6"/>
  <c r="B28"/>
  <c r="B30" s="1"/>
  <c r="J5"/>
  <c r="B22"/>
  <c r="B21"/>
  <c r="C19"/>
  <c r="B19"/>
  <c r="B15"/>
  <c r="B16" s="1"/>
  <c r="B17" s="1"/>
  <c r="B18" s="1"/>
  <c r="B32"/>
  <c r="B13"/>
  <c r="B12"/>
  <c r="I48" i="3"/>
  <c r="F54"/>
  <c r="H38" i="2"/>
  <c r="K32"/>
  <c r="B34" i="3"/>
  <c r="B33"/>
  <c r="A24" i="2"/>
  <c r="B29"/>
  <c r="B30"/>
  <c r="A31" s="1"/>
  <c r="K24" s="1"/>
  <c r="J23" i="3"/>
  <c r="J24" s="1"/>
  <c r="J25" s="1"/>
  <c r="B26"/>
  <c r="K23" s="1"/>
  <c r="K24" s="1"/>
  <c r="K25" s="1"/>
  <c r="K7"/>
  <c r="G8"/>
  <c r="G7"/>
  <c r="G6"/>
  <c r="G5"/>
  <c r="B16"/>
  <c r="B14"/>
  <c r="B17" s="1"/>
  <c r="B12"/>
  <c r="B11"/>
  <c r="L38" i="2"/>
  <c r="B40"/>
  <c r="B38"/>
  <c r="L19"/>
  <c r="J36" i="1" s="1"/>
  <c r="B39" i="2"/>
  <c r="B36"/>
  <c r="B35"/>
  <c r="B33"/>
  <c r="C21"/>
  <c r="L10"/>
  <c r="B27"/>
  <c r="B28" s="1"/>
  <c r="B26"/>
  <c r="N15"/>
  <c r="H3"/>
  <c r="H7" s="1"/>
  <c r="D15"/>
  <c r="B15" s="1"/>
  <c r="B9"/>
  <c r="B10" s="1"/>
  <c r="H5"/>
  <c r="H4"/>
  <c r="B12"/>
  <c r="B13" s="1"/>
  <c r="P22" i="1"/>
  <c r="N29"/>
  <c r="B40"/>
  <c r="E21"/>
  <c r="B14"/>
  <c r="B16" s="1"/>
  <c r="L13"/>
  <c r="B15"/>
  <c r="B11"/>
  <c r="B34" s="1"/>
  <c r="B8"/>
  <c r="B9" s="1"/>
  <c r="B14" i="8" l="1"/>
  <c r="B18" s="1"/>
  <c r="E20" i="7"/>
  <c r="H20" s="1"/>
  <c r="E21"/>
  <c r="E22"/>
  <c r="E23"/>
  <c r="E24"/>
  <c r="E25"/>
  <c r="D20"/>
  <c r="G20" s="1"/>
  <c r="D22"/>
  <c r="G22" s="1"/>
  <c r="D21"/>
  <c r="G21" s="1"/>
  <c r="B14" i="5"/>
  <c r="B15" s="1"/>
  <c r="B20" s="1"/>
  <c r="B42" i="1"/>
  <c r="K11" i="4"/>
  <c r="N33" s="1"/>
  <c r="J26" i="3"/>
  <c r="K26"/>
  <c r="K27" s="1"/>
  <c r="B31" s="1"/>
  <c r="B18"/>
  <c r="C18" s="1"/>
  <c r="B35"/>
  <c r="D21"/>
  <c r="K11"/>
  <c r="M14" s="1"/>
  <c r="D25"/>
  <c r="K9" s="1"/>
  <c r="D24"/>
  <c r="D22"/>
  <c r="G9"/>
  <c r="G10" s="1"/>
  <c r="B16" i="2"/>
  <c r="H10"/>
  <c r="H9"/>
  <c r="K15" s="1"/>
  <c r="L15" s="1"/>
  <c r="M15" s="1"/>
  <c r="O15" s="1"/>
  <c r="B18" s="1"/>
  <c r="B19" s="1"/>
  <c r="B20" s="1"/>
  <c r="B21" s="1"/>
  <c r="B22" s="1"/>
  <c r="B23" s="1"/>
  <c r="B38" i="1"/>
  <c r="B21"/>
  <c r="B41"/>
  <c r="B43" s="1"/>
  <c r="B18"/>
  <c r="B19"/>
  <c r="B31" s="1"/>
  <c r="B32" s="1"/>
  <c r="B19" i="8" l="1"/>
  <c r="C18"/>
  <c r="B17"/>
  <c r="C17" s="1"/>
  <c r="D17" s="1"/>
  <c r="E17" s="1"/>
  <c r="F17" s="1"/>
  <c r="G17" s="1"/>
  <c r="H17" s="1"/>
  <c r="I17" s="1"/>
  <c r="J17" s="1"/>
  <c r="K17" s="1"/>
  <c r="B16" i="5"/>
  <c r="B18" s="1"/>
  <c r="B33" i="1"/>
  <c r="B35" s="1"/>
  <c r="B36" s="1"/>
  <c r="C21"/>
  <c r="J27" i="3"/>
  <c r="C29" s="1"/>
  <c r="L26"/>
  <c r="I35"/>
  <c r="J14"/>
  <c r="K14" s="1"/>
  <c r="L14" s="1"/>
  <c r="N14" s="1"/>
  <c r="J8" i="1"/>
  <c r="I13" s="1"/>
  <c r="B20" i="8" l="1"/>
  <c r="C19"/>
  <c r="C20" s="1"/>
  <c r="D18"/>
  <c r="B21" i="5"/>
  <c r="B24"/>
  <c r="V10" s="1"/>
  <c r="B23"/>
  <c r="Q10" s="1"/>
  <c r="B37" i="1"/>
  <c r="O22"/>
  <c r="K13"/>
  <c r="M13" s="1"/>
  <c r="B24" s="1"/>
  <c r="B25" s="1"/>
  <c r="B26" s="1"/>
  <c r="J13"/>
  <c r="B27"/>
  <c r="B29" s="1"/>
  <c r="M29"/>
  <c r="D19" i="8" l="1"/>
  <c r="E18"/>
  <c r="D20" l="1"/>
  <c r="F18"/>
  <c r="E19"/>
  <c r="G18" l="1"/>
  <c r="F19"/>
  <c r="E20"/>
  <c r="F20" l="1"/>
  <c r="B22" s="1"/>
  <c r="B29" s="1"/>
  <c r="B21"/>
  <c r="H18"/>
  <c r="G19"/>
  <c r="G20" s="1"/>
  <c r="I18" l="1"/>
  <c r="H19"/>
  <c r="H20" s="1"/>
  <c r="J18" l="1"/>
  <c r="I19"/>
  <c r="I20" s="1"/>
  <c r="K18" l="1"/>
  <c r="K19" s="1"/>
  <c r="K20" s="1"/>
  <c r="J19"/>
  <c r="J20" s="1"/>
</calcChain>
</file>

<file path=xl/sharedStrings.xml><?xml version="1.0" encoding="utf-8"?>
<sst xmlns="http://schemas.openxmlformats.org/spreadsheetml/2006/main" count="428" uniqueCount="323">
  <si>
    <t xml:space="preserve">DESIGN OF A RCC BEAM </t>
  </si>
  <si>
    <t>INPUT</t>
  </si>
  <si>
    <t>Effective span(m)</t>
  </si>
  <si>
    <t>Live load(kn/m)</t>
  </si>
  <si>
    <t>fck(Mpa)</t>
  </si>
  <si>
    <t>fy(Mpa)</t>
  </si>
  <si>
    <t>Bar dia (mm)</t>
  </si>
  <si>
    <t>Clear cover (mm)</t>
  </si>
  <si>
    <t>CROSS SECTION</t>
  </si>
  <si>
    <t>suggested overall depth (mm)</t>
  </si>
  <si>
    <t>provided overall depth(mm)</t>
  </si>
  <si>
    <t>effective depth provided(mm)</t>
  </si>
  <si>
    <t>width of beam (mm)</t>
  </si>
  <si>
    <t>Effective depth(mm)</t>
  </si>
  <si>
    <t>LOADS</t>
  </si>
  <si>
    <t>selfweight(kn/m)</t>
  </si>
  <si>
    <t>total load(kn/m)</t>
  </si>
  <si>
    <t>Mu(kn.m)</t>
  </si>
  <si>
    <t>CHECK FOR LIMITING BM</t>
  </si>
  <si>
    <t>Lim bm(kn.m)</t>
  </si>
  <si>
    <t>CALCULATION OF REINFORCEMENT</t>
  </si>
  <si>
    <t>FACTORED BM AND SF</t>
  </si>
  <si>
    <t>Ast required (mm2)</t>
  </si>
  <si>
    <t>fck (mpa)</t>
  </si>
  <si>
    <t>fy(mpa)</t>
  </si>
  <si>
    <t>b(m)</t>
  </si>
  <si>
    <t>d(m)</t>
  </si>
  <si>
    <t>No of bars required</t>
  </si>
  <si>
    <t>no of bars provided</t>
  </si>
  <si>
    <t>Ast provided (in mm2)</t>
  </si>
  <si>
    <t>CALCULATION OF SHEAR REINFORCEMENT</t>
  </si>
  <si>
    <t>ast required</t>
  </si>
  <si>
    <t>Vu(kN)</t>
  </si>
  <si>
    <t>touC(n/mm2)</t>
  </si>
  <si>
    <t>tou V(n/mm2)</t>
  </si>
  <si>
    <t>Reinforcement details</t>
  </si>
  <si>
    <t>spacing provided(in mm)</t>
  </si>
  <si>
    <t>in mm2</t>
  </si>
  <si>
    <t>MCR LIM</t>
  </si>
  <si>
    <t>spacing required(in mm)</t>
  </si>
  <si>
    <t>no of strirrups required</t>
  </si>
  <si>
    <t>stirrup dia (mm)</t>
  </si>
  <si>
    <t>no of stirrups provided</t>
  </si>
  <si>
    <t>shear reinforcement provided(mm2)</t>
  </si>
  <si>
    <t>shear reinforcement calculated(in mm2)</t>
  </si>
  <si>
    <t>check for deflection</t>
  </si>
  <si>
    <t>modification factor ,kt</t>
  </si>
  <si>
    <t>basic l/d ratio</t>
  </si>
  <si>
    <t>l/d ratio provided</t>
  </si>
  <si>
    <t>calculation of kt</t>
  </si>
  <si>
    <t>fs</t>
  </si>
  <si>
    <t>from code,kt</t>
  </si>
  <si>
    <t xml:space="preserve">% of  reinforcement </t>
  </si>
  <si>
    <t>Mu(N.mm)</t>
  </si>
  <si>
    <t>MM DIA 2 LEGGED STIRRUPS</t>
  </si>
  <si>
    <t xml:space="preserve"> MM DIA BARS</t>
  </si>
  <si>
    <t>DESIGN OF ONE WAB SLAB</t>
  </si>
  <si>
    <t>THICKNESS OF SLAB</t>
  </si>
  <si>
    <t>Effective depth suggested(mm)</t>
  </si>
  <si>
    <t>Clear cover(mm)</t>
  </si>
  <si>
    <t>Bar dia(mm)</t>
  </si>
  <si>
    <t>Stirrup dia (mm)</t>
  </si>
  <si>
    <t>Fy(N/mm2)</t>
  </si>
  <si>
    <t>Fck(N/mm2)</t>
  </si>
  <si>
    <t>Clearspan  (m)</t>
  </si>
  <si>
    <t>overall depth suggestd</t>
  </si>
  <si>
    <t>provided overall depth(mm), D</t>
  </si>
  <si>
    <t>provided effective depth (mm),d</t>
  </si>
  <si>
    <t>effective span (m)</t>
  </si>
  <si>
    <t>Width of wall/supports(m)</t>
  </si>
  <si>
    <t>Factored BM and SF</t>
  </si>
  <si>
    <t>floor finishes(kn/m)</t>
  </si>
  <si>
    <t xml:space="preserve">live load(kn/m) </t>
  </si>
  <si>
    <t>dead load (kn/m)</t>
  </si>
  <si>
    <t xml:space="preserve">Total load(kn/m) </t>
  </si>
  <si>
    <t>Live load (KN/m)</t>
  </si>
  <si>
    <t>Floor finishes (KN/m)</t>
  </si>
  <si>
    <t>Factored SF(kn)</t>
  </si>
  <si>
    <t>Limiting moment of resistance</t>
  </si>
  <si>
    <t>Mlim(kn.m)</t>
  </si>
  <si>
    <t>mcr coeff</t>
  </si>
  <si>
    <t>Factored BM (kn.m)</t>
  </si>
  <si>
    <t>Self weight of slab (kn/m)</t>
  </si>
  <si>
    <t>no of bars required</t>
  </si>
  <si>
    <t>area of main steel required(mm2)</t>
  </si>
  <si>
    <t>Area of main steel required(mm2)</t>
  </si>
  <si>
    <t>spacing required main reinforcement(mm)</t>
  </si>
  <si>
    <t xml:space="preserve"> spacing provided for main reinfocement(mm)</t>
  </si>
  <si>
    <t>area of distribution reinforcement(mm2)</t>
  </si>
  <si>
    <t xml:space="preserve">no of bars required </t>
  </si>
  <si>
    <t>dist bar dia(mm)</t>
  </si>
  <si>
    <t>spacing required dist reinforcement(mm)</t>
  </si>
  <si>
    <t xml:space="preserve">Area of distribution steel </t>
  </si>
  <si>
    <t xml:space="preserve">Area of tension steel </t>
  </si>
  <si>
    <t>spacing provided for dist reinfocement(mm)</t>
  </si>
  <si>
    <t>check for shear</t>
  </si>
  <si>
    <t>% of reinforcement</t>
  </si>
  <si>
    <t>tau c(n/mm2)</t>
  </si>
  <si>
    <t>tav (n/mm2)</t>
  </si>
  <si>
    <t>l/d provided</t>
  </si>
  <si>
    <t>from code kt</t>
  </si>
  <si>
    <t>l/d basic</t>
  </si>
  <si>
    <t>DESIGN OF R.C TWO WAY SLAB</t>
  </si>
  <si>
    <t>short span (clear)(m)</t>
  </si>
  <si>
    <t>long span (clear)(m)</t>
  </si>
  <si>
    <t>Type of panel</t>
  </si>
  <si>
    <t>interior</t>
  </si>
  <si>
    <t>Live load (KN/m2)</t>
  </si>
  <si>
    <t>Floor finishes (KN/m2)</t>
  </si>
  <si>
    <t>EFFECTIVE SPAN</t>
  </si>
  <si>
    <t>Lx(m)</t>
  </si>
  <si>
    <t>Ly(m)</t>
  </si>
  <si>
    <t>Aspect ratio</t>
  </si>
  <si>
    <t>Self weight of slab (kn/m2)</t>
  </si>
  <si>
    <t>floor finishes(kn/m2)</t>
  </si>
  <si>
    <t xml:space="preserve">live load(kn/m2) </t>
  </si>
  <si>
    <t>dead load (kn/m2)</t>
  </si>
  <si>
    <t>Dead loads(kn/m2)</t>
  </si>
  <si>
    <t>CALCULATION OF MOMENTS</t>
  </si>
  <si>
    <t>ALONG SHORT SPAN</t>
  </si>
  <si>
    <t>ALPHAX -VE</t>
  </si>
  <si>
    <t>ALPHAX +VE</t>
  </si>
  <si>
    <t>ALONG LONG SPAN</t>
  </si>
  <si>
    <t>ALPHA -VE</t>
  </si>
  <si>
    <t>ALPHA +VE</t>
  </si>
  <si>
    <t>Ultimate loads(kn/m2)</t>
  </si>
  <si>
    <t>Mux-</t>
  </si>
  <si>
    <t>Muy-</t>
  </si>
  <si>
    <t>Muy+</t>
  </si>
  <si>
    <t>Mux+</t>
  </si>
  <si>
    <t>Astx-</t>
  </si>
  <si>
    <t>Astx+</t>
  </si>
  <si>
    <t>Asty-</t>
  </si>
  <si>
    <t>Asty+</t>
  </si>
  <si>
    <t>mm2/mm</t>
  </si>
  <si>
    <t>AST min</t>
  </si>
  <si>
    <t xml:space="preserve">area of steel </t>
  </si>
  <si>
    <t>in x direction</t>
  </si>
  <si>
    <t>in y direction</t>
  </si>
  <si>
    <t>spacing(MM)</t>
  </si>
  <si>
    <t>ast provided(mm2)</t>
  </si>
  <si>
    <t>IN X DIRECTION</t>
  </si>
  <si>
    <t>IN Y DIRECTION:</t>
  </si>
  <si>
    <t>CHECK FOR DEFLECTION</t>
  </si>
  <si>
    <t>m</t>
  </si>
  <si>
    <t xml:space="preserve">DESIGN OF R.C ISOLATED FOOTING </t>
  </si>
  <si>
    <t>Load from column(kn)</t>
  </si>
  <si>
    <t>Soil bearing capacity(KN/mm2)</t>
  </si>
  <si>
    <t>SIZE OF COLUMN</t>
  </si>
  <si>
    <t>LET THE COLUMN BE SQUARE</t>
  </si>
  <si>
    <t>a(mm)</t>
  </si>
  <si>
    <t>b(mm)</t>
  </si>
  <si>
    <t>PLAN AREA REQUIRED</t>
  </si>
  <si>
    <t>Selfweight (KN)</t>
  </si>
  <si>
    <t>Total load(KN)</t>
  </si>
  <si>
    <t>Load from column(KN)</t>
  </si>
  <si>
    <t>Imposed load (KN)</t>
  </si>
  <si>
    <t>Area required(m2)</t>
  </si>
  <si>
    <t>suggested size of footing(m)</t>
  </si>
  <si>
    <t>DEPTH FOR ONE WAY SHEAR</t>
  </si>
  <si>
    <t>provided size of footing(m)</t>
  </si>
  <si>
    <r>
      <t>Net up</t>
    </r>
    <r>
      <rPr>
        <sz val="14"/>
        <color theme="1"/>
        <rFont val="Calibri"/>
        <family val="2"/>
        <scheme val="minor"/>
      </rPr>
      <t>ward pressure(KN/m2)</t>
    </r>
  </si>
  <si>
    <t>DEPTH FOR TWO WAY SHEAR</t>
  </si>
  <si>
    <t>effective depth required(mm),d1</t>
  </si>
  <si>
    <t>effective depth required(mm),d2</t>
  </si>
  <si>
    <t>DEPTH FOR FLEXURE</t>
  </si>
  <si>
    <t>effective depth required (mm),d3</t>
  </si>
  <si>
    <t>Design of flexural reinforcement</t>
  </si>
  <si>
    <t>Effective depth required(mm),d</t>
  </si>
  <si>
    <t>effective depth provided(mm),d</t>
  </si>
  <si>
    <t>overall depth provided(mm),D</t>
  </si>
  <si>
    <t xml:space="preserve"> </t>
  </si>
  <si>
    <t>DESIGN OF RC COMBINED FOOTING</t>
  </si>
  <si>
    <t>effective depth required(m),d1</t>
  </si>
  <si>
    <t>Mu(KN.m)</t>
  </si>
  <si>
    <t>Ast(mm2)</t>
  </si>
  <si>
    <t>DEPTH ADOPTED</t>
  </si>
  <si>
    <t>DEVELOPMENT LENGTH</t>
  </si>
  <si>
    <t>develpoment length required(mm)</t>
  </si>
  <si>
    <t>development length</t>
  </si>
  <si>
    <t>load from column1 (KN)</t>
  </si>
  <si>
    <t>load from column2 (KN)</t>
  </si>
  <si>
    <t>c/c distance between footings(m)</t>
  </si>
  <si>
    <t>width of combined footing (m)</t>
  </si>
  <si>
    <t>SBC of soil (KN/mm2)</t>
  </si>
  <si>
    <t>size of columns</t>
  </si>
  <si>
    <t>col1</t>
  </si>
  <si>
    <t>col2</t>
  </si>
  <si>
    <t>plan area required</t>
  </si>
  <si>
    <t>plan area required (m2)</t>
  </si>
  <si>
    <t>width of footing (m)</t>
  </si>
  <si>
    <t>length of footing(m)</t>
  </si>
  <si>
    <t>load from column1(KN)</t>
  </si>
  <si>
    <t>load from column2(KN)</t>
  </si>
  <si>
    <t>selfweigght(KN)</t>
  </si>
  <si>
    <t>total load(KN)</t>
  </si>
  <si>
    <t>net upward pressure(KN/m2)</t>
  </si>
  <si>
    <t>net upward pressure(KN/m)/unit length</t>
  </si>
  <si>
    <t>distance of resultant from left end</t>
  </si>
  <si>
    <t>left side projection from col 1</t>
  </si>
  <si>
    <t>right projection beyond col2</t>
  </si>
  <si>
    <t>adopted length</t>
  </si>
  <si>
    <t>longitudinal B.M&amp;SF</t>
  </si>
  <si>
    <t>max B.M</t>
  </si>
  <si>
    <t>eff depth required(d)</t>
  </si>
  <si>
    <t>mm</t>
  </si>
  <si>
    <t>overall depth (D)</t>
  </si>
  <si>
    <t>clear cover(mm)</t>
  </si>
  <si>
    <t>kn.m</t>
  </si>
  <si>
    <t>adopted depth(D)</t>
  </si>
  <si>
    <t>eff depth provided(d)</t>
  </si>
  <si>
    <t>Ast required(mm2)</t>
  </si>
  <si>
    <t>sf and bm calculations</t>
  </si>
  <si>
    <t xml:space="preserve">sf at a </t>
  </si>
  <si>
    <t xml:space="preserve">sf at b </t>
  </si>
  <si>
    <t>sf at c</t>
  </si>
  <si>
    <t xml:space="preserve">sf at d </t>
  </si>
  <si>
    <t>A</t>
  </si>
  <si>
    <t>B</t>
  </si>
  <si>
    <t>C</t>
  </si>
  <si>
    <t>D</t>
  </si>
  <si>
    <t>bm at a</t>
  </si>
  <si>
    <t>DESIGN OF BASE PLATE</t>
  </si>
  <si>
    <t>Grade of concrete(N/mm2)</t>
  </si>
  <si>
    <t>DETAILS OF COLUMN</t>
  </si>
  <si>
    <t>width of flange(mm),b</t>
  </si>
  <si>
    <t>thickness of flange(mm),tf</t>
  </si>
  <si>
    <t>thickness of web(mm),tb</t>
  </si>
  <si>
    <t>ISHB350,710.2N/M</t>
  </si>
  <si>
    <t>AREA OF BASE PLATE</t>
  </si>
  <si>
    <t>bearing stenghth of concrete(n/mm2)</t>
  </si>
  <si>
    <t>area of base plate required(mm2)</t>
  </si>
  <si>
    <t>consider base plate be</t>
  </si>
  <si>
    <t>area of base plate provided(m2)</t>
  </si>
  <si>
    <t>CALCULATION OF PROJECTIONS</t>
  </si>
  <si>
    <t>Projection calculated from area(mm)</t>
  </si>
  <si>
    <t>depth of section (mm),d</t>
  </si>
  <si>
    <t>a</t>
  </si>
  <si>
    <t>b</t>
  </si>
  <si>
    <t>c</t>
  </si>
  <si>
    <t>root</t>
  </si>
  <si>
    <t>area=(d+2a)(b+2a),                    a(mm)</t>
  </si>
  <si>
    <t>dimensions  of base plate</t>
  </si>
  <si>
    <t>length of base plate(mm)</t>
  </si>
  <si>
    <t>breadth of base plate(mm)</t>
  </si>
  <si>
    <t>thickness of plate(mm)</t>
  </si>
  <si>
    <t>yield strength of steel(n/mm2)</t>
  </si>
  <si>
    <t>intensity of pressure on plate(n/mm2)</t>
  </si>
  <si>
    <t>stength of bolt</t>
  </si>
  <si>
    <t>DESIGN OF BOLTED CONNECTION FOR MOMENT(TYPE 1)</t>
  </si>
  <si>
    <t>load(kn)</t>
  </si>
  <si>
    <t>total no of bolts</t>
  </si>
  <si>
    <t>dist between bolts</t>
  </si>
  <si>
    <t>top edge to row1</t>
  </si>
  <si>
    <t>row1 to row 2</t>
  </si>
  <si>
    <t>row 2 to row 3</t>
  </si>
  <si>
    <t>row 3 to bot edge</t>
  </si>
  <si>
    <t>hor dist btw bolts</t>
  </si>
  <si>
    <t>eccentricity</t>
  </si>
  <si>
    <t>BOLTS</t>
  </si>
  <si>
    <t>size</t>
  </si>
  <si>
    <t>class</t>
  </si>
  <si>
    <t>permeable shear strength</t>
  </si>
  <si>
    <t>PLATE</t>
  </si>
  <si>
    <t>thickness</t>
  </si>
  <si>
    <t>grade</t>
  </si>
  <si>
    <t>permeable shear stress in</t>
  </si>
  <si>
    <t>bearing</t>
  </si>
  <si>
    <t>dia of bolts</t>
  </si>
  <si>
    <t>kn</t>
  </si>
  <si>
    <t>M24</t>
  </si>
  <si>
    <t>mpa</t>
  </si>
  <si>
    <t>STRESSES</t>
  </si>
  <si>
    <t>Direct  shear stress in bolt(kn)</t>
  </si>
  <si>
    <t>moment(kn-m)</t>
  </si>
  <si>
    <t>stresses due to bending</t>
  </si>
  <si>
    <t>sum(x^2+y^2)</t>
  </si>
  <si>
    <t>BOLT NO</t>
  </si>
  <si>
    <t>x(mm)</t>
  </si>
  <si>
    <t>y(mm)</t>
  </si>
  <si>
    <t>Rx(KN)</t>
  </si>
  <si>
    <t>Ry(KN)</t>
  </si>
  <si>
    <t>Fy(KN)</t>
  </si>
  <si>
    <t>Ry+Fy(KN)</t>
  </si>
  <si>
    <t>mm2</t>
  </si>
  <si>
    <t>R(KN)</t>
  </si>
  <si>
    <t>Max force in bolt</t>
  </si>
  <si>
    <t>KN</t>
  </si>
  <si>
    <t>Shear stress in bolt</t>
  </si>
  <si>
    <t>Max bearing stress</t>
  </si>
  <si>
    <t xml:space="preserve">      in plate</t>
  </si>
  <si>
    <t>60mm</t>
  </si>
  <si>
    <t>75mm</t>
  </si>
  <si>
    <t>DESIGN OF BOLTED CONNECTION FOR MOMENT(TYPE 2)</t>
  </si>
  <si>
    <t>Eccentricity(mm)</t>
  </si>
  <si>
    <t>Load(KN)</t>
  </si>
  <si>
    <t>No of bolt rows(n')</t>
  </si>
  <si>
    <t>pitch(mm)</t>
  </si>
  <si>
    <t>Adopted pitch(mm)</t>
  </si>
  <si>
    <t>Moment on bolt group</t>
  </si>
  <si>
    <t>required no of bolts</t>
  </si>
  <si>
    <t>adopted edge distance</t>
  </si>
  <si>
    <t>h</t>
  </si>
  <si>
    <t>depth of NA from base(h/7)</t>
  </si>
  <si>
    <t>Size</t>
  </si>
  <si>
    <t>capacity of bolt in shear (Vsd)</t>
  </si>
  <si>
    <t xml:space="preserve">minimum edge distance </t>
  </si>
  <si>
    <t>for 20 mm bolts</t>
  </si>
  <si>
    <t>ccapacity of bolt in tension</t>
  </si>
  <si>
    <t>adopted no of bolts in 1 row</t>
  </si>
  <si>
    <t>depth of bracket plate</t>
  </si>
  <si>
    <t>no's</t>
  </si>
  <si>
    <t>M20</t>
  </si>
  <si>
    <t>dia</t>
  </si>
  <si>
    <t>kn.mm</t>
  </si>
  <si>
    <t>No of bolts  above N.A</t>
  </si>
  <si>
    <t>SUM OF Yi</t>
  </si>
  <si>
    <t>SUM OF Yi^2</t>
  </si>
  <si>
    <t>CHECK FOR STRESSES</t>
  </si>
  <si>
    <t>Tensile force in critical bolt</t>
  </si>
  <si>
    <t xml:space="preserve"> shear force in critical bolt</t>
  </si>
  <si>
    <t>CHECK</t>
  </si>
  <si>
    <t>(Vs/Vsd)^2+(Ts/Tnd)^2&lt;1</t>
  </si>
</sst>
</file>

<file path=xl/styles.xml><?xml version="1.0" encoding="utf-8"?>
<styleSheet xmlns="http://schemas.openxmlformats.org/spreadsheetml/2006/main">
  <fonts count="26">
    <font>
      <sz val="11"/>
      <color theme="1"/>
      <name val="Calibri"/>
      <family val="2"/>
      <scheme val="minor"/>
    </font>
    <font>
      <sz val="20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5"/>
      <name val="Calibri"/>
      <family val="2"/>
      <scheme val="minor"/>
    </font>
    <font>
      <sz val="14"/>
      <color theme="1" tint="0.1499984740745262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 tint="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3" tint="-0.499984740745262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3"/>
      <name val="Calibri"/>
      <family val="2"/>
      <scheme val="minor"/>
    </font>
    <font>
      <b/>
      <i/>
      <sz val="14"/>
      <color theme="4" tint="-0.249977111117893"/>
      <name val="Calibri"/>
      <family val="2"/>
      <scheme val="minor"/>
    </font>
    <font>
      <b/>
      <sz val="16"/>
      <color theme="3" tint="-0.249977111117893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161">
    <xf numFmtId="0" fontId="0" fillId="0" borderId="0" xfId="0"/>
    <xf numFmtId="0" fontId="4" fillId="4" borderId="0" xfId="0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1" xfId="0" applyBorder="1"/>
    <xf numFmtId="0" fontId="6" fillId="5" borderId="1" xfId="0" applyFont="1" applyFill="1" applyBorder="1" applyAlignment="1">
      <alignment horizontal="center"/>
    </xf>
    <xf numFmtId="0" fontId="6" fillId="0" borderId="0" xfId="0" applyFont="1" applyFill="1" applyBorder="1"/>
    <xf numFmtId="0" fontId="6" fillId="0" borderId="1" xfId="0" applyFont="1" applyFill="1" applyBorder="1"/>
    <xf numFmtId="0" fontId="3" fillId="0" borderId="1" xfId="0" applyFont="1" applyBorder="1"/>
    <xf numFmtId="0" fontId="4" fillId="4" borderId="0" xfId="0" applyFont="1" applyFill="1" applyAlignment="1"/>
    <xf numFmtId="0" fontId="6" fillId="0" borderId="1" xfId="0" applyFont="1" applyFill="1" applyBorder="1" applyAlignment="1">
      <alignment horizontal="center"/>
    </xf>
    <xf numFmtId="0" fontId="6" fillId="6" borderId="0" xfId="0" applyFont="1" applyFill="1" applyAlignment="1">
      <alignment horizontal="center"/>
    </xf>
    <xf numFmtId="0" fontId="6" fillId="0" borderId="1" xfId="0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8" borderId="1" xfId="0" applyFill="1" applyBorder="1"/>
    <xf numFmtId="0" fontId="0" fillId="9" borderId="5" xfId="0" applyFill="1" applyBorder="1"/>
    <xf numFmtId="0" fontId="8" fillId="9" borderId="3" xfId="0" applyFont="1" applyFill="1" applyBorder="1"/>
    <xf numFmtId="0" fontId="8" fillId="9" borderId="4" xfId="0" applyFont="1" applyFill="1" applyBorder="1"/>
    <xf numFmtId="0" fontId="8" fillId="9" borderId="5" xfId="0" applyFont="1" applyFill="1" applyBorder="1"/>
    <xf numFmtId="0" fontId="8" fillId="9" borderId="3" xfId="0" applyFont="1" applyFill="1" applyBorder="1" applyAlignment="1">
      <alignment horizontal="center"/>
    </xf>
    <xf numFmtId="0" fontId="8" fillId="9" borderId="4" xfId="0" applyFont="1" applyFill="1" applyBorder="1" applyAlignment="1">
      <alignment horizontal="right"/>
    </xf>
    <xf numFmtId="0" fontId="0" fillId="0" borderId="0" xfId="0" applyBorder="1"/>
    <xf numFmtId="0" fontId="10" fillId="11" borderId="0" xfId="0" applyFont="1" applyFill="1" applyAlignment="1">
      <alignment horizontal="center"/>
    </xf>
    <xf numFmtId="0" fontId="8" fillId="0" borderId="0" xfId="0" applyFont="1"/>
    <xf numFmtId="0" fontId="11" fillId="11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3" fillId="11" borderId="0" xfId="0" applyFont="1" applyFill="1" applyAlignment="1">
      <alignment horizontal="center"/>
    </xf>
    <xf numFmtId="0" fontId="6" fillId="0" borderId="6" xfId="0" applyFont="1" applyBorder="1" applyAlignment="1">
      <alignment horizontal="center"/>
    </xf>
    <xf numFmtId="0" fontId="15" fillId="0" borderId="0" xfId="0" applyFont="1"/>
    <xf numFmtId="0" fontId="10" fillId="0" borderId="0" xfId="0" applyFont="1" applyFill="1" applyAlignment="1">
      <alignment horizontal="center"/>
    </xf>
    <xf numFmtId="0" fontId="6" fillId="0" borderId="6" xfId="0" applyFont="1" applyBorder="1"/>
    <xf numFmtId="0" fontId="9" fillId="0" borderId="0" xfId="0" applyFont="1" applyFill="1" applyAlignment="1">
      <alignment horizontal="center"/>
    </xf>
    <xf numFmtId="0" fontId="6" fillId="0" borderId="8" xfId="0" applyFont="1" applyBorder="1" applyAlignment="1">
      <alignment horizontal="center"/>
    </xf>
    <xf numFmtId="0" fontId="12" fillId="6" borderId="7" xfId="0" applyFont="1" applyFill="1" applyBorder="1"/>
    <xf numFmtId="0" fontId="6" fillId="0" borderId="1" xfId="0" applyFont="1" applyBorder="1" applyAlignment="1">
      <alignment horizontal="center"/>
    </xf>
    <xf numFmtId="0" fontId="14" fillId="0" borderId="0" xfId="0" applyFont="1" applyFill="1" applyBorder="1" applyAlignment="1"/>
    <xf numFmtId="0" fontId="0" fillId="0" borderId="0" xfId="0" applyAlignment="1">
      <alignment horizontal="center"/>
    </xf>
    <xf numFmtId="0" fontId="6" fillId="0" borderId="0" xfId="0" applyFont="1" applyFill="1" applyBorder="1" applyAlignment="1">
      <alignment horizontal="center"/>
    </xf>
    <xf numFmtId="0" fontId="12" fillId="0" borderId="0" xfId="0" applyFont="1"/>
    <xf numFmtId="0" fontId="6" fillId="0" borderId="9" xfId="0" applyFont="1" applyBorder="1"/>
    <xf numFmtId="0" fontId="6" fillId="0" borderId="8" xfId="0" applyFont="1" applyBorder="1"/>
    <xf numFmtId="0" fontId="12" fillId="0" borderId="0" xfId="0" applyFont="1" applyFill="1" applyBorder="1"/>
    <xf numFmtId="0" fontId="6" fillId="0" borderId="0" xfId="0" applyFont="1" applyAlignment="1">
      <alignment horizontal="right"/>
    </xf>
    <xf numFmtId="0" fontId="17" fillId="0" borderId="0" xfId="0" applyFont="1"/>
    <xf numFmtId="0" fontId="12" fillId="0" borderId="1" xfId="0" applyFont="1" applyBorder="1" applyAlignment="1">
      <alignment horizontal="center"/>
    </xf>
    <xf numFmtId="0" fontId="0" fillId="13" borderId="0" xfId="0" applyFill="1" applyAlignment="1"/>
    <xf numFmtId="0" fontId="0" fillId="0" borderId="0" xfId="0" applyFill="1" applyAlignment="1"/>
    <xf numFmtId="0" fontId="15" fillId="6" borderId="7" xfId="0" applyFont="1" applyFill="1" applyBorder="1" applyAlignment="1">
      <alignment horizontal="center"/>
    </xf>
    <xf numFmtId="0" fontId="0" fillId="0" borderId="0" xfId="0" applyFill="1"/>
    <xf numFmtId="0" fontId="14" fillId="0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5" fillId="12" borderId="0" xfId="0" applyFont="1" applyFill="1" applyBorder="1" applyAlignment="1"/>
    <xf numFmtId="0" fontId="6" fillId="12" borderId="0" xfId="0" applyFont="1" applyFill="1" applyBorder="1"/>
    <xf numFmtId="0" fontId="6" fillId="0" borderId="0" xfId="0" applyFont="1" applyBorder="1" applyAlignment="1">
      <alignment horizontal="right"/>
    </xf>
    <xf numFmtId="0" fontId="11" fillId="15" borderId="0" xfId="0" applyFont="1" applyFill="1" applyAlignment="1">
      <alignment horizontal="center"/>
    </xf>
    <xf numFmtId="0" fontId="11" fillId="15" borderId="0" xfId="0" applyFont="1" applyFill="1" applyAlignment="1">
      <alignment horizontal="center"/>
    </xf>
    <xf numFmtId="0" fontId="11" fillId="15" borderId="0" xfId="0" applyFont="1" applyFill="1"/>
    <xf numFmtId="0" fontId="18" fillId="0" borderId="1" xfId="0" applyFont="1" applyBorder="1"/>
    <xf numFmtId="0" fontId="6" fillId="0" borderId="0" xfId="0" applyFont="1" applyFill="1"/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/>
    <xf numFmtId="0" fontId="18" fillId="0" borderId="0" xfId="0" applyFont="1"/>
    <xf numFmtId="0" fontId="13" fillId="16" borderId="0" xfId="0" applyFont="1" applyFill="1"/>
    <xf numFmtId="0" fontId="12" fillId="8" borderId="7" xfId="0" applyFont="1" applyFill="1" applyBorder="1" applyAlignment="1">
      <alignment horizontal="center"/>
    </xf>
    <xf numFmtId="0" fontId="12" fillId="18" borderId="7" xfId="0" applyFont="1" applyFill="1" applyBorder="1" applyAlignment="1">
      <alignment horizontal="center"/>
    </xf>
    <xf numFmtId="0" fontId="18" fillId="0" borderId="0" xfId="0" applyFont="1" applyBorder="1"/>
    <xf numFmtId="0" fontId="6" fillId="0" borderId="1" xfId="0" applyFont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8" fillId="0" borderId="0" xfId="0" applyFont="1" applyAlignment="1">
      <alignment horizontal="left"/>
    </xf>
    <xf numFmtId="0" fontId="6" fillId="0" borderId="1" xfId="0" applyFont="1" applyBorder="1" applyAlignment="1">
      <alignment horizontal="right"/>
    </xf>
    <xf numFmtId="0" fontId="22" fillId="0" borderId="0" xfId="1" applyAlignment="1" applyProtection="1"/>
    <xf numFmtId="0" fontId="12" fillId="17" borderId="0" xfId="0" applyFont="1" applyFill="1"/>
    <xf numFmtId="0" fontId="15" fillId="17" borderId="0" xfId="0" applyFont="1" applyFill="1"/>
    <xf numFmtId="0" fontId="11" fillId="20" borderId="0" xfId="0" applyFont="1" applyFill="1"/>
    <xf numFmtId="0" fontId="25" fillId="21" borderId="7" xfId="0" applyFont="1" applyFill="1" applyBorder="1" applyAlignment="1">
      <alignment horizontal="center"/>
    </xf>
    <xf numFmtId="0" fontId="10" fillId="22" borderId="3" xfId="0" applyFont="1" applyFill="1" applyBorder="1" applyAlignment="1"/>
    <xf numFmtId="0" fontId="10" fillId="22" borderId="4" xfId="0" applyFont="1" applyFill="1" applyBorder="1" applyAlignment="1"/>
    <xf numFmtId="0" fontId="25" fillId="21" borderId="11" xfId="0" applyFont="1" applyFill="1" applyBorder="1" applyAlignment="1">
      <alignment horizontal="center"/>
    </xf>
    <xf numFmtId="0" fontId="18" fillId="0" borderId="6" xfId="0" applyFont="1" applyBorder="1"/>
    <xf numFmtId="0" fontId="18" fillId="0" borderId="12" xfId="0" applyFont="1" applyBorder="1"/>
    <xf numFmtId="0" fontId="18" fillId="0" borderId="1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5" borderId="1" xfId="0" applyFont="1" applyFill="1" applyBorder="1" applyAlignment="1">
      <alignment horizontal="center"/>
    </xf>
    <xf numFmtId="0" fontId="18" fillId="0" borderId="8" xfId="0" applyFont="1" applyBorder="1"/>
    <xf numFmtId="0" fontId="0" fillId="0" borderId="5" xfId="0" applyFill="1" applyBorder="1"/>
    <xf numFmtId="0" fontId="10" fillId="0" borderId="4" xfId="0" applyFont="1" applyFill="1" applyBorder="1" applyAlignment="1"/>
    <xf numFmtId="0" fontId="18" fillId="23" borderId="1" xfId="0" applyFont="1" applyFill="1" applyBorder="1"/>
    <xf numFmtId="0" fontId="18" fillId="23" borderId="1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6" fillId="7" borderId="1" xfId="0" applyFont="1" applyFill="1" applyBorder="1" applyAlignment="1"/>
    <xf numFmtId="0" fontId="7" fillId="6" borderId="0" xfId="0" applyFont="1" applyFill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12" fillId="6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4" fillId="12" borderId="3" xfId="0" applyFont="1" applyFill="1" applyBorder="1" applyAlignment="1">
      <alignment horizontal="center"/>
    </xf>
    <xf numFmtId="0" fontId="14" fillId="12" borderId="4" xfId="0" applyFont="1" applyFill="1" applyBorder="1" applyAlignment="1">
      <alignment horizontal="center"/>
    </xf>
    <xf numFmtId="0" fontId="14" fillId="12" borderId="5" xfId="0" applyFont="1" applyFill="1" applyBorder="1" applyAlignment="1">
      <alignment horizontal="center"/>
    </xf>
    <xf numFmtId="0" fontId="15" fillId="12" borderId="3" xfId="0" applyFont="1" applyFill="1" applyBorder="1" applyAlignment="1">
      <alignment horizontal="center"/>
    </xf>
    <xf numFmtId="0" fontId="15" fillId="12" borderId="4" xfId="0" applyFont="1" applyFill="1" applyBorder="1" applyAlignment="1">
      <alignment horizontal="center"/>
    </xf>
    <xf numFmtId="0" fontId="15" fillId="12" borderId="5" xfId="0" applyFont="1" applyFill="1" applyBorder="1" applyAlignment="1">
      <alignment horizontal="center"/>
    </xf>
    <xf numFmtId="0" fontId="14" fillId="12" borderId="0" xfId="0" applyFont="1" applyFill="1" applyBorder="1" applyAlignment="1">
      <alignment horizontal="center"/>
    </xf>
    <xf numFmtId="0" fontId="9" fillId="10" borderId="0" xfId="0" applyFont="1" applyFill="1" applyAlignment="1">
      <alignment horizontal="center"/>
    </xf>
    <xf numFmtId="0" fontId="13" fillId="11" borderId="0" xfId="0" applyFont="1" applyFill="1" applyAlignment="1">
      <alignment horizontal="center"/>
    </xf>
    <xf numFmtId="0" fontId="12" fillId="6" borderId="3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/>
    </xf>
    <xf numFmtId="0" fontId="16" fillId="13" borderId="0" xfId="0" applyFont="1" applyFill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5" fillId="12" borderId="0" xfId="0" applyFont="1" applyFill="1" applyAlignment="1">
      <alignment horizontal="center"/>
    </xf>
    <xf numFmtId="0" fontId="15" fillId="12" borderId="0" xfId="0" applyFont="1" applyFill="1" applyAlignment="1">
      <alignment horizontal="center" vertical="top"/>
    </xf>
    <xf numFmtId="0" fontId="13" fillId="0" borderId="0" xfId="0" applyFont="1" applyFill="1" applyBorder="1" applyAlignment="1">
      <alignment horizontal="center"/>
    </xf>
    <xf numFmtId="0" fontId="11" fillId="11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0" fontId="15" fillId="13" borderId="3" xfId="0" applyFont="1" applyFill="1" applyBorder="1" applyAlignment="1">
      <alignment horizontal="center"/>
    </xf>
    <xf numFmtId="0" fontId="15" fillId="13" borderId="4" xfId="0" applyFont="1" applyFill="1" applyBorder="1" applyAlignment="1">
      <alignment horizontal="center"/>
    </xf>
    <xf numFmtId="0" fontId="15" fillId="13" borderId="5" xfId="0" applyFont="1" applyFill="1" applyBorder="1" applyAlignment="1">
      <alignment horizontal="center"/>
    </xf>
    <xf numFmtId="0" fontId="19" fillId="14" borderId="0" xfId="0" applyFont="1" applyFill="1" applyAlignment="1">
      <alignment horizontal="center" vertical="center"/>
    </xf>
    <xf numFmtId="0" fontId="11" fillId="1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21" fillId="10" borderId="3" xfId="0" applyFont="1" applyFill="1" applyBorder="1" applyAlignment="1">
      <alignment horizontal="center"/>
    </xf>
    <xf numFmtId="0" fontId="21" fillId="10" borderId="5" xfId="0" applyFont="1" applyFill="1" applyBorder="1" applyAlignment="1">
      <alignment horizontal="center"/>
    </xf>
    <xf numFmtId="0" fontId="13" fillId="16" borderId="0" xfId="0" applyFont="1" applyFill="1" applyAlignment="1">
      <alignment horizontal="center"/>
    </xf>
    <xf numFmtId="0" fontId="20" fillId="17" borderId="0" xfId="0" applyFont="1" applyFill="1" applyAlignment="1">
      <alignment horizontal="center"/>
    </xf>
    <xf numFmtId="0" fontId="23" fillId="19" borderId="3" xfId="0" applyFont="1" applyFill="1" applyBorder="1" applyAlignment="1">
      <alignment horizontal="center"/>
    </xf>
    <xf numFmtId="0" fontId="23" fillId="19" borderId="4" xfId="0" applyFont="1" applyFill="1" applyBorder="1" applyAlignment="1">
      <alignment horizontal="center"/>
    </xf>
    <xf numFmtId="0" fontId="23" fillId="19" borderId="5" xfId="0" applyFont="1" applyFill="1" applyBorder="1" applyAlignment="1">
      <alignment horizontal="center"/>
    </xf>
    <xf numFmtId="0" fontId="24" fillId="17" borderId="3" xfId="0" applyFont="1" applyFill="1" applyBorder="1" applyAlignment="1">
      <alignment horizontal="center"/>
    </xf>
    <xf numFmtId="0" fontId="24" fillId="17" borderId="5" xfId="0" applyFont="1" applyFill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8" fillId="0" borderId="1" xfId="0" applyFont="1" applyBorder="1"/>
    <xf numFmtId="0" fontId="18" fillId="0" borderId="1" xfId="0" applyFont="1" applyBorder="1" applyAlignment="1">
      <alignment horizontal="left"/>
    </xf>
    <xf numFmtId="0" fontId="18" fillId="5" borderId="6" xfId="0" applyFont="1" applyFill="1" applyBorder="1" applyAlignment="1">
      <alignment horizontal="center" vertical="top"/>
    </xf>
    <xf numFmtId="0" fontId="18" fillId="5" borderId="12" xfId="0" applyFont="1" applyFill="1" applyBorder="1" applyAlignment="1">
      <alignment horizontal="center" vertical="top"/>
    </xf>
    <xf numFmtId="0" fontId="18" fillId="5" borderId="1" xfId="0" applyFont="1" applyFill="1" applyBorder="1" applyAlignment="1">
      <alignment horizontal="left"/>
    </xf>
    <xf numFmtId="0" fontId="18" fillId="0" borderId="0" xfId="0" applyFont="1" applyAlignment="1">
      <alignment wrapText="1"/>
    </xf>
    <xf numFmtId="0" fontId="10" fillId="0" borderId="1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3" fillId="9" borderId="0" xfId="0" applyFont="1" applyFill="1" applyAlignment="1">
      <alignment horizontal="center"/>
    </xf>
    <xf numFmtId="0" fontId="11" fillId="0" borderId="1" xfId="0" applyFont="1" applyBorder="1"/>
    <xf numFmtId="0" fontId="18" fillId="0" borderId="1" xfId="0" applyFont="1" applyBorder="1" applyAlignment="1">
      <alignment wrapText="1"/>
    </xf>
    <xf numFmtId="0" fontId="18" fillId="20" borderId="1" xfId="0" applyFont="1" applyFill="1" applyBorder="1"/>
    <xf numFmtId="0" fontId="18" fillId="20" borderId="0" xfId="0" applyFont="1" applyFill="1"/>
    <xf numFmtId="0" fontId="11" fillId="6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561975</xdr:colOff>
      <xdr:row>17</xdr:row>
      <xdr:rowOff>123826</xdr:rowOff>
    </xdr:from>
    <xdr:to>
      <xdr:col>12</xdr:col>
      <xdr:colOff>276225</xdr:colOff>
      <xdr:row>24</xdr:row>
      <xdr:rowOff>133350</xdr:rowOff>
    </xdr:to>
    <xdr:sp macro="" textlink="">
      <xdr:nvSpPr>
        <xdr:cNvPr id="2" name="Rectangle 1"/>
        <xdr:cNvSpPr/>
      </xdr:nvSpPr>
      <xdr:spPr>
        <a:xfrm>
          <a:off x="11515725" y="4800601"/>
          <a:ext cx="1123950" cy="1743074"/>
        </a:xfrm>
        <a:prstGeom prst="rect">
          <a:avLst/>
        </a:prstGeom>
        <a:solidFill>
          <a:schemeClr val="bg1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447675</xdr:colOff>
      <xdr:row>17</xdr:row>
      <xdr:rowOff>19049</xdr:rowOff>
    </xdr:from>
    <xdr:to>
      <xdr:col>12</xdr:col>
      <xdr:colOff>390525</xdr:colOff>
      <xdr:row>24</xdr:row>
      <xdr:rowOff>228600</xdr:rowOff>
    </xdr:to>
    <xdr:sp macro="" textlink="">
      <xdr:nvSpPr>
        <xdr:cNvPr id="4" name="Rectangle 3"/>
        <xdr:cNvSpPr/>
      </xdr:nvSpPr>
      <xdr:spPr>
        <a:xfrm>
          <a:off x="11401425" y="4695824"/>
          <a:ext cx="1352550" cy="19431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590549</xdr:colOff>
      <xdr:row>24</xdr:row>
      <xdr:rowOff>19051</xdr:rowOff>
    </xdr:from>
    <xdr:to>
      <xdr:col>10</xdr:col>
      <xdr:colOff>762000</xdr:colOff>
      <xdr:row>24</xdr:row>
      <xdr:rowOff>133351</xdr:rowOff>
    </xdr:to>
    <xdr:sp macro="" textlink="">
      <xdr:nvSpPr>
        <xdr:cNvPr id="5" name="Oval 4"/>
        <xdr:cNvSpPr/>
      </xdr:nvSpPr>
      <xdr:spPr>
        <a:xfrm flipV="1">
          <a:off x="11630024" y="6429376"/>
          <a:ext cx="171451" cy="1143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133351</xdr:colOff>
      <xdr:row>24</xdr:row>
      <xdr:rowOff>19050</xdr:rowOff>
    </xdr:from>
    <xdr:to>
      <xdr:col>12</xdr:col>
      <xdr:colOff>276225</xdr:colOff>
      <xdr:row>24</xdr:row>
      <xdr:rowOff>123824</xdr:rowOff>
    </xdr:to>
    <xdr:sp macro="" textlink="">
      <xdr:nvSpPr>
        <xdr:cNvPr id="7" name="Oval 6"/>
        <xdr:cNvSpPr/>
      </xdr:nvSpPr>
      <xdr:spPr>
        <a:xfrm>
          <a:off x="12496801" y="6429375"/>
          <a:ext cx="142874" cy="104774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742950</xdr:colOff>
      <xdr:row>24</xdr:row>
      <xdr:rowOff>123825</xdr:rowOff>
    </xdr:from>
    <xdr:to>
      <xdr:col>11</xdr:col>
      <xdr:colOff>28575</xdr:colOff>
      <xdr:row>24</xdr:row>
      <xdr:rowOff>200025</xdr:rowOff>
    </xdr:to>
    <xdr:cxnSp macro="">
      <xdr:nvCxnSpPr>
        <xdr:cNvPr id="14" name="Straight Connector 13"/>
        <xdr:cNvCxnSpPr/>
      </xdr:nvCxnSpPr>
      <xdr:spPr>
        <a:xfrm>
          <a:off x="11782425" y="6534150"/>
          <a:ext cx="85725" cy="76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24</xdr:row>
      <xdr:rowOff>57150</xdr:rowOff>
    </xdr:from>
    <xdr:to>
      <xdr:col>12</xdr:col>
      <xdr:colOff>171450</xdr:colOff>
      <xdr:row>27</xdr:row>
      <xdr:rowOff>257175</xdr:rowOff>
    </xdr:to>
    <xdr:cxnSp macro="">
      <xdr:nvCxnSpPr>
        <xdr:cNvPr id="16" name="Straight Connector 15"/>
        <xdr:cNvCxnSpPr/>
      </xdr:nvCxnSpPr>
      <xdr:spPr>
        <a:xfrm>
          <a:off x="11706225" y="6467475"/>
          <a:ext cx="914400" cy="914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204787</xdr:colOff>
      <xdr:row>24</xdr:row>
      <xdr:rowOff>123824</xdr:rowOff>
    </xdr:from>
    <xdr:to>
      <xdr:col>12</xdr:col>
      <xdr:colOff>219074</xdr:colOff>
      <xdr:row>28</xdr:row>
      <xdr:rowOff>19050</xdr:rowOff>
    </xdr:to>
    <xdr:cxnSp macro="">
      <xdr:nvCxnSpPr>
        <xdr:cNvPr id="18" name="Straight Connector 17"/>
        <xdr:cNvCxnSpPr>
          <a:stCxn id="7" idx="4"/>
        </xdr:cNvCxnSpPr>
      </xdr:nvCxnSpPr>
      <xdr:spPr>
        <a:xfrm rot="16200000" flipH="1">
          <a:off x="12208668" y="6979443"/>
          <a:ext cx="904876" cy="1428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295275</xdr:colOff>
      <xdr:row>20</xdr:row>
      <xdr:rowOff>57150</xdr:rowOff>
    </xdr:from>
    <xdr:to>
      <xdr:col>13</xdr:col>
      <xdr:colOff>533400</xdr:colOff>
      <xdr:row>21</xdr:row>
      <xdr:rowOff>85725</xdr:rowOff>
    </xdr:to>
    <xdr:cxnSp macro="">
      <xdr:nvCxnSpPr>
        <xdr:cNvPr id="21" name="Straight Connector 20"/>
        <xdr:cNvCxnSpPr/>
      </xdr:nvCxnSpPr>
      <xdr:spPr>
        <a:xfrm>
          <a:off x="12744450" y="5505450"/>
          <a:ext cx="1038225" cy="266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1790700</xdr:colOff>
      <xdr:row>26</xdr:row>
      <xdr:rowOff>76199</xdr:rowOff>
    </xdr:from>
    <xdr:to>
      <xdr:col>13</xdr:col>
      <xdr:colOff>542925</xdr:colOff>
      <xdr:row>30</xdr:row>
      <xdr:rowOff>114299</xdr:rowOff>
    </xdr:to>
    <xdr:sp macro="" textlink="">
      <xdr:nvSpPr>
        <xdr:cNvPr id="4" name="Rectangle 3"/>
        <xdr:cNvSpPr/>
      </xdr:nvSpPr>
      <xdr:spPr>
        <a:xfrm>
          <a:off x="10306050" y="6905624"/>
          <a:ext cx="5457825" cy="10001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1819275</xdr:colOff>
      <xdr:row>30</xdr:row>
      <xdr:rowOff>123825</xdr:rowOff>
    </xdr:from>
    <xdr:to>
      <xdr:col>7</xdr:col>
      <xdr:colOff>838200</xdr:colOff>
      <xdr:row>36</xdr:row>
      <xdr:rowOff>123825</xdr:rowOff>
    </xdr:to>
    <xdr:sp macro="" textlink="">
      <xdr:nvSpPr>
        <xdr:cNvPr id="5" name="Rectangle 4"/>
        <xdr:cNvSpPr/>
      </xdr:nvSpPr>
      <xdr:spPr>
        <a:xfrm>
          <a:off x="10334625" y="7915275"/>
          <a:ext cx="1000125" cy="14954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161925</xdr:colOff>
      <xdr:row>30</xdr:row>
      <xdr:rowOff>114300</xdr:rowOff>
    </xdr:from>
    <xdr:to>
      <xdr:col>13</xdr:col>
      <xdr:colOff>552450</xdr:colOff>
      <xdr:row>36</xdr:row>
      <xdr:rowOff>114300</xdr:rowOff>
    </xdr:to>
    <xdr:sp macro="" textlink="">
      <xdr:nvSpPr>
        <xdr:cNvPr id="6" name="Rectangle 5"/>
        <xdr:cNvSpPr/>
      </xdr:nvSpPr>
      <xdr:spPr>
        <a:xfrm>
          <a:off x="14773275" y="7905750"/>
          <a:ext cx="1000125" cy="14954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209550</xdr:colOff>
      <xdr:row>29</xdr:row>
      <xdr:rowOff>123825</xdr:rowOff>
    </xdr:from>
    <xdr:to>
      <xdr:col>12</xdr:col>
      <xdr:colOff>561975</xdr:colOff>
      <xdr:row>29</xdr:row>
      <xdr:rowOff>152400</xdr:rowOff>
    </xdr:to>
    <xdr:cxnSp macro="">
      <xdr:nvCxnSpPr>
        <xdr:cNvPr id="8" name="Straight Connector 7"/>
        <xdr:cNvCxnSpPr/>
      </xdr:nvCxnSpPr>
      <xdr:spPr>
        <a:xfrm>
          <a:off x="10706100" y="7667625"/>
          <a:ext cx="4467225" cy="28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27</xdr:row>
      <xdr:rowOff>57150</xdr:rowOff>
    </xdr:from>
    <xdr:to>
      <xdr:col>8</xdr:col>
      <xdr:colOff>390525</xdr:colOff>
      <xdr:row>27</xdr:row>
      <xdr:rowOff>57151</xdr:rowOff>
    </xdr:to>
    <xdr:cxnSp macro="">
      <xdr:nvCxnSpPr>
        <xdr:cNvPr id="12" name="Straight Connector 11"/>
        <xdr:cNvCxnSpPr/>
      </xdr:nvCxnSpPr>
      <xdr:spPr>
        <a:xfrm flipV="1">
          <a:off x="10687050" y="7124700"/>
          <a:ext cx="1095375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1800225</xdr:colOff>
      <xdr:row>26</xdr:row>
      <xdr:rowOff>66674</xdr:rowOff>
    </xdr:from>
    <xdr:to>
      <xdr:col>8</xdr:col>
      <xdr:colOff>19050</xdr:colOff>
      <xdr:row>26</xdr:row>
      <xdr:rowOff>66675</xdr:rowOff>
    </xdr:to>
    <xdr:cxnSp macro="">
      <xdr:nvCxnSpPr>
        <xdr:cNvPr id="14" name="Straight Connector 13"/>
        <xdr:cNvCxnSpPr/>
      </xdr:nvCxnSpPr>
      <xdr:spPr>
        <a:xfrm flipV="1">
          <a:off x="10315575" y="6896099"/>
          <a:ext cx="10953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27</xdr:row>
      <xdr:rowOff>76202</xdr:rowOff>
    </xdr:from>
    <xdr:to>
      <xdr:col>12</xdr:col>
      <xdr:colOff>485775</xdr:colOff>
      <xdr:row>27</xdr:row>
      <xdr:rowOff>85725</xdr:rowOff>
    </xdr:to>
    <xdr:cxnSp macro="">
      <xdr:nvCxnSpPr>
        <xdr:cNvPr id="16" name="Straight Connector 15"/>
        <xdr:cNvCxnSpPr/>
      </xdr:nvCxnSpPr>
      <xdr:spPr>
        <a:xfrm flipV="1">
          <a:off x="13935075" y="7143752"/>
          <a:ext cx="1162050" cy="952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381001</xdr:colOff>
      <xdr:row>27</xdr:row>
      <xdr:rowOff>66674</xdr:rowOff>
    </xdr:from>
    <xdr:to>
      <xdr:col>9</xdr:col>
      <xdr:colOff>57151</xdr:colOff>
      <xdr:row>29</xdr:row>
      <xdr:rowOff>133349</xdr:rowOff>
    </xdr:to>
    <xdr:cxnSp macro="">
      <xdr:nvCxnSpPr>
        <xdr:cNvPr id="21" name="Straight Connector 20"/>
        <xdr:cNvCxnSpPr/>
      </xdr:nvCxnSpPr>
      <xdr:spPr>
        <a:xfrm rot="16200000" flipH="1">
          <a:off x="11644313" y="7262812"/>
          <a:ext cx="542925" cy="2857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114301</xdr:colOff>
      <xdr:row>27</xdr:row>
      <xdr:rowOff>66674</xdr:rowOff>
    </xdr:from>
    <xdr:to>
      <xdr:col>11</xdr:col>
      <xdr:colOff>285751</xdr:colOff>
      <xdr:row>29</xdr:row>
      <xdr:rowOff>152399</xdr:rowOff>
    </xdr:to>
    <xdr:cxnSp macro="">
      <xdr:nvCxnSpPr>
        <xdr:cNvPr id="23" name="Straight Connector 22"/>
        <xdr:cNvCxnSpPr/>
      </xdr:nvCxnSpPr>
      <xdr:spPr>
        <a:xfrm rot="5400000">
          <a:off x="13577888" y="7329487"/>
          <a:ext cx="561975" cy="171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723900</xdr:colOff>
      <xdr:row>28</xdr:row>
      <xdr:rowOff>171450</xdr:rowOff>
    </xdr:from>
    <xdr:to>
      <xdr:col>7</xdr:col>
      <xdr:colOff>876300</xdr:colOff>
      <xdr:row>29</xdr:row>
      <xdr:rowOff>47624</xdr:rowOff>
    </xdr:to>
    <xdr:sp macro="" textlink="">
      <xdr:nvSpPr>
        <xdr:cNvPr id="25" name="Oval 24"/>
        <xdr:cNvSpPr/>
      </xdr:nvSpPr>
      <xdr:spPr>
        <a:xfrm>
          <a:off x="11220450" y="7477125"/>
          <a:ext cx="152400" cy="11429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228600</xdr:colOff>
      <xdr:row>28</xdr:row>
      <xdr:rowOff>171450</xdr:rowOff>
    </xdr:from>
    <xdr:to>
      <xdr:col>8</xdr:col>
      <xdr:colOff>381000</xdr:colOff>
      <xdr:row>29</xdr:row>
      <xdr:rowOff>47624</xdr:rowOff>
    </xdr:to>
    <xdr:sp macro="" textlink="">
      <xdr:nvSpPr>
        <xdr:cNvPr id="26" name="Oval 25"/>
        <xdr:cNvSpPr/>
      </xdr:nvSpPr>
      <xdr:spPr>
        <a:xfrm>
          <a:off x="11620500" y="7477125"/>
          <a:ext cx="152400" cy="11429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171450</xdr:colOff>
      <xdr:row>28</xdr:row>
      <xdr:rowOff>200025</xdr:rowOff>
    </xdr:from>
    <xdr:to>
      <xdr:col>9</xdr:col>
      <xdr:colOff>323850</xdr:colOff>
      <xdr:row>29</xdr:row>
      <xdr:rowOff>76199</xdr:rowOff>
    </xdr:to>
    <xdr:sp macro="" textlink="">
      <xdr:nvSpPr>
        <xdr:cNvPr id="27" name="Oval 26"/>
        <xdr:cNvSpPr/>
      </xdr:nvSpPr>
      <xdr:spPr>
        <a:xfrm>
          <a:off x="12172950" y="7505700"/>
          <a:ext cx="152400" cy="11429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9525</xdr:colOff>
      <xdr:row>28</xdr:row>
      <xdr:rowOff>200025</xdr:rowOff>
    </xdr:from>
    <xdr:to>
      <xdr:col>10</xdr:col>
      <xdr:colOff>142875</xdr:colOff>
      <xdr:row>29</xdr:row>
      <xdr:rowOff>76199</xdr:rowOff>
    </xdr:to>
    <xdr:sp macro="" textlink="">
      <xdr:nvSpPr>
        <xdr:cNvPr id="28" name="Oval 27"/>
        <xdr:cNvSpPr/>
      </xdr:nvSpPr>
      <xdr:spPr>
        <a:xfrm>
          <a:off x="12620625" y="7505700"/>
          <a:ext cx="133350" cy="11429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866775</xdr:colOff>
      <xdr:row>28</xdr:row>
      <xdr:rowOff>190500</xdr:rowOff>
    </xdr:from>
    <xdr:to>
      <xdr:col>10</xdr:col>
      <xdr:colOff>1019175</xdr:colOff>
      <xdr:row>29</xdr:row>
      <xdr:rowOff>66674</xdr:rowOff>
    </xdr:to>
    <xdr:sp macro="" textlink="">
      <xdr:nvSpPr>
        <xdr:cNvPr id="29" name="Oval 28"/>
        <xdr:cNvSpPr/>
      </xdr:nvSpPr>
      <xdr:spPr>
        <a:xfrm>
          <a:off x="13477875" y="7496175"/>
          <a:ext cx="152400" cy="11429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142875</xdr:colOff>
      <xdr:row>28</xdr:row>
      <xdr:rowOff>200025</xdr:rowOff>
    </xdr:from>
    <xdr:to>
      <xdr:col>12</xdr:col>
      <xdr:colOff>295275</xdr:colOff>
      <xdr:row>29</xdr:row>
      <xdr:rowOff>76199</xdr:rowOff>
    </xdr:to>
    <xdr:sp macro="" textlink="">
      <xdr:nvSpPr>
        <xdr:cNvPr id="30" name="Oval 29"/>
        <xdr:cNvSpPr/>
      </xdr:nvSpPr>
      <xdr:spPr>
        <a:xfrm>
          <a:off x="14754225" y="7505700"/>
          <a:ext cx="152400" cy="11429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542925</xdr:colOff>
      <xdr:row>28</xdr:row>
      <xdr:rowOff>209550</xdr:rowOff>
    </xdr:from>
    <xdr:to>
      <xdr:col>11</xdr:col>
      <xdr:colOff>695325</xdr:colOff>
      <xdr:row>29</xdr:row>
      <xdr:rowOff>85724</xdr:rowOff>
    </xdr:to>
    <xdr:sp macro="" textlink="">
      <xdr:nvSpPr>
        <xdr:cNvPr id="31" name="Oval 30"/>
        <xdr:cNvSpPr/>
      </xdr:nvSpPr>
      <xdr:spPr>
        <a:xfrm>
          <a:off x="14201775" y="7515225"/>
          <a:ext cx="152400" cy="11429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428625</xdr:colOff>
      <xdr:row>28</xdr:row>
      <xdr:rowOff>171450</xdr:rowOff>
    </xdr:from>
    <xdr:to>
      <xdr:col>10</xdr:col>
      <xdr:colOff>581025</xdr:colOff>
      <xdr:row>29</xdr:row>
      <xdr:rowOff>47624</xdr:rowOff>
    </xdr:to>
    <xdr:sp macro="" textlink="">
      <xdr:nvSpPr>
        <xdr:cNvPr id="32" name="Oval 31"/>
        <xdr:cNvSpPr/>
      </xdr:nvSpPr>
      <xdr:spPr>
        <a:xfrm>
          <a:off x="13039725" y="7477125"/>
          <a:ext cx="152400" cy="11429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282483</xdr:colOff>
      <xdr:row>29</xdr:row>
      <xdr:rowOff>21360</xdr:rowOff>
    </xdr:from>
    <xdr:to>
      <xdr:col>11</xdr:col>
      <xdr:colOff>381002</xdr:colOff>
      <xdr:row>36</xdr:row>
      <xdr:rowOff>247653</xdr:rowOff>
    </xdr:to>
    <xdr:cxnSp macro="">
      <xdr:nvCxnSpPr>
        <xdr:cNvPr id="34" name="Straight Arrow Connector 33"/>
        <xdr:cNvCxnSpPr/>
      </xdr:nvCxnSpPr>
      <xdr:spPr>
        <a:xfrm rot="16200000" flipH="1">
          <a:off x="12177234" y="7671909"/>
          <a:ext cx="1969368" cy="17558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29</xdr:row>
      <xdr:rowOff>47624</xdr:rowOff>
    </xdr:from>
    <xdr:to>
      <xdr:col>11</xdr:col>
      <xdr:colOff>371478</xdr:colOff>
      <xdr:row>36</xdr:row>
      <xdr:rowOff>247653</xdr:rowOff>
    </xdr:to>
    <xdr:cxnSp macro="">
      <xdr:nvCxnSpPr>
        <xdr:cNvPr id="39" name="Straight Arrow Connector 38"/>
        <xdr:cNvCxnSpPr>
          <a:stCxn id="26" idx="4"/>
        </xdr:cNvCxnSpPr>
      </xdr:nvCxnSpPr>
      <xdr:spPr>
        <a:xfrm rot="16200000" flipH="1">
          <a:off x="11891962" y="7396162"/>
          <a:ext cx="1943104" cy="23336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</xdr:colOff>
      <xdr:row>23</xdr:row>
      <xdr:rowOff>209551</xdr:rowOff>
    </xdr:from>
    <xdr:to>
      <xdr:col>12</xdr:col>
      <xdr:colOff>342900</xdr:colOff>
      <xdr:row>27</xdr:row>
      <xdr:rowOff>180976</xdr:rowOff>
    </xdr:to>
    <xdr:cxnSp macro="">
      <xdr:nvCxnSpPr>
        <xdr:cNvPr id="42" name="Straight Arrow Connector 41"/>
        <xdr:cNvCxnSpPr/>
      </xdr:nvCxnSpPr>
      <xdr:spPr>
        <a:xfrm rot="5400000" flipH="1" flipV="1">
          <a:off x="13954125" y="6248401"/>
          <a:ext cx="1019175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1781175</xdr:colOff>
      <xdr:row>31</xdr:row>
      <xdr:rowOff>66675</xdr:rowOff>
    </xdr:from>
    <xdr:to>
      <xdr:col>13</xdr:col>
      <xdr:colOff>561975</xdr:colOff>
      <xdr:row>31</xdr:row>
      <xdr:rowOff>76200</xdr:rowOff>
    </xdr:to>
    <xdr:cxnSp macro="">
      <xdr:nvCxnSpPr>
        <xdr:cNvPr id="38" name="Straight Arrow Connector 37"/>
        <xdr:cNvCxnSpPr/>
      </xdr:nvCxnSpPr>
      <xdr:spPr>
        <a:xfrm>
          <a:off x="10296525" y="8105775"/>
          <a:ext cx="5486400" cy="9525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1838325</xdr:colOff>
      <xdr:row>36</xdr:row>
      <xdr:rowOff>238125</xdr:rowOff>
    </xdr:from>
    <xdr:to>
      <xdr:col>8</xdr:col>
      <xdr:colOff>9525</xdr:colOff>
      <xdr:row>36</xdr:row>
      <xdr:rowOff>239713</xdr:rowOff>
    </xdr:to>
    <xdr:cxnSp macro="">
      <xdr:nvCxnSpPr>
        <xdr:cNvPr id="43" name="Straight Arrow Connector 42"/>
        <xdr:cNvCxnSpPr/>
      </xdr:nvCxnSpPr>
      <xdr:spPr>
        <a:xfrm>
          <a:off x="10353675" y="9525000"/>
          <a:ext cx="1047750" cy="1588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41</xdr:row>
      <xdr:rowOff>57149</xdr:rowOff>
    </xdr:from>
    <xdr:to>
      <xdr:col>6</xdr:col>
      <xdr:colOff>1343025</xdr:colOff>
      <xdr:row>45</xdr:row>
      <xdr:rowOff>200025</xdr:rowOff>
    </xdr:to>
    <xdr:sp macro="" textlink="">
      <xdr:nvSpPr>
        <xdr:cNvPr id="2" name="Rectangle 1"/>
        <xdr:cNvSpPr/>
      </xdr:nvSpPr>
      <xdr:spPr>
        <a:xfrm>
          <a:off x="3819525" y="10182224"/>
          <a:ext cx="7048500" cy="109537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66675</xdr:colOff>
      <xdr:row>45</xdr:row>
      <xdr:rowOff>190500</xdr:rowOff>
    </xdr:from>
    <xdr:to>
      <xdr:col>2</xdr:col>
      <xdr:colOff>904875</xdr:colOff>
      <xdr:row>51</xdr:row>
      <xdr:rowOff>190500</xdr:rowOff>
    </xdr:to>
    <xdr:sp macro="" textlink="">
      <xdr:nvSpPr>
        <xdr:cNvPr id="3" name="Rectangle 2"/>
        <xdr:cNvSpPr/>
      </xdr:nvSpPr>
      <xdr:spPr>
        <a:xfrm>
          <a:off x="3829050" y="11268075"/>
          <a:ext cx="838200" cy="14287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438150</xdr:colOff>
      <xdr:row>45</xdr:row>
      <xdr:rowOff>228599</xdr:rowOff>
    </xdr:from>
    <xdr:to>
      <xdr:col>6</xdr:col>
      <xdr:colOff>1333500</xdr:colOff>
      <xdr:row>51</xdr:row>
      <xdr:rowOff>219074</xdr:rowOff>
    </xdr:to>
    <xdr:sp macro="" textlink="">
      <xdr:nvSpPr>
        <xdr:cNvPr id="4" name="Rectangle 3"/>
        <xdr:cNvSpPr/>
      </xdr:nvSpPr>
      <xdr:spPr>
        <a:xfrm>
          <a:off x="9963150" y="11306174"/>
          <a:ext cx="895350" cy="1419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19050</xdr:colOff>
      <xdr:row>44</xdr:row>
      <xdr:rowOff>95250</xdr:rowOff>
    </xdr:from>
    <xdr:to>
      <xdr:col>6</xdr:col>
      <xdr:colOff>1304925</xdr:colOff>
      <xdr:row>44</xdr:row>
      <xdr:rowOff>161925</xdr:rowOff>
    </xdr:to>
    <xdr:cxnSp macro="">
      <xdr:nvCxnSpPr>
        <xdr:cNvPr id="5" name="Straight Connector 4"/>
        <xdr:cNvCxnSpPr/>
      </xdr:nvCxnSpPr>
      <xdr:spPr>
        <a:xfrm>
          <a:off x="3781425" y="10934700"/>
          <a:ext cx="7048500" cy="666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42</xdr:row>
      <xdr:rowOff>66675</xdr:rowOff>
    </xdr:from>
    <xdr:to>
      <xdr:col>3</xdr:col>
      <xdr:colOff>0</xdr:colOff>
      <xdr:row>42</xdr:row>
      <xdr:rowOff>76201</xdr:rowOff>
    </xdr:to>
    <xdr:cxnSp macro="">
      <xdr:nvCxnSpPr>
        <xdr:cNvPr id="6" name="Straight Connector 5"/>
        <xdr:cNvCxnSpPr/>
      </xdr:nvCxnSpPr>
      <xdr:spPr>
        <a:xfrm flipV="1">
          <a:off x="3800475" y="10429875"/>
          <a:ext cx="1609725" cy="952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1800225</xdr:colOff>
      <xdr:row>41</xdr:row>
      <xdr:rowOff>66674</xdr:rowOff>
    </xdr:from>
    <xdr:to>
      <xdr:col>3</xdr:col>
      <xdr:colOff>19050</xdr:colOff>
      <xdr:row>41</xdr:row>
      <xdr:rowOff>66675</xdr:rowOff>
    </xdr:to>
    <xdr:cxnSp macro="">
      <xdr:nvCxnSpPr>
        <xdr:cNvPr id="7" name="Straight Connector 6"/>
        <xdr:cNvCxnSpPr/>
      </xdr:nvCxnSpPr>
      <xdr:spPr>
        <a:xfrm flipV="1">
          <a:off x="10315575" y="6896099"/>
          <a:ext cx="10953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1609725</xdr:colOff>
      <xdr:row>42</xdr:row>
      <xdr:rowOff>66675</xdr:rowOff>
    </xdr:from>
    <xdr:to>
      <xdr:col>6</xdr:col>
      <xdr:colOff>1314450</xdr:colOff>
      <xdr:row>42</xdr:row>
      <xdr:rowOff>95250</xdr:rowOff>
    </xdr:to>
    <xdr:cxnSp macro="">
      <xdr:nvCxnSpPr>
        <xdr:cNvPr id="8" name="Straight Connector 7"/>
        <xdr:cNvCxnSpPr/>
      </xdr:nvCxnSpPr>
      <xdr:spPr>
        <a:xfrm>
          <a:off x="9048750" y="10429875"/>
          <a:ext cx="1790700" cy="285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1600201</xdr:colOff>
      <xdr:row>42</xdr:row>
      <xdr:rowOff>38099</xdr:rowOff>
    </xdr:from>
    <xdr:to>
      <xdr:col>3</xdr:col>
      <xdr:colOff>514351</xdr:colOff>
      <xdr:row>44</xdr:row>
      <xdr:rowOff>104774</xdr:rowOff>
    </xdr:to>
    <xdr:cxnSp macro="">
      <xdr:nvCxnSpPr>
        <xdr:cNvPr id="9" name="Straight Connector 8"/>
        <xdr:cNvCxnSpPr/>
      </xdr:nvCxnSpPr>
      <xdr:spPr>
        <a:xfrm rot="16200000" flipH="1">
          <a:off x="5372101" y="10391774"/>
          <a:ext cx="542925" cy="5619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1447801</xdr:colOff>
      <xdr:row>42</xdr:row>
      <xdr:rowOff>47626</xdr:rowOff>
    </xdr:from>
    <xdr:to>
      <xdr:col>5</xdr:col>
      <xdr:colOff>1619251</xdr:colOff>
      <xdr:row>44</xdr:row>
      <xdr:rowOff>133351</xdr:rowOff>
    </xdr:to>
    <xdr:cxnSp macro="">
      <xdr:nvCxnSpPr>
        <xdr:cNvPr id="10" name="Straight Connector 9"/>
        <xdr:cNvCxnSpPr/>
      </xdr:nvCxnSpPr>
      <xdr:spPr>
        <a:xfrm rot="5400000">
          <a:off x="8691563" y="10606089"/>
          <a:ext cx="561975" cy="171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323850</xdr:colOff>
      <xdr:row>43</xdr:row>
      <xdr:rowOff>180975</xdr:rowOff>
    </xdr:from>
    <xdr:to>
      <xdr:col>2</xdr:col>
      <xdr:colOff>476250</xdr:colOff>
      <xdr:row>44</xdr:row>
      <xdr:rowOff>57149</xdr:rowOff>
    </xdr:to>
    <xdr:sp macro="" textlink="">
      <xdr:nvSpPr>
        <xdr:cNvPr id="11" name="Oval 10"/>
        <xdr:cNvSpPr/>
      </xdr:nvSpPr>
      <xdr:spPr>
        <a:xfrm>
          <a:off x="4086225" y="10782300"/>
          <a:ext cx="152400" cy="11429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771525</xdr:colOff>
      <xdr:row>43</xdr:row>
      <xdr:rowOff>190500</xdr:rowOff>
    </xdr:from>
    <xdr:to>
      <xdr:col>4</xdr:col>
      <xdr:colOff>38100</xdr:colOff>
      <xdr:row>44</xdr:row>
      <xdr:rowOff>66674</xdr:rowOff>
    </xdr:to>
    <xdr:sp macro="" textlink="">
      <xdr:nvSpPr>
        <xdr:cNvPr id="12" name="Oval 11"/>
        <xdr:cNvSpPr/>
      </xdr:nvSpPr>
      <xdr:spPr>
        <a:xfrm>
          <a:off x="6181725" y="10791825"/>
          <a:ext cx="152400" cy="11429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180975</xdr:colOff>
      <xdr:row>43</xdr:row>
      <xdr:rowOff>180975</xdr:rowOff>
    </xdr:from>
    <xdr:to>
      <xdr:col>6</xdr:col>
      <xdr:colOff>333375</xdr:colOff>
      <xdr:row>44</xdr:row>
      <xdr:rowOff>57149</xdr:rowOff>
    </xdr:to>
    <xdr:sp macro="" textlink="">
      <xdr:nvSpPr>
        <xdr:cNvPr id="15" name="Oval 14"/>
        <xdr:cNvSpPr/>
      </xdr:nvSpPr>
      <xdr:spPr>
        <a:xfrm>
          <a:off x="9705975" y="10782300"/>
          <a:ext cx="152400" cy="11429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161925</xdr:colOff>
      <xdr:row>43</xdr:row>
      <xdr:rowOff>161925</xdr:rowOff>
    </xdr:from>
    <xdr:to>
      <xdr:col>5</xdr:col>
      <xdr:colOff>314325</xdr:colOff>
      <xdr:row>44</xdr:row>
      <xdr:rowOff>38099</xdr:rowOff>
    </xdr:to>
    <xdr:sp macro="" textlink="">
      <xdr:nvSpPr>
        <xdr:cNvPr id="18" name="Oval 17"/>
        <xdr:cNvSpPr/>
      </xdr:nvSpPr>
      <xdr:spPr>
        <a:xfrm>
          <a:off x="7600950" y="10763250"/>
          <a:ext cx="152400" cy="11429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847726</xdr:colOff>
      <xdr:row>44</xdr:row>
      <xdr:rowOff>66673</xdr:rowOff>
    </xdr:from>
    <xdr:to>
      <xdr:col>5</xdr:col>
      <xdr:colOff>228601</xdr:colOff>
      <xdr:row>52</xdr:row>
      <xdr:rowOff>152399</xdr:rowOff>
    </xdr:to>
    <xdr:cxnSp macro="">
      <xdr:nvCxnSpPr>
        <xdr:cNvPr id="31" name="Straight Connector 30"/>
        <xdr:cNvCxnSpPr>
          <a:stCxn id="12" idx="4"/>
        </xdr:cNvCxnSpPr>
      </xdr:nvCxnSpPr>
      <xdr:spPr>
        <a:xfrm rot="16200000" flipH="1">
          <a:off x="5962650" y="11201399"/>
          <a:ext cx="2000251" cy="14097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237331</xdr:colOff>
      <xdr:row>44</xdr:row>
      <xdr:rowOff>181768</xdr:rowOff>
    </xdr:from>
    <xdr:to>
      <xdr:col>5</xdr:col>
      <xdr:colOff>238919</xdr:colOff>
      <xdr:row>52</xdr:row>
      <xdr:rowOff>200819</xdr:rowOff>
    </xdr:to>
    <xdr:cxnSp macro="">
      <xdr:nvCxnSpPr>
        <xdr:cNvPr id="33" name="Straight Connector 32"/>
        <xdr:cNvCxnSpPr/>
      </xdr:nvCxnSpPr>
      <xdr:spPr>
        <a:xfrm rot="5400000">
          <a:off x="6710362" y="11987212"/>
          <a:ext cx="1933576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42</xdr:row>
      <xdr:rowOff>76200</xdr:rowOff>
    </xdr:from>
    <xdr:to>
      <xdr:col>8</xdr:col>
      <xdr:colOff>361950</xdr:colOff>
      <xdr:row>46</xdr:row>
      <xdr:rowOff>228600</xdr:rowOff>
    </xdr:to>
    <xdr:cxnSp macro="">
      <xdr:nvCxnSpPr>
        <xdr:cNvPr id="35" name="Straight Connector 34"/>
        <xdr:cNvCxnSpPr/>
      </xdr:nvCxnSpPr>
      <xdr:spPr>
        <a:xfrm>
          <a:off x="10163175" y="10439400"/>
          <a:ext cx="2771775" cy="1104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504825</xdr:colOff>
      <xdr:row>15</xdr:row>
      <xdr:rowOff>209550</xdr:rowOff>
    </xdr:from>
    <xdr:to>
      <xdr:col>11</xdr:col>
      <xdr:colOff>104775</xdr:colOff>
      <xdr:row>24</xdr:row>
      <xdr:rowOff>133350</xdr:rowOff>
    </xdr:to>
    <xdr:sp macro="" textlink="">
      <xdr:nvSpPr>
        <xdr:cNvPr id="2" name="Rectangle 1"/>
        <xdr:cNvSpPr/>
      </xdr:nvSpPr>
      <xdr:spPr>
        <a:xfrm>
          <a:off x="10820400" y="3952875"/>
          <a:ext cx="1162050" cy="21526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1733550</xdr:colOff>
      <xdr:row>24</xdr:row>
      <xdr:rowOff>142875</xdr:rowOff>
    </xdr:from>
    <xdr:to>
      <xdr:col>13</xdr:col>
      <xdr:colOff>400050</xdr:colOff>
      <xdr:row>31</xdr:row>
      <xdr:rowOff>85725</xdr:rowOff>
    </xdr:to>
    <xdr:sp macro="" textlink="">
      <xdr:nvSpPr>
        <xdr:cNvPr id="3" name="Rectangle 2"/>
        <xdr:cNvSpPr/>
      </xdr:nvSpPr>
      <xdr:spPr>
        <a:xfrm>
          <a:off x="9534525" y="6115050"/>
          <a:ext cx="3962400" cy="16668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1790700</xdr:colOff>
      <xdr:row>15</xdr:row>
      <xdr:rowOff>209550</xdr:rowOff>
    </xdr:from>
    <xdr:to>
      <xdr:col>13</xdr:col>
      <xdr:colOff>400050</xdr:colOff>
      <xdr:row>15</xdr:row>
      <xdr:rowOff>219075</xdr:rowOff>
    </xdr:to>
    <xdr:cxnSp macro="">
      <xdr:nvCxnSpPr>
        <xdr:cNvPr id="5" name="Straight Connector 4"/>
        <xdr:cNvCxnSpPr/>
      </xdr:nvCxnSpPr>
      <xdr:spPr>
        <a:xfrm>
          <a:off x="9591675" y="3952875"/>
          <a:ext cx="39052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675481</xdr:colOff>
      <xdr:row>17</xdr:row>
      <xdr:rowOff>48419</xdr:rowOff>
    </xdr:from>
    <xdr:to>
      <xdr:col>9</xdr:col>
      <xdr:colOff>677069</xdr:colOff>
      <xdr:row>26</xdr:row>
      <xdr:rowOff>124619</xdr:rowOff>
    </xdr:to>
    <xdr:cxnSp macro="">
      <xdr:nvCxnSpPr>
        <xdr:cNvPr id="7" name="Straight Connector 6"/>
        <xdr:cNvCxnSpPr/>
      </xdr:nvCxnSpPr>
      <xdr:spPr>
        <a:xfrm rot="5400000">
          <a:off x="9839325" y="5419725"/>
          <a:ext cx="230505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504825</xdr:colOff>
      <xdr:row>17</xdr:row>
      <xdr:rowOff>104775</xdr:rowOff>
    </xdr:from>
    <xdr:to>
      <xdr:col>10</xdr:col>
      <xdr:colOff>523875</xdr:colOff>
      <xdr:row>26</xdr:row>
      <xdr:rowOff>85725</xdr:rowOff>
    </xdr:to>
    <xdr:cxnSp macro="">
      <xdr:nvCxnSpPr>
        <xdr:cNvPr id="9" name="Straight Connector 8"/>
        <xdr:cNvCxnSpPr/>
      </xdr:nvCxnSpPr>
      <xdr:spPr>
        <a:xfrm rot="16200000" flipH="1">
          <a:off x="10677525" y="5419725"/>
          <a:ext cx="2209800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2447925</xdr:colOff>
      <xdr:row>26</xdr:row>
      <xdr:rowOff>123824</xdr:rowOff>
    </xdr:from>
    <xdr:to>
      <xdr:col>9</xdr:col>
      <xdr:colOff>676277</xdr:colOff>
      <xdr:row>26</xdr:row>
      <xdr:rowOff>133350</xdr:rowOff>
    </xdr:to>
    <xdr:cxnSp macro="">
      <xdr:nvCxnSpPr>
        <xdr:cNvPr id="12" name="Straight Connector 11"/>
        <xdr:cNvCxnSpPr/>
      </xdr:nvCxnSpPr>
      <xdr:spPr>
        <a:xfrm rot="10800000" flipV="1">
          <a:off x="10248900" y="6572249"/>
          <a:ext cx="742952" cy="9526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26</xdr:row>
      <xdr:rowOff>66675</xdr:rowOff>
    </xdr:from>
    <xdr:to>
      <xdr:col>12</xdr:col>
      <xdr:colOff>161925</xdr:colOff>
      <xdr:row>26</xdr:row>
      <xdr:rowOff>85725</xdr:rowOff>
    </xdr:to>
    <xdr:cxnSp macro="">
      <xdr:nvCxnSpPr>
        <xdr:cNvPr id="14" name="Straight Connector 13"/>
        <xdr:cNvCxnSpPr/>
      </xdr:nvCxnSpPr>
      <xdr:spPr>
        <a:xfrm>
          <a:off x="11763375" y="6515100"/>
          <a:ext cx="885825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704850</xdr:colOff>
      <xdr:row>18</xdr:row>
      <xdr:rowOff>114300</xdr:rowOff>
    </xdr:from>
    <xdr:to>
      <xdr:col>10</xdr:col>
      <xdr:colOff>495300</xdr:colOff>
      <xdr:row>18</xdr:row>
      <xdr:rowOff>123825</xdr:rowOff>
    </xdr:to>
    <xdr:cxnSp macro="">
      <xdr:nvCxnSpPr>
        <xdr:cNvPr id="19" name="Straight Connector 18"/>
        <xdr:cNvCxnSpPr/>
      </xdr:nvCxnSpPr>
      <xdr:spPr>
        <a:xfrm flipV="1">
          <a:off x="11020425" y="4572000"/>
          <a:ext cx="74295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666750</xdr:colOff>
      <xdr:row>20</xdr:row>
      <xdr:rowOff>28575</xdr:rowOff>
    </xdr:from>
    <xdr:to>
      <xdr:col>10</xdr:col>
      <xdr:colOff>476250</xdr:colOff>
      <xdr:row>20</xdr:row>
      <xdr:rowOff>38100</xdr:rowOff>
    </xdr:to>
    <xdr:cxnSp macro="">
      <xdr:nvCxnSpPr>
        <xdr:cNvPr id="21" name="Straight Connector 20"/>
        <xdr:cNvCxnSpPr/>
      </xdr:nvCxnSpPr>
      <xdr:spPr>
        <a:xfrm flipV="1">
          <a:off x="10982325" y="5019675"/>
          <a:ext cx="762000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676275</xdr:colOff>
      <xdr:row>21</xdr:row>
      <xdr:rowOff>123825</xdr:rowOff>
    </xdr:from>
    <xdr:to>
      <xdr:col>10</xdr:col>
      <xdr:colOff>504825</xdr:colOff>
      <xdr:row>21</xdr:row>
      <xdr:rowOff>125413</xdr:rowOff>
    </xdr:to>
    <xdr:cxnSp macro="">
      <xdr:nvCxnSpPr>
        <xdr:cNvPr id="23" name="Straight Connector 22"/>
        <xdr:cNvCxnSpPr/>
      </xdr:nvCxnSpPr>
      <xdr:spPr>
        <a:xfrm>
          <a:off x="10991850" y="5353050"/>
          <a:ext cx="781050" cy="1588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685800</xdr:colOff>
      <xdr:row>23</xdr:row>
      <xdr:rowOff>38100</xdr:rowOff>
    </xdr:from>
    <xdr:to>
      <xdr:col>10</xdr:col>
      <xdr:colOff>542925</xdr:colOff>
      <xdr:row>23</xdr:row>
      <xdr:rowOff>47625</xdr:rowOff>
    </xdr:to>
    <xdr:cxnSp macro="">
      <xdr:nvCxnSpPr>
        <xdr:cNvPr id="27" name="Straight Connector 26"/>
        <xdr:cNvCxnSpPr/>
      </xdr:nvCxnSpPr>
      <xdr:spPr>
        <a:xfrm>
          <a:off x="11001375" y="5772150"/>
          <a:ext cx="809625" cy="95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1943100</xdr:colOff>
      <xdr:row>29</xdr:row>
      <xdr:rowOff>114300</xdr:rowOff>
    </xdr:from>
    <xdr:to>
      <xdr:col>13</xdr:col>
      <xdr:colOff>57150</xdr:colOff>
      <xdr:row>29</xdr:row>
      <xdr:rowOff>152400</xdr:rowOff>
    </xdr:to>
    <xdr:cxnSp macro="">
      <xdr:nvCxnSpPr>
        <xdr:cNvPr id="31" name="Straight Connector 30"/>
        <xdr:cNvCxnSpPr/>
      </xdr:nvCxnSpPr>
      <xdr:spPr>
        <a:xfrm>
          <a:off x="9744075" y="7334250"/>
          <a:ext cx="3409950" cy="381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2000255</xdr:colOff>
      <xdr:row>28</xdr:row>
      <xdr:rowOff>200025</xdr:rowOff>
    </xdr:from>
    <xdr:to>
      <xdr:col>8</xdr:col>
      <xdr:colOff>2009777</xdr:colOff>
      <xdr:row>29</xdr:row>
      <xdr:rowOff>123828</xdr:rowOff>
    </xdr:to>
    <xdr:cxnSp macro="">
      <xdr:nvCxnSpPr>
        <xdr:cNvPr id="37" name="Straight Connector 36"/>
        <xdr:cNvCxnSpPr/>
      </xdr:nvCxnSpPr>
      <xdr:spPr>
        <a:xfrm rot="16200000" flipV="1">
          <a:off x="9710739" y="7243766"/>
          <a:ext cx="190503" cy="95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28573</xdr:colOff>
      <xdr:row>28</xdr:row>
      <xdr:rowOff>200026</xdr:rowOff>
    </xdr:from>
    <xdr:to>
      <xdr:col>13</xdr:col>
      <xdr:colOff>38102</xdr:colOff>
      <xdr:row>29</xdr:row>
      <xdr:rowOff>190502</xdr:rowOff>
    </xdr:to>
    <xdr:cxnSp macro="">
      <xdr:nvCxnSpPr>
        <xdr:cNvPr id="39" name="Straight Connector 38"/>
        <xdr:cNvCxnSpPr/>
      </xdr:nvCxnSpPr>
      <xdr:spPr>
        <a:xfrm rot="5400000" flipH="1" flipV="1">
          <a:off x="13001625" y="7277099"/>
          <a:ext cx="257176" cy="95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2124075</xdr:colOff>
      <xdr:row>28</xdr:row>
      <xdr:rowOff>200025</xdr:rowOff>
    </xdr:from>
    <xdr:to>
      <xdr:col>8</xdr:col>
      <xdr:colOff>2305050</xdr:colOff>
      <xdr:row>29</xdr:row>
      <xdr:rowOff>85724</xdr:rowOff>
    </xdr:to>
    <xdr:sp macro="" textlink="">
      <xdr:nvSpPr>
        <xdr:cNvPr id="45" name="Oval 44"/>
        <xdr:cNvSpPr/>
      </xdr:nvSpPr>
      <xdr:spPr>
        <a:xfrm flipV="1">
          <a:off x="9925050" y="7153275"/>
          <a:ext cx="180975" cy="15239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352425</xdr:colOff>
      <xdr:row>28</xdr:row>
      <xdr:rowOff>200025</xdr:rowOff>
    </xdr:from>
    <xdr:to>
      <xdr:col>9</xdr:col>
      <xdr:colOff>533400</xdr:colOff>
      <xdr:row>29</xdr:row>
      <xdr:rowOff>85724</xdr:rowOff>
    </xdr:to>
    <xdr:sp macro="" textlink="">
      <xdr:nvSpPr>
        <xdr:cNvPr id="46" name="Oval 45"/>
        <xdr:cNvSpPr/>
      </xdr:nvSpPr>
      <xdr:spPr>
        <a:xfrm flipV="1">
          <a:off x="10668000" y="7153275"/>
          <a:ext cx="180975" cy="15239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76200</xdr:colOff>
      <xdr:row>28</xdr:row>
      <xdr:rowOff>200025</xdr:rowOff>
    </xdr:from>
    <xdr:to>
      <xdr:col>10</xdr:col>
      <xdr:colOff>257175</xdr:colOff>
      <xdr:row>29</xdr:row>
      <xdr:rowOff>85724</xdr:rowOff>
    </xdr:to>
    <xdr:sp macro="" textlink="">
      <xdr:nvSpPr>
        <xdr:cNvPr id="47" name="Oval 46"/>
        <xdr:cNvSpPr/>
      </xdr:nvSpPr>
      <xdr:spPr>
        <a:xfrm flipV="1">
          <a:off x="11344275" y="7153275"/>
          <a:ext cx="180975" cy="15239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190500</xdr:colOff>
      <xdr:row>28</xdr:row>
      <xdr:rowOff>209550</xdr:rowOff>
    </xdr:from>
    <xdr:to>
      <xdr:col>11</xdr:col>
      <xdr:colOff>371475</xdr:colOff>
      <xdr:row>29</xdr:row>
      <xdr:rowOff>95249</xdr:rowOff>
    </xdr:to>
    <xdr:sp macro="" textlink="">
      <xdr:nvSpPr>
        <xdr:cNvPr id="48" name="Oval 47"/>
        <xdr:cNvSpPr/>
      </xdr:nvSpPr>
      <xdr:spPr>
        <a:xfrm flipV="1">
          <a:off x="12068175" y="7162800"/>
          <a:ext cx="180975" cy="15239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361950</xdr:colOff>
      <xdr:row>28</xdr:row>
      <xdr:rowOff>209550</xdr:rowOff>
    </xdr:from>
    <xdr:to>
      <xdr:col>12</xdr:col>
      <xdr:colOff>542925</xdr:colOff>
      <xdr:row>29</xdr:row>
      <xdr:rowOff>95249</xdr:rowOff>
    </xdr:to>
    <xdr:sp macro="" textlink="">
      <xdr:nvSpPr>
        <xdr:cNvPr id="49" name="Oval 48"/>
        <xdr:cNvSpPr/>
      </xdr:nvSpPr>
      <xdr:spPr>
        <a:xfrm flipV="1">
          <a:off x="12849225" y="7162800"/>
          <a:ext cx="180975" cy="15239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2419350</xdr:colOff>
      <xdr:row>29</xdr:row>
      <xdr:rowOff>9525</xdr:rowOff>
    </xdr:from>
    <xdr:to>
      <xdr:col>13</xdr:col>
      <xdr:colOff>66675</xdr:colOff>
      <xdr:row>32</xdr:row>
      <xdr:rowOff>171450</xdr:rowOff>
    </xdr:to>
    <xdr:cxnSp macro="">
      <xdr:nvCxnSpPr>
        <xdr:cNvPr id="51" name="Straight Connector 50"/>
        <xdr:cNvCxnSpPr/>
      </xdr:nvCxnSpPr>
      <xdr:spPr>
        <a:xfrm>
          <a:off x="10220325" y="7229475"/>
          <a:ext cx="2943225" cy="876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29</xdr:row>
      <xdr:rowOff>38100</xdr:rowOff>
    </xdr:from>
    <xdr:to>
      <xdr:col>13</xdr:col>
      <xdr:colOff>66675</xdr:colOff>
      <xdr:row>32</xdr:row>
      <xdr:rowOff>161925</xdr:rowOff>
    </xdr:to>
    <xdr:cxnSp macro="">
      <xdr:nvCxnSpPr>
        <xdr:cNvPr id="53" name="Straight Connector 52"/>
        <xdr:cNvCxnSpPr/>
      </xdr:nvCxnSpPr>
      <xdr:spPr>
        <a:xfrm>
          <a:off x="11582400" y="7258050"/>
          <a:ext cx="1581150" cy="8382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29</xdr:row>
      <xdr:rowOff>104774</xdr:rowOff>
    </xdr:from>
    <xdr:to>
      <xdr:col>13</xdr:col>
      <xdr:colOff>57150</xdr:colOff>
      <xdr:row>32</xdr:row>
      <xdr:rowOff>180974</xdr:rowOff>
    </xdr:to>
    <xdr:cxnSp macro="">
      <xdr:nvCxnSpPr>
        <xdr:cNvPr id="55" name="Straight Connector 54"/>
        <xdr:cNvCxnSpPr/>
      </xdr:nvCxnSpPr>
      <xdr:spPr>
        <a:xfrm rot="16200000" flipH="1">
          <a:off x="12715875" y="7677149"/>
          <a:ext cx="790575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800101</xdr:colOff>
      <xdr:row>15</xdr:row>
      <xdr:rowOff>190499</xdr:rowOff>
    </xdr:from>
    <xdr:to>
      <xdr:col>10</xdr:col>
      <xdr:colOff>76201</xdr:colOff>
      <xdr:row>17</xdr:row>
      <xdr:rowOff>9524</xdr:rowOff>
    </xdr:to>
    <xdr:cxnSp macro="">
      <xdr:nvCxnSpPr>
        <xdr:cNvPr id="57" name="Straight Connector 56"/>
        <xdr:cNvCxnSpPr/>
      </xdr:nvCxnSpPr>
      <xdr:spPr>
        <a:xfrm rot="16200000" flipH="1">
          <a:off x="11082338" y="3967162"/>
          <a:ext cx="295275" cy="2286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14</xdr:row>
      <xdr:rowOff>95252</xdr:rowOff>
    </xdr:from>
    <xdr:to>
      <xdr:col>10</xdr:col>
      <xdr:colOff>247649</xdr:colOff>
      <xdr:row>17</xdr:row>
      <xdr:rowOff>28576</xdr:rowOff>
    </xdr:to>
    <xdr:cxnSp macro="">
      <xdr:nvCxnSpPr>
        <xdr:cNvPr id="59" name="Straight Connector 58"/>
        <xdr:cNvCxnSpPr/>
      </xdr:nvCxnSpPr>
      <xdr:spPr>
        <a:xfrm rot="5400000" flipH="1" flipV="1">
          <a:off x="11096625" y="3829052"/>
          <a:ext cx="647699" cy="190499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228599</xdr:colOff>
      <xdr:row>14</xdr:row>
      <xdr:rowOff>104778</xdr:rowOff>
    </xdr:from>
    <xdr:to>
      <xdr:col>10</xdr:col>
      <xdr:colOff>428624</xdr:colOff>
      <xdr:row>16</xdr:row>
      <xdr:rowOff>0</xdr:rowOff>
    </xdr:to>
    <xdr:cxnSp macro="">
      <xdr:nvCxnSpPr>
        <xdr:cNvPr id="61" name="Straight Connector 60"/>
        <xdr:cNvCxnSpPr/>
      </xdr:nvCxnSpPr>
      <xdr:spPr>
        <a:xfrm rot="16200000" flipH="1">
          <a:off x="11591926" y="3724276"/>
          <a:ext cx="371472" cy="200025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219075</xdr:colOff>
      <xdr:row>22</xdr:row>
      <xdr:rowOff>123825</xdr:rowOff>
    </xdr:from>
    <xdr:to>
      <xdr:col>14</xdr:col>
      <xdr:colOff>438150</xdr:colOff>
      <xdr:row>26</xdr:row>
      <xdr:rowOff>47625</xdr:rowOff>
    </xdr:to>
    <xdr:cxnSp macro="">
      <xdr:nvCxnSpPr>
        <xdr:cNvPr id="64" name="Straight Connector 63"/>
        <xdr:cNvCxnSpPr/>
      </xdr:nvCxnSpPr>
      <xdr:spPr>
        <a:xfrm flipV="1">
          <a:off x="12096750" y="5591175"/>
          <a:ext cx="2047875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22</xdr:row>
      <xdr:rowOff>133350</xdr:rowOff>
    </xdr:from>
    <xdr:to>
      <xdr:col>14</xdr:col>
      <xdr:colOff>419100</xdr:colOff>
      <xdr:row>26</xdr:row>
      <xdr:rowOff>76200</xdr:rowOff>
    </xdr:to>
    <xdr:cxnSp macro="">
      <xdr:nvCxnSpPr>
        <xdr:cNvPr id="66" name="Straight Connector 65"/>
        <xdr:cNvCxnSpPr/>
      </xdr:nvCxnSpPr>
      <xdr:spPr>
        <a:xfrm flipV="1">
          <a:off x="10620375" y="5600700"/>
          <a:ext cx="3505200" cy="923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352425</xdr:colOff>
      <xdr:row>10</xdr:row>
      <xdr:rowOff>209550</xdr:rowOff>
    </xdr:from>
    <xdr:to>
      <xdr:col>22</xdr:col>
      <xdr:colOff>447675</xdr:colOff>
      <xdr:row>18</xdr:row>
      <xdr:rowOff>228600</xdr:rowOff>
    </xdr:to>
    <xdr:sp macro="" textlink="">
      <xdr:nvSpPr>
        <xdr:cNvPr id="2" name="Rectangle 1"/>
        <xdr:cNvSpPr/>
      </xdr:nvSpPr>
      <xdr:spPr>
        <a:xfrm>
          <a:off x="12049125" y="3000375"/>
          <a:ext cx="4362450" cy="2181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16</xdr:col>
      <xdr:colOff>304800</xdr:colOff>
      <xdr:row>13</xdr:row>
      <xdr:rowOff>171449</xdr:rowOff>
    </xdr:from>
    <xdr:to>
      <xdr:col>17</xdr:col>
      <xdr:colOff>304800</xdr:colOff>
      <xdr:row>16</xdr:row>
      <xdr:rowOff>28574</xdr:rowOff>
    </xdr:to>
    <xdr:sp macro="" textlink="">
      <xdr:nvSpPr>
        <xdr:cNvPr id="3" name="Rectangle 2"/>
        <xdr:cNvSpPr/>
      </xdr:nvSpPr>
      <xdr:spPr>
        <a:xfrm>
          <a:off x="12611100" y="3790949"/>
          <a:ext cx="609600" cy="6572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19</xdr:col>
      <xdr:colOff>342900</xdr:colOff>
      <xdr:row>13</xdr:row>
      <xdr:rowOff>57150</xdr:rowOff>
    </xdr:from>
    <xdr:to>
      <xdr:col>21</xdr:col>
      <xdr:colOff>38100</xdr:colOff>
      <xdr:row>16</xdr:row>
      <xdr:rowOff>171450</xdr:rowOff>
    </xdr:to>
    <xdr:sp macro="" textlink="">
      <xdr:nvSpPr>
        <xdr:cNvPr id="4" name="Rectangle 3"/>
        <xdr:cNvSpPr/>
      </xdr:nvSpPr>
      <xdr:spPr>
        <a:xfrm>
          <a:off x="14478000" y="3676650"/>
          <a:ext cx="914400" cy="9144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381000</xdr:colOff>
      <xdr:row>19</xdr:row>
      <xdr:rowOff>123825</xdr:rowOff>
    </xdr:from>
    <xdr:to>
      <xdr:col>22</xdr:col>
      <xdr:colOff>505800</xdr:colOff>
      <xdr:row>19</xdr:row>
      <xdr:rowOff>159825</xdr:rowOff>
    </xdr:to>
    <xdr:cxnSp macro="">
      <xdr:nvCxnSpPr>
        <xdr:cNvPr id="6" name="Straight Arrow Connector 5"/>
        <xdr:cNvCxnSpPr/>
      </xdr:nvCxnSpPr>
      <xdr:spPr>
        <a:xfrm flipV="1">
          <a:off x="12077700" y="5343525"/>
          <a:ext cx="4392000" cy="36000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142081</xdr:colOff>
      <xdr:row>10</xdr:row>
      <xdr:rowOff>172244</xdr:rowOff>
    </xdr:from>
    <xdr:to>
      <xdr:col>23</xdr:col>
      <xdr:colOff>143669</xdr:colOff>
      <xdr:row>19</xdr:row>
      <xdr:rowOff>797</xdr:rowOff>
    </xdr:to>
    <xdr:cxnSp macro="">
      <xdr:nvCxnSpPr>
        <xdr:cNvPr id="8" name="Straight Arrow Connector 7"/>
        <xdr:cNvCxnSpPr/>
      </xdr:nvCxnSpPr>
      <xdr:spPr>
        <a:xfrm rot="5400000">
          <a:off x="15587661" y="4090989"/>
          <a:ext cx="2257428" cy="1588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20</xdr:row>
      <xdr:rowOff>9525</xdr:rowOff>
    </xdr:from>
    <xdr:to>
      <xdr:col>24</xdr:col>
      <xdr:colOff>48600</xdr:colOff>
      <xdr:row>20</xdr:row>
      <xdr:rowOff>45525</xdr:rowOff>
    </xdr:to>
    <xdr:cxnSp macro="">
      <xdr:nvCxnSpPr>
        <xdr:cNvPr id="16" name="Straight Arrow Connector 15"/>
        <xdr:cNvCxnSpPr/>
      </xdr:nvCxnSpPr>
      <xdr:spPr>
        <a:xfrm flipV="1">
          <a:off x="12230100" y="5495925"/>
          <a:ext cx="4392000" cy="36000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361949</xdr:colOff>
      <xdr:row>10</xdr:row>
      <xdr:rowOff>33337</xdr:rowOff>
    </xdr:from>
    <xdr:to>
      <xdr:col>17</xdr:col>
      <xdr:colOff>47624</xdr:colOff>
      <xdr:row>10</xdr:row>
      <xdr:rowOff>47624</xdr:rowOff>
    </xdr:to>
    <xdr:cxnSp macro="">
      <xdr:nvCxnSpPr>
        <xdr:cNvPr id="17" name="Straight Arrow Connector 16"/>
        <xdr:cNvCxnSpPr/>
      </xdr:nvCxnSpPr>
      <xdr:spPr>
        <a:xfrm rot="10800000" flipH="1" flipV="1">
          <a:off x="12058649" y="2824162"/>
          <a:ext cx="904875" cy="14287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38100</xdr:colOff>
      <xdr:row>10</xdr:row>
      <xdr:rowOff>38100</xdr:rowOff>
    </xdr:from>
    <xdr:to>
      <xdr:col>20</xdr:col>
      <xdr:colOff>267675</xdr:colOff>
      <xdr:row>10</xdr:row>
      <xdr:rowOff>66675</xdr:rowOff>
    </xdr:to>
    <xdr:cxnSp macro="">
      <xdr:nvCxnSpPr>
        <xdr:cNvPr id="22" name="Straight Arrow Connector 21"/>
        <xdr:cNvCxnSpPr/>
      </xdr:nvCxnSpPr>
      <xdr:spPr>
        <a:xfrm>
          <a:off x="12954000" y="2828925"/>
          <a:ext cx="2058375" cy="28575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10</xdr:row>
      <xdr:rowOff>52388</xdr:rowOff>
    </xdr:from>
    <xdr:to>
      <xdr:col>22</xdr:col>
      <xdr:colOff>495300</xdr:colOff>
      <xdr:row>10</xdr:row>
      <xdr:rowOff>76200</xdr:rowOff>
    </xdr:to>
    <xdr:cxnSp macro="">
      <xdr:nvCxnSpPr>
        <xdr:cNvPr id="23" name="Straight Arrow Connector 22"/>
        <xdr:cNvCxnSpPr/>
      </xdr:nvCxnSpPr>
      <xdr:spPr>
        <a:xfrm flipV="1">
          <a:off x="15020925" y="2843213"/>
          <a:ext cx="1438275" cy="23812"/>
        </a:xfrm>
        <a:prstGeom prst="straightConnector1">
          <a:avLst/>
        </a:prstGeom>
        <a:ln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257175</xdr:colOff>
      <xdr:row>7</xdr:row>
      <xdr:rowOff>152400</xdr:rowOff>
    </xdr:from>
    <xdr:to>
      <xdr:col>20</xdr:col>
      <xdr:colOff>276225</xdr:colOff>
      <xdr:row>14</xdr:row>
      <xdr:rowOff>238125</xdr:rowOff>
    </xdr:to>
    <xdr:cxnSp macro="">
      <xdr:nvCxnSpPr>
        <xdr:cNvPr id="32" name="Straight Connector 31"/>
        <xdr:cNvCxnSpPr/>
      </xdr:nvCxnSpPr>
      <xdr:spPr>
        <a:xfrm rot="5400000" flipH="1" flipV="1">
          <a:off x="14020800" y="3124200"/>
          <a:ext cx="1981200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7</xdr:row>
      <xdr:rowOff>85725</xdr:rowOff>
    </xdr:from>
    <xdr:to>
      <xdr:col>17</xdr:col>
      <xdr:colOff>47625</xdr:colOff>
      <xdr:row>14</xdr:row>
      <xdr:rowOff>171450</xdr:rowOff>
    </xdr:to>
    <xdr:cxnSp macro="">
      <xdr:nvCxnSpPr>
        <xdr:cNvPr id="33" name="Straight Connector 32"/>
        <xdr:cNvCxnSpPr/>
      </xdr:nvCxnSpPr>
      <xdr:spPr>
        <a:xfrm rot="5400000" flipH="1" flipV="1">
          <a:off x="11963400" y="3057525"/>
          <a:ext cx="1981200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447675</xdr:colOff>
      <xdr:row>7</xdr:row>
      <xdr:rowOff>133350</xdr:rowOff>
    </xdr:from>
    <xdr:to>
      <xdr:col>22</xdr:col>
      <xdr:colOff>466725</xdr:colOff>
      <xdr:row>14</xdr:row>
      <xdr:rowOff>219075</xdr:rowOff>
    </xdr:to>
    <xdr:cxnSp macro="">
      <xdr:nvCxnSpPr>
        <xdr:cNvPr id="34" name="Straight Connector 33"/>
        <xdr:cNvCxnSpPr/>
      </xdr:nvCxnSpPr>
      <xdr:spPr>
        <a:xfrm rot="5400000" flipH="1" flipV="1">
          <a:off x="15430500" y="3105150"/>
          <a:ext cx="1981200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352425</xdr:colOff>
      <xdr:row>7</xdr:row>
      <xdr:rowOff>28575</xdr:rowOff>
    </xdr:from>
    <xdr:to>
      <xdr:col>15</xdr:col>
      <xdr:colOff>371475</xdr:colOff>
      <xdr:row>14</xdr:row>
      <xdr:rowOff>114300</xdr:rowOff>
    </xdr:to>
    <xdr:cxnSp macro="">
      <xdr:nvCxnSpPr>
        <xdr:cNvPr id="35" name="Straight Connector 34"/>
        <xdr:cNvCxnSpPr/>
      </xdr:nvCxnSpPr>
      <xdr:spPr>
        <a:xfrm rot="5400000" flipH="1" flipV="1">
          <a:off x="11068050" y="3000375"/>
          <a:ext cx="1981200" cy="1905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257175</xdr:colOff>
      <xdr:row>5</xdr:row>
      <xdr:rowOff>0</xdr:rowOff>
    </xdr:from>
    <xdr:to>
      <xdr:col>22</xdr:col>
      <xdr:colOff>409575</xdr:colOff>
      <xdr:row>5</xdr:row>
      <xdr:rowOff>9525</xdr:rowOff>
    </xdr:to>
    <xdr:cxnSp macro="">
      <xdr:nvCxnSpPr>
        <xdr:cNvPr id="37" name="Straight Connector 36"/>
        <xdr:cNvCxnSpPr/>
      </xdr:nvCxnSpPr>
      <xdr:spPr>
        <a:xfrm flipV="1">
          <a:off x="11953875" y="1457325"/>
          <a:ext cx="4419600" cy="952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18257</xdr:colOff>
      <xdr:row>2</xdr:row>
      <xdr:rowOff>143668</xdr:rowOff>
    </xdr:from>
    <xdr:to>
      <xdr:col>17</xdr:col>
      <xdr:colOff>19845</xdr:colOff>
      <xdr:row>4</xdr:row>
      <xdr:rowOff>248443</xdr:rowOff>
    </xdr:to>
    <xdr:cxnSp macro="">
      <xdr:nvCxnSpPr>
        <xdr:cNvPr id="40" name="Straight Arrow Connector 39"/>
        <xdr:cNvCxnSpPr/>
      </xdr:nvCxnSpPr>
      <xdr:spPr>
        <a:xfrm rot="5400000">
          <a:off x="12615863" y="1119187"/>
          <a:ext cx="6381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295275</xdr:colOff>
      <xdr:row>2</xdr:row>
      <xdr:rowOff>104776</xdr:rowOff>
    </xdr:from>
    <xdr:to>
      <xdr:col>20</xdr:col>
      <xdr:colOff>296863</xdr:colOff>
      <xdr:row>4</xdr:row>
      <xdr:rowOff>209551</xdr:rowOff>
    </xdr:to>
    <xdr:cxnSp macro="">
      <xdr:nvCxnSpPr>
        <xdr:cNvPr id="41" name="Straight Arrow Connector 40"/>
        <xdr:cNvCxnSpPr/>
      </xdr:nvCxnSpPr>
      <xdr:spPr>
        <a:xfrm rot="5400000">
          <a:off x="14721681" y="1080295"/>
          <a:ext cx="6381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265909</xdr:colOff>
      <xdr:row>5</xdr:row>
      <xdr:rowOff>797</xdr:rowOff>
    </xdr:from>
    <xdr:to>
      <xdr:col>15</xdr:col>
      <xdr:colOff>285751</xdr:colOff>
      <xdr:row>6</xdr:row>
      <xdr:rowOff>228600</xdr:rowOff>
    </xdr:to>
    <xdr:cxnSp macro="">
      <xdr:nvCxnSpPr>
        <xdr:cNvPr id="42" name="Straight Arrow Connector 41"/>
        <xdr:cNvCxnSpPr/>
      </xdr:nvCxnSpPr>
      <xdr:spPr>
        <a:xfrm rot="16200000" flipV="1">
          <a:off x="11725278" y="1695453"/>
          <a:ext cx="494503" cy="19842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371474</xdr:colOff>
      <xdr:row>4</xdr:row>
      <xdr:rowOff>238126</xdr:rowOff>
    </xdr:from>
    <xdr:to>
      <xdr:col>22</xdr:col>
      <xdr:colOff>371475</xdr:colOff>
      <xdr:row>6</xdr:row>
      <xdr:rowOff>200026</xdr:rowOff>
    </xdr:to>
    <xdr:cxnSp macro="">
      <xdr:nvCxnSpPr>
        <xdr:cNvPr id="47" name="Straight Arrow Connector 46"/>
        <xdr:cNvCxnSpPr/>
      </xdr:nvCxnSpPr>
      <xdr:spPr>
        <a:xfrm rot="5400000" flipH="1" flipV="1">
          <a:off x="16087725" y="1676400"/>
          <a:ext cx="495300" cy="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571501</xdr:colOff>
      <xdr:row>10</xdr:row>
      <xdr:rowOff>247650</xdr:rowOff>
    </xdr:from>
    <xdr:to>
      <xdr:col>13</xdr:col>
      <xdr:colOff>1</xdr:colOff>
      <xdr:row>19</xdr:row>
      <xdr:rowOff>200025</xdr:rowOff>
    </xdr:to>
    <xdr:sp macro="" textlink="">
      <xdr:nvSpPr>
        <xdr:cNvPr id="2" name="Rectangle 1"/>
        <xdr:cNvSpPr/>
      </xdr:nvSpPr>
      <xdr:spPr>
        <a:xfrm>
          <a:off x="9629776" y="2724150"/>
          <a:ext cx="1866900" cy="2152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361950</xdr:colOff>
      <xdr:row>13</xdr:row>
      <xdr:rowOff>47625</xdr:rowOff>
    </xdr:from>
    <xdr:to>
      <xdr:col>12</xdr:col>
      <xdr:colOff>123825</xdr:colOff>
      <xdr:row>13</xdr:row>
      <xdr:rowOff>66675</xdr:rowOff>
    </xdr:to>
    <xdr:cxnSp macro="">
      <xdr:nvCxnSpPr>
        <xdr:cNvPr id="3" name="Straight Connector 2"/>
        <xdr:cNvCxnSpPr/>
      </xdr:nvCxnSpPr>
      <xdr:spPr>
        <a:xfrm flipV="1">
          <a:off x="10029825" y="3267075"/>
          <a:ext cx="981075" cy="190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13</xdr:row>
      <xdr:rowOff>57151</xdr:rowOff>
    </xdr:from>
    <xdr:to>
      <xdr:col>10</xdr:col>
      <xdr:colOff>390525</xdr:colOff>
      <xdr:row>14</xdr:row>
      <xdr:rowOff>104776</xdr:rowOff>
    </xdr:to>
    <xdr:cxnSp macro="">
      <xdr:nvCxnSpPr>
        <xdr:cNvPr id="9" name="Straight Connector 8"/>
        <xdr:cNvCxnSpPr/>
      </xdr:nvCxnSpPr>
      <xdr:spPr>
        <a:xfrm rot="5400000" flipH="1" flipV="1">
          <a:off x="9915525" y="3419475"/>
          <a:ext cx="285750" cy="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76200</xdr:colOff>
      <xdr:row>13</xdr:row>
      <xdr:rowOff>38101</xdr:rowOff>
    </xdr:from>
    <xdr:to>
      <xdr:col>12</xdr:col>
      <xdr:colOff>104779</xdr:colOff>
      <xdr:row>14</xdr:row>
      <xdr:rowOff>104775</xdr:rowOff>
    </xdr:to>
    <xdr:cxnSp macro="">
      <xdr:nvCxnSpPr>
        <xdr:cNvPr id="12" name="Straight Connector 11"/>
        <xdr:cNvCxnSpPr/>
      </xdr:nvCxnSpPr>
      <xdr:spPr>
        <a:xfrm rot="16200000" flipV="1">
          <a:off x="10825165" y="3395661"/>
          <a:ext cx="304799" cy="2857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342900</xdr:colOff>
      <xdr:row>14</xdr:row>
      <xdr:rowOff>76201</xdr:rowOff>
    </xdr:from>
    <xdr:to>
      <xdr:col>12</xdr:col>
      <xdr:colOff>114300</xdr:colOff>
      <xdr:row>14</xdr:row>
      <xdr:rowOff>114300</xdr:rowOff>
    </xdr:to>
    <xdr:cxnSp macro="">
      <xdr:nvCxnSpPr>
        <xdr:cNvPr id="13" name="Straight Connector 12"/>
        <xdr:cNvCxnSpPr/>
      </xdr:nvCxnSpPr>
      <xdr:spPr>
        <a:xfrm flipV="1">
          <a:off x="10010775" y="3533776"/>
          <a:ext cx="990600" cy="38099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133354</xdr:colOff>
      <xdr:row>14</xdr:row>
      <xdr:rowOff>142876</xdr:rowOff>
    </xdr:from>
    <xdr:to>
      <xdr:col>11</xdr:col>
      <xdr:colOff>152400</xdr:colOff>
      <xdr:row>18</xdr:row>
      <xdr:rowOff>57150</xdr:rowOff>
    </xdr:to>
    <xdr:cxnSp macro="">
      <xdr:nvCxnSpPr>
        <xdr:cNvPr id="14" name="Straight Connector 13"/>
        <xdr:cNvCxnSpPr/>
      </xdr:nvCxnSpPr>
      <xdr:spPr>
        <a:xfrm rot="5400000" flipH="1" flipV="1">
          <a:off x="9972677" y="4038603"/>
          <a:ext cx="895349" cy="190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409578</xdr:colOff>
      <xdr:row>14</xdr:row>
      <xdr:rowOff>133351</xdr:rowOff>
    </xdr:from>
    <xdr:to>
      <xdr:col>11</xdr:col>
      <xdr:colOff>428624</xdr:colOff>
      <xdr:row>18</xdr:row>
      <xdr:rowOff>57150</xdr:rowOff>
    </xdr:to>
    <xdr:cxnSp macro="">
      <xdr:nvCxnSpPr>
        <xdr:cNvPr id="15" name="Straight Connector 14"/>
        <xdr:cNvCxnSpPr/>
      </xdr:nvCxnSpPr>
      <xdr:spPr>
        <a:xfrm rot="5400000" flipH="1" flipV="1">
          <a:off x="10244139" y="4033840"/>
          <a:ext cx="904874" cy="19046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4</xdr:row>
      <xdr:rowOff>142875</xdr:rowOff>
    </xdr:from>
    <xdr:to>
      <xdr:col>10</xdr:col>
      <xdr:colOff>504825</xdr:colOff>
      <xdr:row>10</xdr:row>
      <xdr:rowOff>152400</xdr:rowOff>
    </xdr:to>
    <xdr:sp macro="" textlink="">
      <xdr:nvSpPr>
        <xdr:cNvPr id="3" name="Rectangle 2"/>
        <xdr:cNvSpPr/>
      </xdr:nvSpPr>
      <xdr:spPr>
        <a:xfrm>
          <a:off x="9848850" y="1285875"/>
          <a:ext cx="942975" cy="16287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323850</xdr:colOff>
      <xdr:row>5</xdr:row>
      <xdr:rowOff>123825</xdr:rowOff>
    </xdr:from>
    <xdr:to>
      <xdr:col>9</xdr:col>
      <xdr:colOff>476250</xdr:colOff>
      <xdr:row>5</xdr:row>
      <xdr:rowOff>257175</xdr:rowOff>
    </xdr:to>
    <xdr:sp macro="" textlink="">
      <xdr:nvSpPr>
        <xdr:cNvPr id="6" name="Oval 5"/>
        <xdr:cNvSpPr/>
      </xdr:nvSpPr>
      <xdr:spPr>
        <a:xfrm>
          <a:off x="10001250" y="1533525"/>
          <a:ext cx="152400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161925</xdr:colOff>
      <xdr:row>5</xdr:row>
      <xdr:rowOff>133350</xdr:rowOff>
    </xdr:from>
    <xdr:to>
      <xdr:col>10</xdr:col>
      <xdr:colOff>314325</xdr:colOff>
      <xdr:row>5</xdr:row>
      <xdr:rowOff>266700</xdr:rowOff>
    </xdr:to>
    <xdr:sp macro="" textlink="">
      <xdr:nvSpPr>
        <xdr:cNvPr id="7" name="Oval 6"/>
        <xdr:cNvSpPr/>
      </xdr:nvSpPr>
      <xdr:spPr>
        <a:xfrm>
          <a:off x="10448925" y="1543050"/>
          <a:ext cx="152400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342900</xdr:colOff>
      <xdr:row>7</xdr:row>
      <xdr:rowOff>38100</xdr:rowOff>
    </xdr:from>
    <xdr:to>
      <xdr:col>9</xdr:col>
      <xdr:colOff>495300</xdr:colOff>
      <xdr:row>7</xdr:row>
      <xdr:rowOff>171450</xdr:rowOff>
    </xdr:to>
    <xdr:sp macro="" textlink="">
      <xdr:nvSpPr>
        <xdr:cNvPr id="8" name="Oval 7"/>
        <xdr:cNvSpPr/>
      </xdr:nvSpPr>
      <xdr:spPr>
        <a:xfrm>
          <a:off x="10020300" y="2000250"/>
          <a:ext cx="152400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171450</xdr:colOff>
      <xdr:row>7</xdr:row>
      <xdr:rowOff>47625</xdr:rowOff>
    </xdr:from>
    <xdr:to>
      <xdr:col>10</xdr:col>
      <xdr:colOff>323850</xdr:colOff>
      <xdr:row>7</xdr:row>
      <xdr:rowOff>180975</xdr:rowOff>
    </xdr:to>
    <xdr:sp macro="" textlink="">
      <xdr:nvSpPr>
        <xdr:cNvPr id="9" name="Oval 8"/>
        <xdr:cNvSpPr/>
      </xdr:nvSpPr>
      <xdr:spPr>
        <a:xfrm>
          <a:off x="10458450" y="2009775"/>
          <a:ext cx="152400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352425</xdr:colOff>
      <xdr:row>9</xdr:row>
      <xdr:rowOff>0</xdr:rowOff>
    </xdr:from>
    <xdr:to>
      <xdr:col>9</xdr:col>
      <xdr:colOff>504825</xdr:colOff>
      <xdr:row>9</xdr:row>
      <xdr:rowOff>133350</xdr:rowOff>
    </xdr:to>
    <xdr:sp macro="" textlink="">
      <xdr:nvSpPr>
        <xdr:cNvPr id="10" name="Oval 9"/>
        <xdr:cNvSpPr/>
      </xdr:nvSpPr>
      <xdr:spPr>
        <a:xfrm>
          <a:off x="10029825" y="2495550"/>
          <a:ext cx="152400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161925</xdr:colOff>
      <xdr:row>8</xdr:row>
      <xdr:rowOff>257175</xdr:rowOff>
    </xdr:from>
    <xdr:to>
      <xdr:col>10</xdr:col>
      <xdr:colOff>314325</xdr:colOff>
      <xdr:row>9</xdr:row>
      <xdr:rowOff>123825</xdr:rowOff>
    </xdr:to>
    <xdr:sp macro="" textlink="">
      <xdr:nvSpPr>
        <xdr:cNvPr id="11" name="Oval 10"/>
        <xdr:cNvSpPr/>
      </xdr:nvSpPr>
      <xdr:spPr>
        <a:xfrm>
          <a:off x="10448925" y="2486025"/>
          <a:ext cx="152400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523875</xdr:colOff>
      <xdr:row>4</xdr:row>
      <xdr:rowOff>152401</xdr:rowOff>
    </xdr:from>
    <xdr:to>
      <xdr:col>12</xdr:col>
      <xdr:colOff>47625</xdr:colOff>
      <xdr:row>4</xdr:row>
      <xdr:rowOff>161925</xdr:rowOff>
    </xdr:to>
    <xdr:cxnSp macro="">
      <xdr:nvCxnSpPr>
        <xdr:cNvPr id="13" name="Straight Connector 12"/>
        <xdr:cNvCxnSpPr/>
      </xdr:nvCxnSpPr>
      <xdr:spPr>
        <a:xfrm>
          <a:off x="10810875" y="1295401"/>
          <a:ext cx="742950" cy="952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4</xdr:row>
      <xdr:rowOff>190500</xdr:rowOff>
    </xdr:from>
    <xdr:to>
      <xdr:col>12</xdr:col>
      <xdr:colOff>57150</xdr:colOff>
      <xdr:row>10</xdr:row>
      <xdr:rowOff>171450</xdr:rowOff>
    </xdr:to>
    <xdr:cxnSp macro="">
      <xdr:nvCxnSpPr>
        <xdr:cNvPr id="16" name="Straight Connector 15"/>
        <xdr:cNvCxnSpPr/>
      </xdr:nvCxnSpPr>
      <xdr:spPr>
        <a:xfrm rot="5400000">
          <a:off x="10382250" y="1752600"/>
          <a:ext cx="1600200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2</xdr:row>
      <xdr:rowOff>9525</xdr:rowOff>
    </xdr:from>
    <xdr:to>
      <xdr:col>12</xdr:col>
      <xdr:colOff>49213</xdr:colOff>
      <xdr:row>4</xdr:row>
      <xdr:rowOff>142875</xdr:rowOff>
    </xdr:to>
    <xdr:cxnSp macro="">
      <xdr:nvCxnSpPr>
        <xdr:cNvPr id="17" name="Straight Arrow Connector 16"/>
        <xdr:cNvCxnSpPr/>
      </xdr:nvCxnSpPr>
      <xdr:spPr>
        <a:xfrm rot="5400000">
          <a:off x="11221244" y="951706"/>
          <a:ext cx="666750" cy="158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485775</xdr:colOff>
      <xdr:row>4</xdr:row>
      <xdr:rowOff>142875</xdr:rowOff>
    </xdr:from>
    <xdr:to>
      <xdr:col>12</xdr:col>
      <xdr:colOff>76200</xdr:colOff>
      <xdr:row>4</xdr:row>
      <xdr:rowOff>152402</xdr:rowOff>
    </xdr:to>
    <xdr:cxnSp macro="">
      <xdr:nvCxnSpPr>
        <xdr:cNvPr id="18" name="Straight Connector 17"/>
        <xdr:cNvCxnSpPr/>
      </xdr:nvCxnSpPr>
      <xdr:spPr>
        <a:xfrm flipV="1">
          <a:off x="10772775" y="1285875"/>
          <a:ext cx="809625" cy="952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514349</xdr:colOff>
      <xdr:row>4</xdr:row>
      <xdr:rowOff>114303</xdr:rowOff>
    </xdr:from>
    <xdr:to>
      <xdr:col>12</xdr:col>
      <xdr:colOff>85724</xdr:colOff>
      <xdr:row>10</xdr:row>
      <xdr:rowOff>171451</xdr:rowOff>
    </xdr:to>
    <xdr:cxnSp macro="">
      <xdr:nvCxnSpPr>
        <xdr:cNvPr id="21" name="Straight Connector 20"/>
        <xdr:cNvCxnSpPr/>
      </xdr:nvCxnSpPr>
      <xdr:spPr>
        <a:xfrm rot="5400000" flipH="1" flipV="1">
          <a:off x="10358438" y="1700214"/>
          <a:ext cx="1676398" cy="7905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0"/>
  <sheetViews>
    <sheetView tabSelected="1" workbookViewId="0">
      <selection activeCell="F28" sqref="F28"/>
    </sheetView>
  </sheetViews>
  <sheetFormatPr defaultRowHeight="15"/>
  <cols>
    <col min="1" max="1" width="45.140625" customWidth="1"/>
    <col min="2" max="2" width="14.140625" customWidth="1"/>
    <col min="3" max="3" width="19.42578125" customWidth="1"/>
    <col min="4" max="4" width="22.5703125" customWidth="1"/>
    <col min="9" max="9" width="16.85546875" bestFit="1" customWidth="1"/>
    <col min="10" max="10" width="12.7109375" bestFit="1" customWidth="1"/>
    <col min="11" max="11" width="12" bestFit="1" customWidth="1"/>
    <col min="13" max="13" width="12" bestFit="1" customWidth="1"/>
  </cols>
  <sheetData>
    <row r="1" spans="1:13" ht="32.25" customHeight="1">
      <c r="C1" s="101" t="s">
        <v>0</v>
      </c>
      <c r="D1" s="102"/>
      <c r="E1" s="102"/>
      <c r="F1" s="102"/>
      <c r="G1" s="102"/>
      <c r="H1" s="102"/>
      <c r="I1" s="102"/>
    </row>
    <row r="2" spans="1:13" ht="23.25">
      <c r="A2" s="1" t="s">
        <v>1</v>
      </c>
    </row>
    <row r="3" spans="1:13" ht="18.75">
      <c r="A3" s="4" t="s">
        <v>2</v>
      </c>
      <c r="B3" s="8">
        <v>5</v>
      </c>
      <c r="C3" s="6" t="s">
        <v>7</v>
      </c>
      <c r="D3" s="8">
        <v>30</v>
      </c>
    </row>
    <row r="4" spans="1:13" ht="18.75">
      <c r="A4" s="6" t="s">
        <v>3</v>
      </c>
      <c r="B4" s="8">
        <v>10</v>
      </c>
      <c r="C4" s="6" t="s">
        <v>6</v>
      </c>
      <c r="D4" s="8">
        <v>20</v>
      </c>
    </row>
    <row r="5" spans="1:13" ht="18.75">
      <c r="A5" s="6" t="s">
        <v>4</v>
      </c>
      <c r="B5" s="8">
        <v>20</v>
      </c>
      <c r="C5" s="6" t="s">
        <v>41</v>
      </c>
      <c r="D5" s="8">
        <v>8</v>
      </c>
    </row>
    <row r="6" spans="1:13" ht="23.25">
      <c r="A6" s="6" t="s">
        <v>5</v>
      </c>
      <c r="B6" s="8">
        <v>410</v>
      </c>
      <c r="C6" s="7"/>
      <c r="D6" s="7"/>
      <c r="I6" s="11" t="s">
        <v>23</v>
      </c>
      <c r="J6" s="8">
        <v>20</v>
      </c>
    </row>
    <row r="7" spans="1:13" ht="23.25">
      <c r="A7" s="1" t="s">
        <v>8</v>
      </c>
      <c r="B7" s="2"/>
      <c r="I7" s="11" t="s">
        <v>24</v>
      </c>
      <c r="J7" s="8">
        <v>415</v>
      </c>
    </row>
    <row r="8" spans="1:13" ht="23.25">
      <c r="A8" s="10" t="s">
        <v>13</v>
      </c>
      <c r="B8" s="5">
        <f>B3*1000/15</f>
        <v>333.33333333333331</v>
      </c>
      <c r="I8" s="11" t="s">
        <v>53</v>
      </c>
      <c r="J8" s="13">
        <f>B18*1000000</f>
        <v>59179687.5</v>
      </c>
    </row>
    <row r="9" spans="1:13" ht="23.25">
      <c r="A9" s="10" t="s">
        <v>9</v>
      </c>
      <c r="B9" s="5">
        <f>B8+D3+D4*0.5</f>
        <v>373.33333333333331</v>
      </c>
      <c r="I9" s="11" t="s">
        <v>25</v>
      </c>
      <c r="J9" s="8">
        <v>300</v>
      </c>
    </row>
    <row r="10" spans="1:13" ht="23.25">
      <c r="A10" s="10" t="s">
        <v>10</v>
      </c>
      <c r="B10" s="8">
        <v>420</v>
      </c>
      <c r="I10" s="11" t="s">
        <v>26</v>
      </c>
      <c r="J10" s="8">
        <v>380</v>
      </c>
    </row>
    <row r="11" spans="1:13" ht="18.75">
      <c r="A11" s="10" t="s">
        <v>11</v>
      </c>
      <c r="B11" s="5">
        <f>B10-D3-D4*0.5</f>
        <v>380</v>
      </c>
    </row>
    <row r="12" spans="1:13" ht="18.75">
      <c r="A12" s="10" t="s">
        <v>12</v>
      </c>
      <c r="B12" s="8">
        <v>250</v>
      </c>
      <c r="I12" s="20">
        <v>1</v>
      </c>
      <c r="J12" s="20">
        <v>2</v>
      </c>
      <c r="K12" s="20">
        <v>3</v>
      </c>
      <c r="L12" s="20">
        <v>4</v>
      </c>
      <c r="M12" s="21" t="s">
        <v>31</v>
      </c>
    </row>
    <row r="13" spans="1:13" ht="23.25">
      <c r="A13" s="1" t="s">
        <v>14</v>
      </c>
      <c r="I13" s="7">
        <f>1-(4.6*J8/(J6*J9*J10*J10))</f>
        <v>0.68579574965373968</v>
      </c>
      <c r="J13" s="7">
        <f>SQRT(I13)</f>
        <v>0.82812785827657054</v>
      </c>
      <c r="K13" s="7">
        <f>(1-J13)</f>
        <v>0.17187214172342946</v>
      </c>
      <c r="L13" s="7">
        <f>(0.5*J6*J9*J10)/J7</f>
        <v>2746.9879518072289</v>
      </c>
      <c r="M13" s="7">
        <f>L13*K13</f>
        <v>472.13070256556529</v>
      </c>
    </row>
    <row r="14" spans="1:13" ht="18.75">
      <c r="A14" s="10" t="s">
        <v>15</v>
      </c>
      <c r="B14" s="13">
        <f>B10*B12*25/10^6</f>
        <v>2.625</v>
      </c>
    </row>
    <row r="15" spans="1:13" ht="18.75">
      <c r="A15" s="10" t="s">
        <v>3</v>
      </c>
      <c r="B15" s="13">
        <f>B4</f>
        <v>10</v>
      </c>
    </row>
    <row r="16" spans="1:13" ht="18.75">
      <c r="A16" s="10" t="s">
        <v>16</v>
      </c>
      <c r="B16" s="13">
        <f>B14+B15</f>
        <v>12.625</v>
      </c>
    </row>
    <row r="17" spans="1:19" ht="23.25">
      <c r="A17" s="1" t="s">
        <v>21</v>
      </c>
    </row>
    <row r="18" spans="1:19" ht="18.75">
      <c r="A18" s="10" t="s">
        <v>17</v>
      </c>
      <c r="B18" s="5">
        <f>1.5*B16*B3*B3/8</f>
        <v>59.1796875</v>
      </c>
    </row>
    <row r="19" spans="1:19" ht="18.75">
      <c r="A19" s="10" t="s">
        <v>32</v>
      </c>
      <c r="B19" s="5">
        <f>1.5*B16*B3/2</f>
        <v>47.34375</v>
      </c>
    </row>
    <row r="20" spans="1:19" ht="23.25">
      <c r="A20" s="1" t="s">
        <v>18</v>
      </c>
    </row>
    <row r="21" spans="1:19" ht="19.5" thickBot="1">
      <c r="A21" s="9" t="s">
        <v>19</v>
      </c>
      <c r="B21" s="3">
        <f>(E21*B5*B12*B11*B11)/1000000</f>
        <v>99.63600000000001</v>
      </c>
      <c r="C21" s="14" t="str">
        <f>IF(B21&gt;B18,"singly reinforced","doubly reinforcement ")</f>
        <v>singly reinforced</v>
      </c>
      <c r="D21" s="3" t="s">
        <v>38</v>
      </c>
      <c r="E21" s="3">
        <f>IF(B6=250,0.149,IF(B6=410,0.138,0.133))</f>
        <v>0.13800000000000001</v>
      </c>
    </row>
    <row r="22" spans="1:19" ht="16.5" thickBot="1">
      <c r="O22" s="23">
        <f>B36</f>
        <v>2</v>
      </c>
      <c r="P22" s="24">
        <f>D5</f>
        <v>8</v>
      </c>
      <c r="Q22" s="24" t="s">
        <v>54</v>
      </c>
      <c r="R22" s="24"/>
      <c r="S22" s="25"/>
    </row>
    <row r="23" spans="1:19" ht="23.25">
      <c r="A23" s="103" t="s">
        <v>20</v>
      </c>
      <c r="B23" s="103"/>
    </row>
    <row r="24" spans="1:19" ht="18.75">
      <c r="A24" s="16" t="s">
        <v>22</v>
      </c>
      <c r="B24" s="17">
        <f>M13</f>
        <v>472.13070256556529</v>
      </c>
    </row>
    <row r="25" spans="1:19" ht="18.75">
      <c r="A25" s="16" t="s">
        <v>27</v>
      </c>
      <c r="B25" s="17">
        <f>B24/(0.785*D4*D4)</f>
        <v>1.5036009635846028</v>
      </c>
    </row>
    <row r="26" spans="1:19" ht="18.75">
      <c r="A26" s="16" t="s">
        <v>28</v>
      </c>
      <c r="B26" s="17">
        <f>CEILING(B25,1)</f>
        <v>2</v>
      </c>
    </row>
    <row r="27" spans="1:19" ht="18.75">
      <c r="A27" s="18" t="s">
        <v>29</v>
      </c>
      <c r="B27" s="19">
        <f>B26*0.785*D4*D4</f>
        <v>628</v>
      </c>
    </row>
    <row r="28" spans="1:19" ht="24" thickBot="1">
      <c r="A28" s="103" t="s">
        <v>30</v>
      </c>
      <c r="B28" s="103"/>
      <c r="C28" s="107"/>
    </row>
    <row r="29" spans="1:19" ht="19.5" thickBot="1">
      <c r="A29" s="2" t="s">
        <v>52</v>
      </c>
      <c r="B29" s="3">
        <f>B27*100/(B12*B11)</f>
        <v>0.66105263157894734</v>
      </c>
      <c r="C29" s="3"/>
      <c r="M29" s="26">
        <f>B26</f>
        <v>2</v>
      </c>
      <c r="N29" s="27">
        <f>D4</f>
        <v>20</v>
      </c>
      <c r="O29" s="25" t="s">
        <v>55</v>
      </c>
      <c r="P29" s="22"/>
    </row>
    <row r="30" spans="1:19" ht="18.75">
      <c r="A30" s="2" t="s">
        <v>33</v>
      </c>
      <c r="B30" s="3">
        <v>0.48</v>
      </c>
    </row>
    <row r="31" spans="1:19" ht="18.75">
      <c r="A31" s="2" t="s">
        <v>34</v>
      </c>
      <c r="B31" s="3">
        <f>B19*10^3/(B12*B11)</f>
        <v>0.49835526315789475</v>
      </c>
    </row>
    <row r="32" spans="1:19" ht="18.75">
      <c r="A32" s="2" t="s">
        <v>35</v>
      </c>
      <c r="B32" s="104" t="str">
        <f>IF(B31&lt;B30,"provide min reinforcement","calculate shear reinforcement")</f>
        <v>calculate shear reinforcement</v>
      </c>
      <c r="C32" s="104"/>
      <c r="D32" s="104"/>
    </row>
    <row r="33" spans="1:10" ht="18.75">
      <c r="A33" s="2" t="s">
        <v>44</v>
      </c>
      <c r="B33" s="3">
        <f>(B34*B19*10^3)/(0.87*B6*B11)</f>
        <v>99.545311185870474</v>
      </c>
      <c r="C33" t="s">
        <v>37</v>
      </c>
    </row>
    <row r="34" spans="1:10" ht="18.75">
      <c r="A34" s="2" t="s">
        <v>39</v>
      </c>
      <c r="B34" s="3">
        <f>MIN(0.75*B11,300)</f>
        <v>285</v>
      </c>
    </row>
    <row r="35" spans="1:10" ht="18.75">
      <c r="A35" s="2" t="s">
        <v>40</v>
      </c>
      <c r="B35" s="3">
        <f>B33/(0.785*D5*D5)</f>
        <v>1.9813955251964663</v>
      </c>
      <c r="I35" s="105" t="s">
        <v>49</v>
      </c>
      <c r="J35" s="105"/>
    </row>
    <row r="36" spans="1:10" ht="18.75">
      <c r="A36" s="2" t="s">
        <v>42</v>
      </c>
      <c r="B36" s="3">
        <f>CEILING(B35,1)</f>
        <v>2</v>
      </c>
      <c r="I36" s="15" t="s">
        <v>50</v>
      </c>
      <c r="J36" s="15" t="b">
        <f>'ONE WAY SLAB'!L19=(0.58*'ONE WAY SLAB'!D4)*('ONE WAY SLAB'!B18/'ONE WAY SLAB'!B21)</f>
        <v>1</v>
      </c>
    </row>
    <row r="37" spans="1:10" ht="18.75">
      <c r="A37" s="2" t="s">
        <v>43</v>
      </c>
      <c r="B37" s="3">
        <f>B36*0.785*D5*D5</f>
        <v>100.48</v>
      </c>
      <c r="I37" s="15" t="s">
        <v>51</v>
      </c>
      <c r="J37" s="5">
        <v>1.26</v>
      </c>
    </row>
    <row r="38" spans="1:10" ht="18.75">
      <c r="A38" s="2" t="s">
        <v>36</v>
      </c>
      <c r="B38" s="3">
        <f>B34</f>
        <v>285</v>
      </c>
    </row>
    <row r="39" spans="1:10" ht="23.25">
      <c r="A39" s="12" t="s">
        <v>45</v>
      </c>
    </row>
    <row r="40" spans="1:10" ht="18.75">
      <c r="A40" s="2" t="s">
        <v>46</v>
      </c>
      <c r="B40" s="3">
        <f>J37</f>
        <v>1.26</v>
      </c>
    </row>
    <row r="41" spans="1:10" ht="18.75">
      <c r="A41" s="2" t="s">
        <v>47</v>
      </c>
      <c r="B41" s="3">
        <f>20*B40</f>
        <v>25.2</v>
      </c>
    </row>
    <row r="42" spans="1:10" ht="18.75">
      <c r="A42" s="2" t="s">
        <v>48</v>
      </c>
      <c r="B42" s="3">
        <f>B4*1000/B11</f>
        <v>26.315789473684209</v>
      </c>
    </row>
    <row r="43" spans="1:10" ht="18.75">
      <c r="A43" s="2" t="s">
        <v>45</v>
      </c>
      <c r="B43" s="106" t="str">
        <f>IF(B41&gt;B42,"safe for deflection","not safe for deflection")</f>
        <v>not safe for deflection</v>
      </c>
      <c r="C43" s="106"/>
    </row>
    <row r="220" spans="4:6">
      <c r="D220" s="100"/>
      <c r="E220" s="100"/>
      <c r="F220" s="100"/>
    </row>
  </sheetData>
  <mergeCells count="7">
    <mergeCell ref="D220:F220"/>
    <mergeCell ref="C1:I1"/>
    <mergeCell ref="A23:B23"/>
    <mergeCell ref="B32:D32"/>
    <mergeCell ref="I35:J35"/>
    <mergeCell ref="B43:C43"/>
    <mergeCell ref="A28:C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0"/>
  <sheetViews>
    <sheetView topLeftCell="A10" workbookViewId="0">
      <selection activeCell="K36" sqref="K36"/>
    </sheetView>
  </sheetViews>
  <sheetFormatPr defaultRowHeight="15"/>
  <cols>
    <col min="1" max="1" width="54.42578125" customWidth="1"/>
    <col min="2" max="2" width="16.85546875" customWidth="1"/>
    <col min="3" max="3" width="22.85546875" customWidth="1"/>
    <col min="4" max="4" width="15.28515625" customWidth="1"/>
    <col min="7" max="7" width="29.7109375" customWidth="1"/>
    <col min="8" max="8" width="13.42578125" customWidth="1"/>
    <col min="11" max="11" width="15.7109375" customWidth="1"/>
    <col min="12" max="12" width="14.28515625" bestFit="1" customWidth="1"/>
    <col min="15" max="15" width="14.28515625" bestFit="1" customWidth="1"/>
  </cols>
  <sheetData>
    <row r="1" spans="1:16" ht="33.75">
      <c r="C1" s="119" t="s">
        <v>56</v>
      </c>
      <c r="D1" s="119"/>
      <c r="E1" s="119"/>
      <c r="F1" s="119"/>
      <c r="G1" s="119"/>
      <c r="H1" s="40"/>
      <c r="I1" s="40"/>
      <c r="J1" s="40"/>
    </row>
    <row r="2" spans="1:16" ht="26.25">
      <c r="A2" s="31" t="s">
        <v>1</v>
      </c>
      <c r="B2" s="38"/>
      <c r="G2" s="120" t="s">
        <v>14</v>
      </c>
      <c r="H2" s="120"/>
      <c r="I2" s="2"/>
      <c r="J2" s="2"/>
      <c r="K2" s="2"/>
      <c r="L2" s="2"/>
      <c r="M2" s="2"/>
      <c r="N2" s="2"/>
      <c r="O2" s="2"/>
      <c r="P2" s="2"/>
    </row>
    <row r="3" spans="1:16" ht="18.75">
      <c r="A3" s="6" t="s">
        <v>64</v>
      </c>
      <c r="B3" s="8">
        <v>8</v>
      </c>
      <c r="C3" s="6" t="s">
        <v>63</v>
      </c>
      <c r="D3" s="8">
        <v>15</v>
      </c>
      <c r="E3" s="28"/>
      <c r="F3" s="28"/>
      <c r="G3" s="6" t="s">
        <v>82</v>
      </c>
      <c r="H3" s="5">
        <f>25*B11/1000</f>
        <v>9.5</v>
      </c>
      <c r="I3" s="2"/>
      <c r="J3" s="2"/>
      <c r="K3" s="2"/>
      <c r="L3" s="2"/>
      <c r="M3" s="2"/>
      <c r="N3" s="2"/>
      <c r="O3" s="2"/>
      <c r="P3" s="2"/>
    </row>
    <row r="4" spans="1:16" ht="18.75">
      <c r="A4" s="6" t="s">
        <v>75</v>
      </c>
      <c r="B4" s="8">
        <v>5</v>
      </c>
      <c r="C4" s="6" t="s">
        <v>62</v>
      </c>
      <c r="D4" s="8">
        <v>415</v>
      </c>
      <c r="E4" s="28"/>
      <c r="F4" s="28"/>
      <c r="G4" s="6" t="s">
        <v>71</v>
      </c>
      <c r="H4" s="5">
        <f>B5</f>
        <v>1</v>
      </c>
      <c r="I4" s="2"/>
      <c r="J4" s="2"/>
      <c r="K4" s="2"/>
      <c r="L4" s="2"/>
      <c r="M4" s="2"/>
      <c r="N4" s="2"/>
      <c r="O4" s="2"/>
      <c r="P4" s="2"/>
    </row>
    <row r="5" spans="1:16" ht="18.75">
      <c r="A5" s="6" t="s">
        <v>76</v>
      </c>
      <c r="B5" s="8">
        <v>1</v>
      </c>
      <c r="C5" s="6" t="s">
        <v>60</v>
      </c>
      <c r="D5" s="8">
        <v>20</v>
      </c>
      <c r="E5" s="28"/>
      <c r="F5" s="28"/>
      <c r="G5" s="6" t="s">
        <v>72</v>
      </c>
      <c r="H5" s="5">
        <f>B4</f>
        <v>5</v>
      </c>
      <c r="I5" s="2"/>
      <c r="J5" s="2"/>
      <c r="K5" s="2"/>
      <c r="L5" s="2"/>
      <c r="M5" s="2"/>
      <c r="N5" s="2"/>
      <c r="O5" s="2"/>
      <c r="P5" s="2"/>
    </row>
    <row r="6" spans="1:16" ht="18.75">
      <c r="A6" s="6" t="s">
        <v>69</v>
      </c>
      <c r="B6" s="8">
        <v>0.23</v>
      </c>
      <c r="C6" s="6" t="s">
        <v>59</v>
      </c>
      <c r="D6" s="8">
        <v>20</v>
      </c>
      <c r="E6" s="28"/>
      <c r="F6" s="28"/>
      <c r="G6" s="6" t="s">
        <v>73</v>
      </c>
      <c r="H6" s="5">
        <v>5</v>
      </c>
      <c r="I6" s="2"/>
      <c r="J6" s="2"/>
      <c r="K6" s="2"/>
      <c r="L6" s="2"/>
      <c r="M6" s="2"/>
      <c r="N6" s="2"/>
      <c r="O6" s="2"/>
      <c r="P6" s="2"/>
    </row>
    <row r="7" spans="1:16" ht="18.75">
      <c r="A7" s="6" t="s">
        <v>90</v>
      </c>
      <c r="B7" s="8">
        <v>10</v>
      </c>
      <c r="C7" s="6" t="s">
        <v>61</v>
      </c>
      <c r="D7" s="8">
        <v>8</v>
      </c>
      <c r="E7" s="28"/>
      <c r="F7" s="28"/>
      <c r="G7" s="6" t="s">
        <v>74</v>
      </c>
      <c r="H7" s="5">
        <f>H3+H4+H5+H6</f>
        <v>20.5</v>
      </c>
      <c r="I7" s="2"/>
      <c r="J7" s="2"/>
      <c r="K7" s="2"/>
      <c r="L7" s="2"/>
      <c r="M7" s="2"/>
      <c r="N7" s="2"/>
      <c r="O7" s="2"/>
      <c r="P7" s="2"/>
    </row>
    <row r="8" spans="1:16" ht="26.25">
      <c r="A8" s="31" t="s">
        <v>57</v>
      </c>
      <c r="B8" s="29"/>
      <c r="C8" s="28"/>
      <c r="D8" s="28"/>
      <c r="E8" s="28"/>
      <c r="F8" s="28"/>
      <c r="G8" s="120" t="s">
        <v>70</v>
      </c>
      <c r="H8" s="120"/>
      <c r="I8" s="2"/>
      <c r="J8" s="2"/>
      <c r="K8" s="6" t="s">
        <v>23</v>
      </c>
      <c r="L8" s="8">
        <v>15</v>
      </c>
      <c r="M8" s="2"/>
      <c r="N8" s="2"/>
      <c r="O8" s="2"/>
      <c r="P8" s="2"/>
    </row>
    <row r="9" spans="1:16" ht="18.75">
      <c r="A9" s="10" t="s">
        <v>58</v>
      </c>
      <c r="B9" s="5">
        <f>(B3/25)*1000</f>
        <v>320</v>
      </c>
      <c r="G9" s="10" t="s">
        <v>81</v>
      </c>
      <c r="H9" s="6">
        <f>1.5*(H7*B3*B3)/8</f>
        <v>246</v>
      </c>
      <c r="I9" s="2"/>
      <c r="J9" s="2"/>
      <c r="K9" s="6" t="s">
        <v>24</v>
      </c>
      <c r="L9" s="8">
        <v>415</v>
      </c>
      <c r="M9" s="2"/>
      <c r="N9" s="2"/>
      <c r="O9" s="2"/>
      <c r="P9" s="2"/>
    </row>
    <row r="10" spans="1:16" ht="18.75">
      <c r="A10" s="10" t="s">
        <v>65</v>
      </c>
      <c r="B10" s="5">
        <f>B9+D6+D5*0.5</f>
        <v>350</v>
      </c>
      <c r="G10" s="10" t="s">
        <v>77</v>
      </c>
      <c r="H10" s="6">
        <f>1.5*H7*B3/2</f>
        <v>123</v>
      </c>
      <c r="I10" s="2"/>
      <c r="J10" s="2"/>
      <c r="K10" s="6" t="s">
        <v>53</v>
      </c>
      <c r="L10" s="13">
        <f>H9*1000000</f>
        <v>246000000</v>
      </c>
      <c r="M10" s="2"/>
      <c r="N10" s="2"/>
      <c r="O10" s="2"/>
      <c r="P10" s="2"/>
    </row>
    <row r="11" spans="1:16" ht="18.75">
      <c r="A11" s="10" t="s">
        <v>66</v>
      </c>
      <c r="B11" s="8">
        <v>380</v>
      </c>
      <c r="G11" s="2"/>
      <c r="H11" s="2"/>
      <c r="I11" s="2"/>
      <c r="J11" s="2"/>
      <c r="K11" s="6" t="s">
        <v>25</v>
      </c>
      <c r="L11" s="8">
        <v>1000</v>
      </c>
      <c r="M11" s="2"/>
      <c r="N11" s="2"/>
      <c r="O11" s="2"/>
      <c r="P11" s="2"/>
    </row>
    <row r="12" spans="1:16" ht="18.75">
      <c r="A12" s="10" t="s">
        <v>67</v>
      </c>
      <c r="B12" s="5">
        <f>B11-D6-D5*0.5</f>
        <v>350</v>
      </c>
      <c r="G12" s="2"/>
      <c r="H12" s="2"/>
      <c r="I12" s="2"/>
      <c r="J12" s="2"/>
      <c r="K12" s="6" t="s">
        <v>26</v>
      </c>
      <c r="L12" s="8">
        <v>355</v>
      </c>
      <c r="M12" s="2"/>
      <c r="N12" s="2"/>
      <c r="O12" s="2"/>
      <c r="P12" s="2"/>
    </row>
    <row r="13" spans="1:16" ht="18.75">
      <c r="A13" s="10" t="s">
        <v>68</v>
      </c>
      <c r="B13" s="5">
        <f>MIN((B3+B12),(B3+B6))</f>
        <v>8.23</v>
      </c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23.25">
      <c r="A14" s="120" t="s">
        <v>78</v>
      </c>
      <c r="B14" s="120"/>
      <c r="G14" s="2"/>
      <c r="H14" s="2"/>
      <c r="I14" s="2"/>
      <c r="J14" s="2"/>
      <c r="K14" s="20">
        <v>1</v>
      </c>
      <c r="L14" s="20">
        <v>2</v>
      </c>
      <c r="M14" s="20">
        <v>3</v>
      </c>
      <c r="N14" s="20">
        <v>4</v>
      </c>
      <c r="O14" s="110" t="s">
        <v>31</v>
      </c>
      <c r="P14" s="110"/>
    </row>
    <row r="15" spans="1:16" ht="19.5" thickBot="1">
      <c r="A15" s="10" t="s">
        <v>79</v>
      </c>
      <c r="B15" s="36">
        <f>(D15*D3*B12*B12)/10^3</f>
        <v>253.57500000000002</v>
      </c>
      <c r="C15" s="39" t="s">
        <v>80</v>
      </c>
      <c r="D15" s="5" t="str">
        <f>IF(D4=250,"0.149",IF(D4=415,"0.138",0.133))</f>
        <v>0.138</v>
      </c>
      <c r="G15" s="2"/>
      <c r="H15" s="2"/>
      <c r="I15" s="2"/>
      <c r="J15" s="2"/>
      <c r="K15" s="6">
        <f>1-(4.6*L10/(L8*L11*L12*L12))</f>
        <v>0.40138861337036302</v>
      </c>
      <c r="L15" s="6">
        <f>SQRT(K15)</f>
        <v>0.63355237618555504</v>
      </c>
      <c r="M15" s="6">
        <f>(1-L15)</f>
        <v>0.36644762381444496</v>
      </c>
      <c r="N15" s="6">
        <f>(0.5*L8*L11*L12)/L9</f>
        <v>6415.6626506024095</v>
      </c>
      <c r="O15" s="111">
        <f>N15*M15</f>
        <v>2351.0043335083365</v>
      </c>
      <c r="P15" s="111"/>
    </row>
    <row r="16" spans="1:16" ht="19.5" thickBot="1">
      <c r="A16" s="30"/>
      <c r="B16" s="121" t="str">
        <f>IF(B15&gt;H9,"singly reinforced","doubly reinforced")</f>
        <v>singly reinforced</v>
      </c>
      <c r="C16" s="122"/>
    </row>
    <row r="17" spans="1:18" ht="23.25">
      <c r="A17" s="35" t="s">
        <v>93</v>
      </c>
      <c r="B17" s="30"/>
      <c r="C17" s="30"/>
    </row>
    <row r="18" spans="1:18" ht="18.75">
      <c r="A18" s="6" t="s">
        <v>85</v>
      </c>
      <c r="B18" s="5">
        <f>O15</f>
        <v>2351.0043335083365</v>
      </c>
      <c r="C18" s="30"/>
      <c r="D18" s="2"/>
      <c r="E18" s="2"/>
      <c r="F18" s="2"/>
      <c r="G18" s="2"/>
      <c r="H18" s="2"/>
      <c r="I18" s="2"/>
      <c r="J18" s="2"/>
      <c r="K18" s="109" t="s">
        <v>49</v>
      </c>
      <c r="L18" s="109"/>
      <c r="M18" s="2"/>
      <c r="N18" s="2"/>
      <c r="O18" s="2"/>
      <c r="P18" s="2"/>
      <c r="Q18" s="2"/>
      <c r="R18" s="2"/>
    </row>
    <row r="19" spans="1:18" ht="18.75">
      <c r="A19" s="6" t="s">
        <v>83</v>
      </c>
      <c r="B19" s="5">
        <f>B18*4/(3.14*D5*D5)</f>
        <v>7.4872749474787783</v>
      </c>
      <c r="C19" s="30"/>
      <c r="H19" s="2"/>
      <c r="I19" s="2"/>
      <c r="J19" s="2"/>
      <c r="K19" s="6" t="s">
        <v>50</v>
      </c>
      <c r="L19" s="6">
        <f>(0.58*D4)*(B18/B21)</f>
        <v>225.27338498226774</v>
      </c>
      <c r="M19" s="2"/>
      <c r="N19" s="2"/>
      <c r="O19" s="2"/>
      <c r="P19" s="2"/>
      <c r="Q19" s="2"/>
      <c r="R19" s="2"/>
    </row>
    <row r="20" spans="1:18" ht="19.5" thickBot="1">
      <c r="A20" s="6" t="s">
        <v>28</v>
      </c>
      <c r="B20" s="5">
        <f>ROUNDUP('ONE WAY SLAB'!B19,0)</f>
        <v>8</v>
      </c>
      <c r="C20" s="30"/>
      <c r="H20" s="2"/>
      <c r="I20" s="2"/>
      <c r="J20" s="2"/>
      <c r="K20" s="6" t="s">
        <v>100</v>
      </c>
      <c r="L20" s="6">
        <v>1.3</v>
      </c>
      <c r="M20" s="2"/>
      <c r="N20" s="2"/>
      <c r="O20" s="2"/>
      <c r="P20" s="2"/>
      <c r="Q20" s="2"/>
      <c r="R20" s="2"/>
    </row>
    <row r="21" spans="1:18" ht="19.5" thickBot="1">
      <c r="A21" s="6" t="s">
        <v>84</v>
      </c>
      <c r="B21" s="41">
        <f>(B20*3.14*D5*D5)/4</f>
        <v>2512</v>
      </c>
      <c r="C21" s="42" t="str">
        <f>IF(B21&gt;B26,"hence ok","provide min reignforcement")</f>
        <v>hence ok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8.75">
      <c r="A22" s="6" t="s">
        <v>86</v>
      </c>
      <c r="B22" s="5">
        <f>1000*3.14*D5*D5/(4*B21)</f>
        <v>125</v>
      </c>
      <c r="C22" s="2"/>
      <c r="F22" s="28"/>
      <c r="G22" s="2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1:18" ht="19.5" thickBot="1">
      <c r="A23" s="39" t="s">
        <v>87</v>
      </c>
      <c r="B23" s="36">
        <f>MIN(B22,3*B11,300)</f>
        <v>125</v>
      </c>
      <c r="C23" s="30"/>
      <c r="F23" s="28"/>
      <c r="G23" s="28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1:18" ht="21.75" thickBot="1">
      <c r="A24" s="112" t="str">
        <f>CONCATENATE("provide ",B20,"-",D6," mm at spacing of ",B23," mm")</f>
        <v>provide 8-20 mm at spacing of 125 mm</v>
      </c>
      <c r="B24" s="113"/>
      <c r="C24" s="114"/>
      <c r="F24" s="28"/>
      <c r="G24" s="28"/>
      <c r="H24" s="16"/>
      <c r="I24" s="16"/>
      <c r="J24" s="16"/>
      <c r="K24" s="60" t="str">
        <f>A31</f>
        <v>provide 6-10 mm at spacing of 172.2 mm</v>
      </c>
      <c r="L24" s="60"/>
      <c r="M24" s="60"/>
      <c r="N24" s="61"/>
      <c r="O24" s="16"/>
      <c r="P24" s="16"/>
      <c r="Q24" s="16"/>
      <c r="R24" s="16"/>
    </row>
    <row r="25" spans="1:18" ht="23.25">
      <c r="A25" s="35" t="s">
        <v>92</v>
      </c>
      <c r="B25" s="19"/>
      <c r="F25" s="28"/>
      <c r="G25" s="28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</row>
    <row r="26" spans="1:18" ht="18.75">
      <c r="A26" s="6" t="s">
        <v>88</v>
      </c>
      <c r="B26" s="5">
        <f>0.12*1000*B11/100</f>
        <v>456</v>
      </c>
      <c r="C26" s="30"/>
      <c r="D26" s="2"/>
      <c r="F26" s="28"/>
      <c r="G26" s="28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</row>
    <row r="27" spans="1:18" ht="18.75">
      <c r="A27" s="6" t="s">
        <v>89</v>
      </c>
      <c r="B27" s="5">
        <f>B26*4/(3.14*B7*B7)</f>
        <v>5.8089171974522289</v>
      </c>
      <c r="C27" s="30"/>
      <c r="D27" s="16"/>
      <c r="E27" s="2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</row>
    <row r="28" spans="1:18" ht="18.75">
      <c r="A28" s="6" t="s">
        <v>28</v>
      </c>
      <c r="B28" s="5">
        <f>ROUNDUP(B27,0)</f>
        <v>6</v>
      </c>
      <c r="C28" s="30"/>
      <c r="D28" s="2"/>
      <c r="E28" s="2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</row>
    <row r="29" spans="1:18" ht="18.75">
      <c r="A29" s="6" t="s">
        <v>91</v>
      </c>
      <c r="B29" s="5">
        <f>1000*3.14*B7*B7/(4*B26)</f>
        <v>172.14912280701753</v>
      </c>
      <c r="C29" s="30"/>
      <c r="D29" s="2"/>
      <c r="E29" s="2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</row>
    <row r="30" spans="1:18" ht="19.5" thickBot="1">
      <c r="A30" s="39" t="s">
        <v>94</v>
      </c>
      <c r="B30" s="36">
        <f>ROUNDUP(MIN(B29,5*B12,450),1)</f>
        <v>172.2</v>
      </c>
      <c r="C30" s="37"/>
      <c r="D30" s="2"/>
      <c r="E30" s="2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</row>
    <row r="31" spans="1:18" ht="19.5" thickBot="1">
      <c r="A31" s="115" t="str">
        <f>CONCATENATE("provide ",B28,"-",B7," mm at spacing of ",B30," mm")</f>
        <v>provide 6-10 mm at spacing of 172.2 mm</v>
      </c>
      <c r="B31" s="116"/>
      <c r="C31" s="117"/>
      <c r="D31" s="2"/>
      <c r="E31" s="2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</row>
    <row r="32" spans="1:18" ht="23.25">
      <c r="A32" s="35" t="s">
        <v>95</v>
      </c>
      <c r="B32" s="30"/>
      <c r="C32" s="32"/>
      <c r="D32" s="2"/>
      <c r="E32" s="2"/>
      <c r="F32" s="16"/>
      <c r="G32" s="16"/>
      <c r="H32" s="16"/>
      <c r="I32" s="16"/>
      <c r="J32" s="16"/>
      <c r="K32" s="62">
        <f>B13</f>
        <v>8.23</v>
      </c>
      <c r="L32" s="16" t="s">
        <v>144</v>
      </c>
      <c r="M32" s="16"/>
      <c r="N32" s="16"/>
      <c r="O32" s="16"/>
      <c r="P32" s="16"/>
      <c r="Q32" s="16"/>
      <c r="R32" s="16"/>
    </row>
    <row r="33" spans="1:18" ht="18.75">
      <c r="A33" s="2" t="s">
        <v>96</v>
      </c>
      <c r="B33" s="2">
        <f>100*B21/(1000*B11)</f>
        <v>0.66105263157894734</v>
      </c>
      <c r="C33" s="2"/>
      <c r="D33" s="2"/>
      <c r="E33" s="2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</row>
    <row r="34" spans="1:18" ht="18.75">
      <c r="A34" s="2" t="s">
        <v>97</v>
      </c>
      <c r="B34" s="2">
        <v>0.48</v>
      </c>
      <c r="C34" s="2"/>
      <c r="D34" s="2"/>
      <c r="E34" s="2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</row>
    <row r="35" spans="1:18" ht="18.75">
      <c r="A35" s="2" t="s">
        <v>98</v>
      </c>
      <c r="B35" s="2">
        <f>H10*1000/(1000*B12)</f>
        <v>0.35142857142857142</v>
      </c>
      <c r="C35" s="2"/>
      <c r="D35" s="2"/>
      <c r="E35" s="2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</row>
    <row r="36" spans="1:18" ht="18.75">
      <c r="A36" s="2"/>
      <c r="B36" s="108" t="str">
        <f>IF(B34&gt;B35,"hence safe in shear","not safe in shear,revise the section")</f>
        <v>hence safe in shear</v>
      </c>
      <c r="C36" s="108"/>
      <c r="D36" s="2"/>
      <c r="E36" s="2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</row>
    <row r="37" spans="1:18" ht="23.25">
      <c r="A37" s="35" t="s">
        <v>45</v>
      </c>
      <c r="B37" s="2"/>
      <c r="C37" s="2"/>
      <c r="D37" s="2"/>
      <c r="E37" s="2"/>
      <c r="F37" s="16"/>
      <c r="G37" s="16"/>
      <c r="H37" s="16"/>
      <c r="I37" s="16"/>
      <c r="J37" s="16"/>
      <c r="K37" s="28"/>
      <c r="L37" s="28"/>
      <c r="M37" s="28"/>
      <c r="N37" s="28"/>
      <c r="O37" s="28"/>
      <c r="P37" s="28"/>
      <c r="Q37" s="16"/>
      <c r="R37" s="16"/>
    </row>
    <row r="38" spans="1:18" ht="21">
      <c r="A38" s="2" t="s">
        <v>101</v>
      </c>
      <c r="B38" s="3">
        <f>L20*20</f>
        <v>26</v>
      </c>
      <c r="C38" s="2"/>
      <c r="D38" s="2"/>
      <c r="E38" s="2"/>
      <c r="F38" s="16"/>
      <c r="G38" s="16"/>
      <c r="H38" s="16">
        <f>B6</f>
        <v>0.23</v>
      </c>
      <c r="I38" s="16" t="s">
        <v>144</v>
      </c>
      <c r="J38" s="16"/>
      <c r="K38" s="16"/>
      <c r="L38" s="118" t="str">
        <f>A24</f>
        <v>provide 8-20 mm at spacing of 125 mm</v>
      </c>
      <c r="M38" s="118"/>
      <c r="N38" s="118"/>
      <c r="O38" s="118"/>
      <c r="P38" s="118"/>
      <c r="Q38" s="16"/>
      <c r="R38" s="16"/>
    </row>
    <row r="39" spans="1:18" ht="21">
      <c r="A39" s="2" t="s">
        <v>99</v>
      </c>
      <c r="B39" s="2">
        <f>B3*1000/B12</f>
        <v>22.857142857142858</v>
      </c>
      <c r="C39" s="2"/>
      <c r="D39" s="2"/>
      <c r="E39" s="2"/>
      <c r="F39" s="16"/>
      <c r="G39" s="16"/>
      <c r="H39" s="16"/>
      <c r="I39" s="16"/>
      <c r="J39" s="16"/>
      <c r="K39" s="44"/>
      <c r="L39" s="16"/>
      <c r="M39" s="16"/>
      <c r="N39" s="16"/>
      <c r="O39" s="16"/>
      <c r="P39" s="16"/>
      <c r="Q39" s="16"/>
      <c r="R39" s="16"/>
    </row>
    <row r="40" spans="1:18" ht="18.75">
      <c r="A40" s="2"/>
      <c r="B40" s="108" t="str">
        <f>IF(B38&gt;B39,"safe against deflection","not ok")</f>
        <v>safe against deflection</v>
      </c>
      <c r="C40" s="108"/>
      <c r="D40" s="2"/>
      <c r="E40" s="2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</row>
    <row r="41" spans="1:18" ht="18.75">
      <c r="A41" s="2"/>
      <c r="B41" s="2"/>
      <c r="C41" s="2"/>
      <c r="D41" s="2"/>
      <c r="E41" s="2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</row>
    <row r="42" spans="1:18" ht="18.75">
      <c r="A42" s="2"/>
      <c r="B42" s="2"/>
      <c r="C42" s="2"/>
      <c r="D42" s="2"/>
      <c r="E42" s="2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</row>
    <row r="43" spans="1:18" ht="18.75">
      <c r="A43" s="2"/>
      <c r="B43" s="2"/>
      <c r="C43" s="2"/>
      <c r="D43" s="2"/>
      <c r="E43" s="2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</row>
    <row r="44" spans="1:18" ht="18.75">
      <c r="A44" s="2"/>
      <c r="B44" s="2"/>
      <c r="C44" s="2"/>
      <c r="D44" s="2"/>
      <c r="E44" s="2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</row>
    <row r="45" spans="1:18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ht="18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8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8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8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8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8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8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8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8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8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8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8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8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8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8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8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8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8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8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</sheetData>
  <mergeCells count="13">
    <mergeCell ref="C1:G1"/>
    <mergeCell ref="G2:H2"/>
    <mergeCell ref="G8:H8"/>
    <mergeCell ref="A14:B14"/>
    <mergeCell ref="B16:C16"/>
    <mergeCell ref="B36:C36"/>
    <mergeCell ref="K18:L18"/>
    <mergeCell ref="B40:C40"/>
    <mergeCell ref="O14:P14"/>
    <mergeCell ref="O15:P15"/>
    <mergeCell ref="A24:C24"/>
    <mergeCell ref="A31:C31"/>
    <mergeCell ref="L38:P38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U73"/>
  <sheetViews>
    <sheetView topLeftCell="A4" workbookViewId="0">
      <selection activeCell="A44" sqref="A43:A44"/>
    </sheetView>
  </sheetViews>
  <sheetFormatPr defaultRowHeight="15"/>
  <cols>
    <col min="1" max="1" width="44.42578125" customWidth="1"/>
    <col min="2" max="2" width="12" customWidth="1"/>
    <col min="3" max="3" width="24.7109375" customWidth="1"/>
    <col min="4" max="4" width="13.28515625" customWidth="1"/>
    <col min="5" max="5" width="17.140625" customWidth="1"/>
    <col min="6" max="6" width="31.28515625" customWidth="1"/>
    <col min="7" max="7" width="23.5703125" customWidth="1"/>
    <col min="8" max="8" width="22.140625" customWidth="1"/>
    <col min="9" max="9" width="25.7109375" customWidth="1"/>
    <col min="10" max="10" width="19.28515625" customWidth="1"/>
    <col min="11" max="11" width="14.85546875" customWidth="1"/>
  </cols>
  <sheetData>
    <row r="1" spans="1:21" ht="15" customHeight="1">
      <c r="C1" s="45"/>
      <c r="E1" s="123" t="s">
        <v>102</v>
      </c>
      <c r="F1" s="123"/>
      <c r="G1" s="123"/>
      <c r="H1" s="123"/>
      <c r="I1" s="123"/>
      <c r="J1" s="55"/>
      <c r="K1" s="55"/>
      <c r="L1" s="55"/>
      <c r="M1" s="55"/>
      <c r="N1" s="55"/>
      <c r="O1" s="54"/>
      <c r="P1" s="54"/>
      <c r="Q1" s="54"/>
      <c r="R1" s="54"/>
      <c r="S1" s="54"/>
      <c r="T1" s="54"/>
      <c r="U1" s="54"/>
    </row>
    <row r="2" spans="1:21">
      <c r="E2" s="123"/>
      <c r="F2" s="123"/>
      <c r="G2" s="123"/>
      <c r="H2" s="123"/>
      <c r="I2" s="123"/>
    </row>
    <row r="3" spans="1:21" ht="26.25">
      <c r="A3" s="31" t="s">
        <v>1</v>
      </c>
      <c r="B3" s="38"/>
    </row>
    <row r="4" spans="1:21" ht="23.25">
      <c r="A4" s="6" t="s">
        <v>103</v>
      </c>
      <c r="B4" s="8">
        <v>4</v>
      </c>
      <c r="C4" s="48" t="s">
        <v>105</v>
      </c>
      <c r="D4" s="8" t="s">
        <v>106</v>
      </c>
      <c r="F4" s="120" t="s">
        <v>14</v>
      </c>
      <c r="G4" s="120"/>
    </row>
    <row r="5" spans="1:21" ht="18.75">
      <c r="A5" s="6" t="s">
        <v>104</v>
      </c>
      <c r="B5" s="8">
        <v>5</v>
      </c>
      <c r="C5" s="48" t="s">
        <v>63</v>
      </c>
      <c r="D5" s="8">
        <v>25</v>
      </c>
      <c r="F5" s="6" t="s">
        <v>113</v>
      </c>
      <c r="G5" s="34">
        <f>25*B13/1000</f>
        <v>5.25</v>
      </c>
    </row>
    <row r="6" spans="1:21" ht="18.75">
      <c r="A6" s="6" t="s">
        <v>107</v>
      </c>
      <c r="B6" s="8">
        <v>3</v>
      </c>
      <c r="C6" s="48" t="s">
        <v>62</v>
      </c>
      <c r="D6" s="8">
        <v>415</v>
      </c>
      <c r="F6" s="6" t="s">
        <v>114</v>
      </c>
      <c r="G6" s="34">
        <f>B7</f>
        <v>1</v>
      </c>
    </row>
    <row r="7" spans="1:21" ht="18.75">
      <c r="A7" s="6" t="s">
        <v>108</v>
      </c>
      <c r="B7" s="8">
        <v>1</v>
      </c>
      <c r="C7" s="48" t="s">
        <v>60</v>
      </c>
      <c r="D7" s="8">
        <v>10</v>
      </c>
      <c r="F7" s="6" t="s">
        <v>115</v>
      </c>
      <c r="G7" s="34">
        <f>B6</f>
        <v>3</v>
      </c>
      <c r="J7" s="6" t="s">
        <v>23</v>
      </c>
      <c r="K7" s="8">
        <f>D5</f>
        <v>25</v>
      </c>
      <c r="L7" s="2"/>
      <c r="M7" s="2"/>
      <c r="N7" s="2"/>
      <c r="O7" s="2"/>
    </row>
    <row r="8" spans="1:21" ht="18.75">
      <c r="A8" s="6" t="s">
        <v>69</v>
      </c>
      <c r="B8" s="8">
        <v>0.23</v>
      </c>
      <c r="C8" s="48" t="s">
        <v>59</v>
      </c>
      <c r="D8" s="8">
        <v>20</v>
      </c>
      <c r="F8" s="6" t="s">
        <v>116</v>
      </c>
      <c r="G8" s="34">
        <f>B9</f>
        <v>5</v>
      </c>
      <c r="J8" s="6" t="s">
        <v>24</v>
      </c>
      <c r="K8" s="8">
        <v>415</v>
      </c>
      <c r="L8" s="2"/>
      <c r="M8" s="2"/>
      <c r="N8" s="2"/>
      <c r="O8" s="2"/>
    </row>
    <row r="9" spans="1:21" ht="18.75">
      <c r="A9" s="6" t="s">
        <v>117</v>
      </c>
      <c r="B9" s="8">
        <v>5</v>
      </c>
      <c r="C9" s="16"/>
      <c r="D9" s="46"/>
      <c r="F9" s="6" t="s">
        <v>74</v>
      </c>
      <c r="G9" s="34">
        <f>G5+G6+G7+G8</f>
        <v>14.25</v>
      </c>
      <c r="J9" s="6" t="s">
        <v>53</v>
      </c>
      <c r="K9" s="13">
        <f>'TWO WAY SLAB'!D25*1000000</f>
        <v>8984797.4249999989</v>
      </c>
      <c r="L9" s="2"/>
      <c r="M9" s="2"/>
      <c r="N9" s="2"/>
      <c r="O9" s="2"/>
    </row>
    <row r="10" spans="1:21" ht="26.25">
      <c r="A10" s="31" t="s">
        <v>57</v>
      </c>
      <c r="B10" s="29"/>
      <c r="C10" s="16"/>
      <c r="D10" s="46"/>
      <c r="F10" s="10" t="s">
        <v>125</v>
      </c>
      <c r="G10" s="34">
        <f>1.5*G9</f>
        <v>21.375</v>
      </c>
      <c r="J10" s="6" t="s">
        <v>25</v>
      </c>
      <c r="K10" s="8">
        <v>1000</v>
      </c>
      <c r="L10" s="2"/>
      <c r="M10" s="2"/>
      <c r="N10" s="2"/>
      <c r="O10" s="2"/>
    </row>
    <row r="11" spans="1:21" ht="23.25">
      <c r="A11" s="10" t="s">
        <v>58</v>
      </c>
      <c r="B11" s="34">
        <f>(B4/25)*1000</f>
        <v>160</v>
      </c>
      <c r="F11" s="127"/>
      <c r="G11" s="127"/>
      <c r="J11" s="6" t="s">
        <v>26</v>
      </c>
      <c r="K11" s="8">
        <f>B14</f>
        <v>185</v>
      </c>
      <c r="L11" s="2"/>
      <c r="M11" s="2"/>
      <c r="N11" s="2"/>
      <c r="O11" s="2"/>
    </row>
    <row r="12" spans="1:21" ht="18.75">
      <c r="A12" s="10" t="s">
        <v>65</v>
      </c>
      <c r="B12" s="34">
        <f>B11+D7*0.5+D8</f>
        <v>185</v>
      </c>
      <c r="F12" s="9"/>
      <c r="G12" s="16"/>
      <c r="J12" s="2"/>
      <c r="K12" s="2"/>
      <c r="L12" s="2"/>
      <c r="M12" s="2"/>
      <c r="N12" s="2"/>
      <c r="O12" s="2"/>
    </row>
    <row r="13" spans="1:21" ht="18.75">
      <c r="A13" s="10" t="s">
        <v>66</v>
      </c>
      <c r="B13" s="8">
        <v>210</v>
      </c>
      <c r="F13" s="9"/>
      <c r="G13" s="16"/>
      <c r="J13" s="33">
        <v>1</v>
      </c>
      <c r="K13" s="33">
        <v>2</v>
      </c>
      <c r="L13" s="33">
        <v>3</v>
      </c>
      <c r="M13" s="33">
        <v>4</v>
      </c>
      <c r="N13" s="110" t="s">
        <v>31</v>
      </c>
      <c r="O13" s="110"/>
    </row>
    <row r="14" spans="1:21" ht="18.75">
      <c r="A14" s="10" t="s">
        <v>67</v>
      </c>
      <c r="B14" s="34">
        <f>B13-D8-D7/2</f>
        <v>185</v>
      </c>
      <c r="F14" s="2"/>
      <c r="G14" s="2"/>
      <c r="J14" s="6">
        <f>1-(4.6*K9/(K7*K10*K11*K11))</f>
        <v>0.95169604890577064</v>
      </c>
      <c r="K14" s="6">
        <f>SQRT(J14)</f>
        <v>0.97554910122749361</v>
      </c>
      <c r="L14" s="6">
        <f>(1-K14)</f>
        <v>2.4450898772506391E-2</v>
      </c>
      <c r="M14" s="6">
        <f>(0.5*K7*K10*K11)/K8</f>
        <v>5572.2891566265062</v>
      </c>
      <c r="N14" s="111">
        <f>M14*L14</f>
        <v>136.24747809980971</v>
      </c>
      <c r="O14" s="111"/>
    </row>
    <row r="15" spans="1:21" ht="21">
      <c r="A15" s="31" t="s">
        <v>109</v>
      </c>
    </row>
    <row r="16" spans="1:21" ht="18.75">
      <c r="A16" s="10" t="s">
        <v>110</v>
      </c>
      <c r="B16" s="34">
        <f>MIN((B4+B8),(B4+B14/1000))</f>
        <v>4.1849999999999996</v>
      </c>
    </row>
    <row r="17" spans="1:19" ht="19.5" thickBot="1">
      <c r="A17" s="10" t="s">
        <v>111</v>
      </c>
      <c r="B17" s="34">
        <f>MIN((B5+B8),(B5+B14/1000))</f>
        <v>5.1849999999999996</v>
      </c>
    </row>
    <row r="18" spans="1:19" ht="19.5" thickBot="1">
      <c r="A18" s="10" t="s">
        <v>112</v>
      </c>
      <c r="B18" s="49">
        <f>B17/B16</f>
        <v>1.2389486260454003</v>
      </c>
      <c r="C18" s="56" t="str">
        <f>IF(B18&lt;2,"Two way slab","one way slab")</f>
        <v>Two way slab</v>
      </c>
    </row>
    <row r="19" spans="1:19" ht="21">
      <c r="A19" s="128" t="s">
        <v>118</v>
      </c>
      <c r="B19" s="128"/>
      <c r="C19" s="128"/>
    </row>
    <row r="20" spans="1:19" ht="18.75" customHeight="1">
      <c r="A20" s="50" t="s">
        <v>119</v>
      </c>
    </row>
    <row r="21" spans="1:19" ht="21" customHeight="1">
      <c r="A21" s="10" t="s">
        <v>120</v>
      </c>
      <c r="B21" s="34">
        <v>4.3999999999999997E-2</v>
      </c>
      <c r="C21" s="6" t="s">
        <v>126</v>
      </c>
      <c r="D21" s="6">
        <f>B21*B16*B16*G10</f>
        <v>16.472128612499993</v>
      </c>
      <c r="E21" s="34" t="s">
        <v>130</v>
      </c>
      <c r="F21" s="34">
        <v>252.45</v>
      </c>
      <c r="G21" s="6" t="s">
        <v>134</v>
      </c>
      <c r="I21" s="124" t="s">
        <v>136</v>
      </c>
      <c r="J21" s="124"/>
      <c r="K21" s="124"/>
      <c r="M21" s="2"/>
      <c r="N21" s="2"/>
      <c r="O21" s="2"/>
      <c r="P21" s="2"/>
      <c r="Q21" s="2"/>
      <c r="R21" s="2"/>
      <c r="S21" s="2"/>
    </row>
    <row r="22" spans="1:19" ht="18.75">
      <c r="A22" s="10" t="s">
        <v>121</v>
      </c>
      <c r="B22" s="34">
        <v>3.3000000000000002E-2</v>
      </c>
      <c r="C22" s="6" t="s">
        <v>129</v>
      </c>
      <c r="D22" s="6">
        <f>B22*B16*B16*G10</f>
        <v>12.354096459374999</v>
      </c>
      <c r="E22" s="34" t="s">
        <v>131</v>
      </c>
      <c r="F22" s="34">
        <v>188.22</v>
      </c>
      <c r="G22" s="6" t="s">
        <v>134</v>
      </c>
      <c r="I22" s="6"/>
      <c r="J22" s="6" t="s">
        <v>137</v>
      </c>
      <c r="K22" s="6" t="s">
        <v>138</v>
      </c>
      <c r="L22" s="2"/>
      <c r="M22" s="2"/>
      <c r="N22" s="2"/>
      <c r="O22" s="2"/>
      <c r="P22" s="2"/>
      <c r="Q22" s="2"/>
      <c r="R22" s="2"/>
      <c r="S22" s="2"/>
    </row>
    <row r="23" spans="1:19" ht="18.75">
      <c r="A23" s="47" t="s">
        <v>122</v>
      </c>
      <c r="B23" s="3"/>
      <c r="C23" s="2"/>
      <c r="D23" s="2"/>
      <c r="E23" s="3"/>
      <c r="F23" s="3"/>
      <c r="G23" s="2"/>
      <c r="I23" s="6" t="s">
        <v>31</v>
      </c>
      <c r="J23" s="6">
        <f>MAX(F21,F22,B26,)</f>
        <v>252.45</v>
      </c>
      <c r="K23" s="6">
        <f>MAX(F24,F25,B26)</f>
        <v>252</v>
      </c>
      <c r="L23" s="2"/>
      <c r="M23" s="2"/>
      <c r="N23" s="2"/>
      <c r="O23" s="2"/>
    </row>
    <row r="24" spans="1:19" ht="18.75">
      <c r="A24" s="6" t="s">
        <v>123</v>
      </c>
      <c r="B24" s="34">
        <v>3.2000000000000001E-2</v>
      </c>
      <c r="C24" s="6" t="s">
        <v>127</v>
      </c>
      <c r="D24" s="6">
        <f>B24*B16*B16*G10</f>
        <v>11.979729899999999</v>
      </c>
      <c r="E24" s="34" t="s">
        <v>132</v>
      </c>
      <c r="F24" s="34">
        <v>182.42</v>
      </c>
      <c r="G24" s="6" t="s">
        <v>134</v>
      </c>
      <c r="I24" s="6" t="s">
        <v>83</v>
      </c>
      <c r="J24" s="6">
        <f>(J23*4)/(3.14*D7*D7)</f>
        <v>3.2159235668789807</v>
      </c>
      <c r="K24" s="6">
        <f>(K23*4)/(3.14*D7*D7)</f>
        <v>3.2101910828025479</v>
      </c>
      <c r="L24" s="2"/>
      <c r="M24" s="2"/>
      <c r="N24" s="2"/>
      <c r="O24" s="2"/>
    </row>
    <row r="25" spans="1:19" ht="19.5" thickBot="1">
      <c r="A25" s="6" t="s">
        <v>124</v>
      </c>
      <c r="B25" s="34">
        <v>2.4E-2</v>
      </c>
      <c r="C25" s="6" t="s">
        <v>128</v>
      </c>
      <c r="D25" s="6">
        <f>B25*B16*B16*G10</f>
        <v>8.9847974249999982</v>
      </c>
      <c r="E25" s="34" t="s">
        <v>133</v>
      </c>
      <c r="F25" s="34">
        <v>136.24</v>
      </c>
      <c r="G25" s="6" t="s">
        <v>134</v>
      </c>
      <c r="I25" s="6" t="s">
        <v>28</v>
      </c>
      <c r="J25" s="6">
        <f>ROUNDUP(J24,0)</f>
        <v>4</v>
      </c>
      <c r="K25" s="6">
        <f>ROUNDUP(K24,0)</f>
        <v>4</v>
      </c>
      <c r="L25" s="2"/>
      <c r="M25" s="2"/>
      <c r="N25" s="2"/>
      <c r="O25" s="2"/>
    </row>
    <row r="26" spans="1:19" ht="19.5" thickBot="1">
      <c r="A26" s="6" t="s">
        <v>135</v>
      </c>
      <c r="B26" s="53">
        <f>0.12*1000*B13/100</f>
        <v>252</v>
      </c>
      <c r="C26" s="6" t="s">
        <v>134</v>
      </c>
      <c r="D26" s="2"/>
      <c r="E26" s="2"/>
      <c r="F26" s="2"/>
      <c r="G26" s="2"/>
      <c r="I26" s="6" t="s">
        <v>140</v>
      </c>
      <c r="J26" s="6">
        <f>J25*3.14*D7*D7/4</f>
        <v>314</v>
      </c>
      <c r="K26" s="49">
        <f>K25*3.14*D7*D7/4</f>
        <v>314</v>
      </c>
      <c r="L26" s="56" t="str">
        <f>IF(J26&gt;J23,"OK","NOT OK")</f>
        <v>OK</v>
      </c>
      <c r="M26" s="2"/>
      <c r="N26" s="2"/>
      <c r="O26" s="2"/>
    </row>
    <row r="27" spans="1:19" ht="18.75">
      <c r="A27" s="2"/>
      <c r="B27" s="2"/>
      <c r="C27" s="2"/>
      <c r="D27" s="2"/>
      <c r="E27" s="2"/>
      <c r="F27" s="2"/>
      <c r="G27" s="2"/>
      <c r="H27" s="2"/>
      <c r="I27" s="6" t="s">
        <v>139</v>
      </c>
      <c r="J27" s="6">
        <f>1000*3.14*D7*D7/(4*J26)</f>
        <v>250</v>
      </c>
      <c r="K27" s="6">
        <f>1000*3.14*D7*D7/(4*K26)</f>
        <v>250</v>
      </c>
      <c r="L27" s="2"/>
      <c r="M27" s="2"/>
      <c r="N27" s="2"/>
      <c r="O27" s="2"/>
    </row>
    <row r="28" spans="1:19" ht="18.75">
      <c r="A28" s="52" t="s">
        <v>141</v>
      </c>
      <c r="G28" s="2"/>
      <c r="H28" s="2"/>
      <c r="M28" s="2"/>
      <c r="N28" s="2"/>
      <c r="O28" s="2"/>
    </row>
    <row r="29" spans="1:19" ht="18.75">
      <c r="A29" s="2"/>
      <c r="B29" s="2"/>
      <c r="C29" s="125" t="str">
        <f>CONCATENATE("provide ",J25,"-",D7,"  mm dia bars at spacing of ",J27," mm")</f>
        <v>provide 4-10  mm dia bars at spacing of 250 mm</v>
      </c>
      <c r="D29" s="125"/>
      <c r="E29" s="125"/>
      <c r="F29" s="125"/>
      <c r="G29" s="125"/>
      <c r="H29" s="2"/>
      <c r="I29" s="2"/>
      <c r="J29" s="2"/>
      <c r="K29" s="2"/>
      <c r="L29" s="2"/>
      <c r="M29" s="2"/>
      <c r="N29" s="2"/>
      <c r="O29" s="2"/>
    </row>
    <row r="30" spans="1:19" ht="18.75">
      <c r="A30" s="52" t="s">
        <v>142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9" ht="18.75">
      <c r="A31" s="2"/>
      <c r="B31" s="126" t="str">
        <f>CONCATENATE("provide ",K25,"-",D7," mm dia bars at spacing of ",K27," mm")</f>
        <v>provide 4-10 mm dia bars at spacing of 250 mm</v>
      </c>
      <c r="C31" s="126"/>
      <c r="D31" s="126"/>
      <c r="E31" s="126"/>
      <c r="F31" s="126"/>
      <c r="G31" s="126"/>
      <c r="H31" s="126"/>
      <c r="I31" s="126"/>
      <c r="J31" s="2"/>
      <c r="K31" s="2"/>
      <c r="L31" s="2"/>
      <c r="M31" s="2"/>
      <c r="N31" s="2"/>
      <c r="O31" s="2"/>
    </row>
    <row r="32" spans="1:19" ht="21">
      <c r="A32" s="128" t="s">
        <v>143</v>
      </c>
      <c r="B32" s="128"/>
      <c r="C32" s="128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ht="18.75">
      <c r="A33" s="2" t="s">
        <v>101</v>
      </c>
      <c r="B33" s="3">
        <f>I36*20</f>
        <v>26</v>
      </c>
      <c r="C33" s="2"/>
      <c r="D33" s="2"/>
      <c r="E33" s="2"/>
      <c r="F33" s="2"/>
      <c r="K33" s="2"/>
      <c r="L33" s="2"/>
      <c r="M33" s="2"/>
      <c r="N33" s="2"/>
      <c r="O33" s="2"/>
    </row>
    <row r="34" spans="1:15" ht="18.75">
      <c r="A34" s="2" t="s">
        <v>99</v>
      </c>
      <c r="B34" s="2">
        <f>B4*1000/B14</f>
        <v>21.621621621621621</v>
      </c>
      <c r="C34" s="2"/>
      <c r="D34" s="2"/>
      <c r="E34" s="2"/>
      <c r="F34" s="2"/>
      <c r="G34" s="2"/>
      <c r="H34" s="109" t="s">
        <v>49</v>
      </c>
      <c r="I34" s="109"/>
      <c r="J34" s="2"/>
      <c r="K34" s="2"/>
      <c r="L34" s="2"/>
      <c r="M34" s="2"/>
      <c r="N34" s="2"/>
      <c r="O34" s="2"/>
    </row>
    <row r="35" spans="1:15" ht="18.75">
      <c r="A35" s="2"/>
      <c r="B35" s="130" t="str">
        <f>IF(B33&gt;B34,"safe against deflection","not ok")</f>
        <v>safe against deflection</v>
      </c>
      <c r="C35" s="130"/>
      <c r="D35" s="2"/>
      <c r="E35" s="2"/>
      <c r="F35" s="2"/>
      <c r="G35" s="2"/>
      <c r="H35" s="6" t="s">
        <v>50</v>
      </c>
      <c r="I35" s="6">
        <f>(0.58*D6)*(J23/J26)</f>
        <v>193.51820063694265</v>
      </c>
      <c r="J35" s="2"/>
      <c r="K35" s="2"/>
      <c r="L35" s="2"/>
      <c r="M35" s="2"/>
      <c r="N35" s="2"/>
      <c r="O35" s="2"/>
    </row>
    <row r="36" spans="1:15" ht="18.75">
      <c r="A36" s="2"/>
      <c r="B36" s="129"/>
      <c r="C36" s="129"/>
      <c r="D36" s="2"/>
      <c r="E36" s="2"/>
      <c r="F36" s="2"/>
      <c r="G36" s="2"/>
      <c r="H36" s="6" t="s">
        <v>100</v>
      </c>
      <c r="I36" s="6">
        <v>1.3</v>
      </c>
      <c r="J36" s="2"/>
      <c r="K36" s="2"/>
      <c r="L36" s="2"/>
      <c r="M36" s="2"/>
      <c r="N36" s="2"/>
      <c r="O36" s="2"/>
    </row>
    <row r="37" spans="1:15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1:15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5" ht="18.75">
      <c r="A39" s="2"/>
      <c r="B39" s="2"/>
      <c r="C39" s="2"/>
      <c r="D39" s="2"/>
      <c r="O39" s="2"/>
    </row>
    <row r="40" spans="1:15" ht="18.75">
      <c r="A40" s="2"/>
      <c r="B40" s="2"/>
      <c r="C40" s="2"/>
      <c r="D40" s="2"/>
      <c r="O40" s="2"/>
    </row>
    <row r="41" spans="1:15" ht="18.75">
      <c r="A41" s="2"/>
      <c r="B41" s="2"/>
      <c r="C41" s="2"/>
      <c r="D41" s="2"/>
      <c r="O41" s="2"/>
    </row>
    <row r="42" spans="1:15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O42" s="2"/>
    </row>
    <row r="43" spans="1:15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O43" s="2"/>
    </row>
    <row r="44" spans="1:15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O44" s="2"/>
    </row>
    <row r="45" spans="1:15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O45" s="2"/>
    </row>
    <row r="46" spans="1:15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O46" s="2"/>
    </row>
    <row r="47" spans="1:15" ht="19.5" thickBot="1">
      <c r="A47" s="2"/>
      <c r="B47" s="2"/>
      <c r="C47" s="2"/>
      <c r="D47" s="2"/>
      <c r="E47" s="2"/>
      <c r="F47" s="51"/>
      <c r="G47" s="2"/>
      <c r="H47" s="2"/>
      <c r="I47" s="2"/>
      <c r="J47" s="2"/>
      <c r="K47" s="2"/>
      <c r="O47" s="2"/>
    </row>
    <row r="48" spans="1:15" ht="19.5" thickBot="1">
      <c r="A48" s="2"/>
      <c r="B48" s="2"/>
      <c r="C48" s="2"/>
      <c r="D48" s="2"/>
      <c r="E48" s="2"/>
      <c r="F48" s="2"/>
      <c r="G48" s="2"/>
      <c r="H48" s="2"/>
      <c r="I48" s="115" t="str">
        <f>B31</f>
        <v>provide 4-10 mm dia bars at spacing of 250 mm</v>
      </c>
      <c r="J48" s="116"/>
      <c r="K48" s="117"/>
      <c r="O48" s="2"/>
    </row>
    <row r="49" spans="1:15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O49" s="2"/>
    </row>
    <row r="50" spans="1:15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O50" s="2"/>
    </row>
    <row r="51" spans="1:15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O51" s="2"/>
    </row>
    <row r="52" spans="1:15" ht="18.75">
      <c r="A52" s="2"/>
      <c r="B52" s="2"/>
      <c r="C52" s="2"/>
      <c r="D52" s="2"/>
      <c r="E52" s="2"/>
      <c r="O52" s="2"/>
    </row>
    <row r="53" spans="1:15" ht="21.75" thickBot="1">
      <c r="A53" s="2"/>
      <c r="B53" s="2"/>
      <c r="C53" s="2"/>
      <c r="D53" s="2"/>
      <c r="E53" s="2"/>
      <c r="F53" s="2"/>
      <c r="G53" s="58"/>
      <c r="H53" s="58"/>
      <c r="I53" s="58"/>
      <c r="J53" s="58"/>
      <c r="K53" s="58"/>
      <c r="L53" s="57"/>
      <c r="O53" s="2"/>
    </row>
    <row r="54" spans="1:15" ht="19.5" thickBot="1">
      <c r="A54" s="2"/>
      <c r="B54" s="2"/>
      <c r="C54" s="2"/>
      <c r="D54" s="2"/>
      <c r="E54" s="2"/>
      <c r="F54" s="115" t="str">
        <f>C29</f>
        <v>provide 4-10  mm dia bars at spacing of 250 mm</v>
      </c>
      <c r="G54" s="116"/>
      <c r="H54" s="116"/>
      <c r="I54" s="116"/>
      <c r="J54" s="117"/>
      <c r="K54" s="2"/>
      <c r="L54" s="2"/>
      <c r="M54" s="2"/>
      <c r="N54" s="2"/>
      <c r="O54" s="2"/>
    </row>
    <row r="55" spans="1:15" ht="18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1:15" ht="18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8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8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8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8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1:15" ht="18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1:15" ht="18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1:15" ht="18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1:15" ht="18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1:15" ht="18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1:15" ht="18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1:15" ht="18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1:15" ht="18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1:15" ht="18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1:15" ht="18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1:15" ht="18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1:15" ht="18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1:15" ht="18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</sheetData>
  <mergeCells count="15">
    <mergeCell ref="B31:I31"/>
    <mergeCell ref="F4:G4"/>
    <mergeCell ref="F11:G11"/>
    <mergeCell ref="A19:C19"/>
    <mergeCell ref="F54:J54"/>
    <mergeCell ref="I48:K48"/>
    <mergeCell ref="A32:C32"/>
    <mergeCell ref="B36:C36"/>
    <mergeCell ref="B35:C35"/>
    <mergeCell ref="H34:I34"/>
    <mergeCell ref="N13:O13"/>
    <mergeCell ref="N14:O14"/>
    <mergeCell ref="E1:I2"/>
    <mergeCell ref="I21:K21"/>
    <mergeCell ref="C29:G2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52"/>
  <sheetViews>
    <sheetView topLeftCell="A16" workbookViewId="0">
      <selection activeCell="H15" sqref="H15"/>
    </sheetView>
  </sheetViews>
  <sheetFormatPr defaultRowHeight="15"/>
  <cols>
    <col min="1" max="1" width="38.85546875" customWidth="1"/>
    <col min="2" max="2" width="13.42578125" customWidth="1"/>
    <col min="3" max="3" width="15.5703125" customWidth="1"/>
    <col min="4" max="4" width="10.42578125" customWidth="1"/>
    <col min="7" max="7" width="11.28515625" bestFit="1" customWidth="1"/>
    <col min="9" max="9" width="40.42578125" customWidth="1"/>
    <col min="10" max="10" width="14.28515625" bestFit="1" customWidth="1"/>
  </cols>
  <sheetData>
    <row r="1" spans="1:26" ht="23.25" customHeight="1">
      <c r="A1" s="2"/>
      <c r="B1" s="2"/>
      <c r="C1" s="2"/>
      <c r="D1" s="2"/>
      <c r="E1" s="2"/>
      <c r="F1" s="2"/>
      <c r="G1" s="2"/>
      <c r="H1" s="2"/>
      <c r="I1" s="2"/>
      <c r="J1" s="2"/>
      <c r="K1" s="134" t="s">
        <v>145</v>
      </c>
      <c r="L1" s="134"/>
      <c r="M1" s="134"/>
      <c r="N1" s="134"/>
      <c r="O1" s="134"/>
      <c r="P1" s="134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">
      <c r="A2" s="2"/>
      <c r="B2" s="2"/>
      <c r="C2" s="2"/>
      <c r="D2" s="2"/>
      <c r="E2" s="2"/>
      <c r="F2" s="2"/>
      <c r="G2" s="2"/>
      <c r="H2" s="2"/>
      <c r="I2" s="2"/>
      <c r="J2" s="2"/>
      <c r="K2" s="134"/>
      <c r="L2" s="134"/>
      <c r="M2" s="134"/>
      <c r="N2" s="134"/>
      <c r="O2" s="134"/>
      <c r="P2" s="134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>
      <c r="A3" s="63" t="s">
        <v>1</v>
      </c>
      <c r="B3" s="2"/>
      <c r="C3" s="135" t="s">
        <v>148</v>
      </c>
      <c r="D3" s="135"/>
      <c r="E3" s="13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>
      <c r="A4" s="6" t="s">
        <v>146</v>
      </c>
      <c r="B4" s="8">
        <v>1100</v>
      </c>
      <c r="C4" s="136" t="s">
        <v>149</v>
      </c>
      <c r="D4" s="136"/>
      <c r="E4" s="136"/>
      <c r="F4" s="2"/>
      <c r="G4" s="2"/>
      <c r="H4" s="2"/>
      <c r="I4" s="135" t="s">
        <v>167</v>
      </c>
      <c r="J4" s="135"/>
      <c r="K4" s="135"/>
      <c r="L4" s="135"/>
      <c r="M4" s="13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>
      <c r="A5" s="6" t="s">
        <v>63</v>
      </c>
      <c r="B5" s="8">
        <v>20</v>
      </c>
      <c r="C5" s="6" t="s">
        <v>150</v>
      </c>
      <c r="D5" s="8">
        <v>450</v>
      </c>
      <c r="E5" s="2"/>
      <c r="F5" s="2"/>
      <c r="G5" s="2"/>
      <c r="H5" s="2"/>
      <c r="I5" s="6" t="s">
        <v>174</v>
      </c>
      <c r="J5" s="6">
        <f>(B15*1.5*(B18-D5/1000))/(8*B18)</f>
        <v>270.9375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>
      <c r="A6" s="6" t="s">
        <v>62</v>
      </c>
      <c r="B6" s="8">
        <v>415</v>
      </c>
      <c r="C6" s="6" t="s">
        <v>151</v>
      </c>
      <c r="D6" s="8">
        <v>450</v>
      </c>
      <c r="E6" s="2"/>
      <c r="F6" s="2"/>
      <c r="G6" s="2"/>
      <c r="H6" s="2"/>
      <c r="I6" s="6" t="s">
        <v>175</v>
      </c>
      <c r="J6" s="6">
        <f>(0.5*B5/B6)*(1-SQRT(1-(4.6*J5*10^6)/(B5*D5*B31*B31)))*D5*B31</f>
        <v>1402.4819538213192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>
      <c r="A7" s="6" t="s">
        <v>59</v>
      </c>
      <c r="B7" s="8">
        <v>50</v>
      </c>
      <c r="C7" s="2"/>
      <c r="D7" s="2"/>
      <c r="E7" s="2"/>
      <c r="F7" s="2"/>
      <c r="G7" s="2"/>
      <c r="H7" s="2"/>
      <c r="I7" s="6" t="s">
        <v>83</v>
      </c>
      <c r="J7" s="6">
        <f>(J6*4)/(3.14*B8*B8)</f>
        <v>4.466503037647513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>
      <c r="A8" s="6" t="s">
        <v>60</v>
      </c>
      <c r="B8" s="8">
        <v>20</v>
      </c>
      <c r="C8" s="2"/>
      <c r="D8" s="2"/>
      <c r="E8" s="2"/>
      <c r="F8" s="2"/>
      <c r="G8" s="2"/>
      <c r="H8" s="2"/>
      <c r="I8" s="6" t="s">
        <v>28</v>
      </c>
      <c r="J8" s="6">
        <f>ROUNDUP(J7,0)</f>
        <v>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9.5" thickBot="1">
      <c r="A9" s="6" t="s">
        <v>147</v>
      </c>
      <c r="B9" s="8">
        <v>200</v>
      </c>
      <c r="C9" s="2"/>
      <c r="D9" s="2"/>
      <c r="E9" s="2"/>
      <c r="F9" s="2"/>
      <c r="G9" s="2"/>
      <c r="H9" s="2"/>
      <c r="I9" s="6" t="s">
        <v>140</v>
      </c>
      <c r="J9" s="39">
        <f>J8*3.14*0.25*B8*B8</f>
        <v>1570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9.5" thickBot="1">
      <c r="A10" s="2"/>
      <c r="B10" s="2"/>
      <c r="C10" s="2"/>
      <c r="D10" s="2"/>
      <c r="E10" s="2"/>
      <c r="F10" s="2"/>
      <c r="G10" s="2"/>
      <c r="H10" s="2"/>
      <c r="I10" s="49"/>
      <c r="J10" s="74" t="str">
        <f>IF(J9&gt;J6,"safe","not safe")</f>
        <v>safe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.75" thickBot="1">
      <c r="A11" s="63" t="s">
        <v>152</v>
      </c>
      <c r="B11" s="2"/>
      <c r="C11" s="2"/>
      <c r="D11" s="2"/>
      <c r="E11" s="2"/>
      <c r="F11" s="2"/>
      <c r="G11" s="2"/>
      <c r="H11" s="2"/>
      <c r="I11" s="2"/>
      <c r="J11" s="2"/>
      <c r="K11" s="131" t="str">
        <f>CONCATENATE("provide  ",J8,"  -  ",B8,"mm dia bars")</f>
        <v>provide  5  -  20mm dia bars</v>
      </c>
      <c r="L11" s="132"/>
      <c r="M11" s="132"/>
      <c r="N11" s="13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>
      <c r="A12" s="6" t="s">
        <v>155</v>
      </c>
      <c r="B12" s="43">
        <f>B4</f>
        <v>1100</v>
      </c>
      <c r="C12" s="2"/>
      <c r="D12" s="2"/>
      <c r="E12" s="2"/>
      <c r="F12" s="2"/>
      <c r="G12" s="2"/>
      <c r="H12" s="2"/>
      <c r="I12" s="64" t="s">
        <v>177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>
      <c r="A13" s="6" t="s">
        <v>153</v>
      </c>
      <c r="B13" s="43">
        <f>0.1*B12</f>
        <v>110</v>
      </c>
      <c r="C13" s="2"/>
      <c r="D13" s="67"/>
      <c r="E13" s="67"/>
      <c r="F13" s="67"/>
      <c r="G13" s="67"/>
      <c r="H13" s="67"/>
      <c r="I13" s="10" t="s">
        <v>178</v>
      </c>
      <c r="J13" s="13">
        <f>(B8*0.87*B6)/4*1.2</f>
        <v>2166.2999999999997</v>
      </c>
      <c r="K13" s="67"/>
      <c r="L13" s="67"/>
      <c r="M13" s="67"/>
      <c r="N13" s="67"/>
      <c r="O13" s="67"/>
      <c r="P13" s="67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>
      <c r="A14" s="6" t="s">
        <v>156</v>
      </c>
      <c r="B14" s="8">
        <v>490</v>
      </c>
      <c r="C14" s="2"/>
      <c r="D14" s="67"/>
      <c r="E14" s="67"/>
      <c r="F14" s="67"/>
      <c r="G14" s="9"/>
      <c r="H14" s="9"/>
      <c r="I14" s="9"/>
      <c r="J14" s="9"/>
      <c r="K14" s="9"/>
      <c r="L14" s="9"/>
      <c r="M14" s="9"/>
      <c r="N14" s="9"/>
      <c r="O14" s="9"/>
      <c r="P14" s="67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>
      <c r="A15" s="6" t="s">
        <v>154</v>
      </c>
      <c r="B15" s="43">
        <f>B12+B13+B14</f>
        <v>1700</v>
      </c>
      <c r="C15" s="2"/>
      <c r="D15" s="67"/>
      <c r="E15" s="67"/>
      <c r="F15" s="67"/>
      <c r="G15" s="9"/>
      <c r="H15" s="9"/>
      <c r="I15" s="9"/>
      <c r="J15" s="9"/>
      <c r="K15" s="9"/>
      <c r="L15" s="9"/>
      <c r="M15" s="9"/>
      <c r="N15" s="9"/>
      <c r="O15" s="9"/>
      <c r="P15" s="67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8.75">
      <c r="A16" s="6" t="s">
        <v>157</v>
      </c>
      <c r="B16" s="43">
        <f>B15/B9</f>
        <v>8.5</v>
      </c>
      <c r="C16" s="2"/>
      <c r="D16" s="67"/>
      <c r="E16" s="67"/>
      <c r="F16" s="67"/>
      <c r="G16" s="9"/>
      <c r="H16" s="9"/>
      <c r="I16" s="9"/>
      <c r="J16" s="9"/>
      <c r="K16" s="9"/>
      <c r="L16" s="9"/>
      <c r="M16" s="9"/>
      <c r="N16" s="9"/>
      <c r="O16" s="9"/>
      <c r="P16" s="67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>
      <c r="A17" s="6" t="s">
        <v>158</v>
      </c>
      <c r="B17" s="43">
        <f>SQRT(B16)</f>
        <v>2.9154759474226504</v>
      </c>
      <c r="C17" s="2"/>
      <c r="D17" s="67"/>
      <c r="E17" s="67"/>
      <c r="F17" s="67"/>
      <c r="G17" s="9"/>
      <c r="H17" s="9"/>
      <c r="I17" s="9"/>
      <c r="J17" s="9"/>
      <c r="K17" s="9"/>
      <c r="L17" s="9"/>
      <c r="M17" s="9"/>
      <c r="N17" s="9"/>
      <c r="O17" s="9"/>
      <c r="P17" s="67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9.5" thickBot="1">
      <c r="A18" s="6" t="s">
        <v>160</v>
      </c>
      <c r="B18" s="43">
        <f>ROUNDUP(B17,0)</f>
        <v>3</v>
      </c>
      <c r="C18" s="2"/>
      <c r="D18" s="67"/>
      <c r="E18" s="67"/>
      <c r="F18" s="67"/>
      <c r="G18" s="9"/>
      <c r="H18" s="9"/>
      <c r="I18" s="9"/>
      <c r="J18" s="9"/>
      <c r="K18" s="9"/>
      <c r="L18" s="9"/>
      <c r="M18" s="9"/>
      <c r="N18" s="9"/>
      <c r="O18" s="9"/>
      <c r="P18" s="67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.75" thickBot="1">
      <c r="A19" s="66" t="s">
        <v>161</v>
      </c>
      <c r="B19" s="41">
        <f>1.5*B15/(B18*B18)</f>
        <v>283.33333333333331</v>
      </c>
      <c r="C19" s="73" t="str">
        <f>IF(B19&gt;B9,"SAFE","NOT SAFE")</f>
        <v>SAFE</v>
      </c>
      <c r="D19" s="67"/>
      <c r="E19" s="67"/>
      <c r="F19" s="67"/>
      <c r="G19" s="9"/>
      <c r="H19" s="9"/>
      <c r="I19" s="9"/>
      <c r="J19" s="9"/>
      <c r="K19" s="9"/>
      <c r="L19" s="9"/>
      <c r="M19" s="9"/>
      <c r="N19" s="9"/>
      <c r="O19" s="9"/>
      <c r="P19" s="67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>
      <c r="A20" s="65" t="s">
        <v>159</v>
      </c>
      <c r="B20" s="2"/>
      <c r="C20" s="2"/>
      <c r="D20" s="67"/>
      <c r="E20" s="67"/>
      <c r="F20" s="67"/>
      <c r="G20" s="9"/>
      <c r="H20" s="9"/>
      <c r="I20" s="9"/>
      <c r="J20" s="9"/>
      <c r="K20" s="9"/>
      <c r="L20" s="9"/>
      <c r="M20" s="9"/>
      <c r="N20" s="9"/>
      <c r="O20" s="9"/>
      <c r="P20" s="67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>
      <c r="A21" s="6" t="s">
        <v>173</v>
      </c>
      <c r="B21" s="6">
        <f>(1.5*B15*(B18-D5/1000))/(2*(1.5*B15+350*B18*B18))</f>
        <v>0.57039473684210529</v>
      </c>
      <c r="C21" s="2"/>
      <c r="D21" s="67"/>
      <c r="E21" s="67"/>
      <c r="F21" s="67"/>
      <c r="G21" s="9"/>
      <c r="H21" s="9"/>
      <c r="I21" s="9"/>
      <c r="J21" s="9"/>
      <c r="K21" s="9"/>
      <c r="L21" s="9"/>
      <c r="M21" s="9"/>
      <c r="N21" s="9"/>
      <c r="O21" s="9"/>
      <c r="P21" s="67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>
      <c r="A22" s="6" t="s">
        <v>163</v>
      </c>
      <c r="B22" s="6">
        <f>B21*1000</f>
        <v>570.39473684210532</v>
      </c>
      <c r="C22" s="2"/>
      <c r="D22" s="67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67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>
      <c r="A23" s="65" t="s">
        <v>162</v>
      </c>
      <c r="B23" s="2"/>
      <c r="C23" s="2"/>
      <c r="D23" s="67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67" t="s">
        <v>179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>
      <c r="A24" s="2" t="s">
        <v>164</v>
      </c>
      <c r="B24" s="2"/>
      <c r="C24" s="2"/>
      <c r="D24" s="2"/>
      <c r="E24" s="16"/>
      <c r="F24" s="46"/>
      <c r="G24" s="9" t="s">
        <v>171</v>
      </c>
      <c r="H24" s="16"/>
      <c r="I24" s="16"/>
      <c r="J24" s="16"/>
      <c r="K24" s="16"/>
      <c r="L24" s="16"/>
      <c r="M24" s="16"/>
      <c r="N24" s="16"/>
      <c r="O24" s="16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>
      <c r="A25" s="2"/>
      <c r="B25" s="2"/>
      <c r="C25" s="2"/>
      <c r="D25" s="2"/>
      <c r="E25" s="16"/>
      <c r="F25" s="46" t="s">
        <v>171</v>
      </c>
      <c r="G25" s="9" t="s">
        <v>171</v>
      </c>
      <c r="H25" s="16"/>
      <c r="I25" s="16"/>
      <c r="J25" s="16"/>
      <c r="K25" s="16"/>
      <c r="L25" s="16"/>
      <c r="M25" s="16"/>
      <c r="N25" s="16"/>
      <c r="O25" s="16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>
      <c r="A26" s="2"/>
      <c r="B26" s="2"/>
      <c r="C26" s="2"/>
      <c r="D26" s="2"/>
      <c r="E26" s="16"/>
      <c r="F26" s="46" t="s">
        <v>171</v>
      </c>
      <c r="G26" s="9" t="s">
        <v>171</v>
      </c>
      <c r="H26" s="16"/>
      <c r="I26" s="16"/>
      <c r="J26" s="16"/>
      <c r="K26" s="16"/>
      <c r="L26" s="16"/>
      <c r="M26" s="16"/>
      <c r="N26" s="16"/>
      <c r="O26" s="16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>
      <c r="A27" s="65" t="s">
        <v>165</v>
      </c>
      <c r="B27" s="2"/>
      <c r="C27" s="2"/>
      <c r="D27" s="2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>
      <c r="A28" s="6" t="s">
        <v>166</v>
      </c>
      <c r="B28" s="6">
        <f>SQRT(J5*10^6/(0.138*B8*B18*1000))</f>
        <v>180.89201278623406</v>
      </c>
      <c r="C28" s="2"/>
      <c r="D28" s="2"/>
      <c r="E28" s="2"/>
      <c r="F28" s="2"/>
      <c r="G28" s="16"/>
      <c r="H28" s="16"/>
      <c r="I28" s="16"/>
      <c r="J28" s="16"/>
      <c r="K28" s="16"/>
      <c r="L28" s="16"/>
      <c r="M28" s="16"/>
      <c r="N28" s="16"/>
      <c r="O28" s="16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>
      <c r="A29" s="65" t="s">
        <v>176</v>
      </c>
      <c r="B29" s="2"/>
      <c r="C29" s="2"/>
      <c r="D29" s="2"/>
      <c r="E29" s="2"/>
      <c r="F29" s="2"/>
      <c r="G29" s="16"/>
      <c r="H29" s="16"/>
      <c r="I29" s="16"/>
      <c r="J29" s="16"/>
      <c r="L29" s="16"/>
      <c r="M29" s="16"/>
      <c r="N29" s="16"/>
      <c r="O29" s="16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>
      <c r="A30" s="6" t="s">
        <v>168</v>
      </c>
      <c r="B30" s="6">
        <f>MAX(B22,B24,B28)</f>
        <v>570.39473684210532</v>
      </c>
      <c r="C30" s="2"/>
      <c r="D30" s="2"/>
      <c r="E30" s="2"/>
      <c r="F30" s="2"/>
      <c r="G30" s="16"/>
      <c r="H30" s="16"/>
      <c r="I30" s="16"/>
      <c r="J30" s="16"/>
      <c r="K30" s="16"/>
      <c r="L30" s="16"/>
      <c r="M30" s="16"/>
      <c r="N30" s="16"/>
      <c r="O30" s="16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>
      <c r="A31" s="6" t="s">
        <v>169</v>
      </c>
      <c r="B31" s="6">
        <v>600</v>
      </c>
      <c r="C31" s="2"/>
      <c r="D31" s="2"/>
      <c r="E31" s="2"/>
      <c r="F31" s="2"/>
      <c r="G31" s="16"/>
      <c r="H31" s="16"/>
      <c r="I31" s="16"/>
      <c r="J31" s="16"/>
      <c r="K31" s="16"/>
      <c r="L31" s="16"/>
      <c r="M31" s="16"/>
      <c r="N31" s="16"/>
      <c r="O31" s="16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9.5" thickBot="1">
      <c r="A32" s="6" t="s">
        <v>170</v>
      </c>
      <c r="B32" s="6">
        <f>B31+B7+0.5*B8</f>
        <v>660</v>
      </c>
      <c r="C32" s="2"/>
      <c r="D32" s="2"/>
      <c r="E32" s="2"/>
      <c r="F32" s="2"/>
      <c r="G32" s="16"/>
      <c r="H32" s="16"/>
      <c r="I32" s="16"/>
      <c r="J32" s="16"/>
      <c r="K32" s="16"/>
      <c r="L32" s="16"/>
      <c r="M32" s="16"/>
      <c r="N32" s="16"/>
      <c r="O32" s="16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9.5" thickBot="1">
      <c r="A33" s="2"/>
      <c r="B33" s="2"/>
      <c r="C33" s="2"/>
      <c r="D33" s="2"/>
      <c r="E33" s="2"/>
      <c r="F33" s="2"/>
      <c r="G33" s="16"/>
      <c r="H33" s="16"/>
      <c r="I33" s="16"/>
      <c r="J33" s="16"/>
      <c r="K33" s="16"/>
      <c r="L33" s="16"/>
      <c r="M33" s="16"/>
      <c r="N33" s="131" t="str">
        <f>K11</f>
        <v>provide  5  -  20mm dia bars</v>
      </c>
      <c r="O33" s="132"/>
      <c r="P33" s="132"/>
      <c r="Q33" s="133"/>
      <c r="R33" s="2"/>
      <c r="S33" s="2"/>
      <c r="T33" s="2"/>
      <c r="U33" s="2"/>
      <c r="V33" s="2"/>
      <c r="W33" s="2"/>
      <c r="X33" s="2"/>
      <c r="Y33" s="2"/>
      <c r="Z33" s="2"/>
    </row>
    <row r="34" spans="1:26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</sheetData>
  <mergeCells count="6">
    <mergeCell ref="N33:Q33"/>
    <mergeCell ref="K1:P2"/>
    <mergeCell ref="C3:E3"/>
    <mergeCell ref="C4:E4"/>
    <mergeCell ref="I4:M4"/>
    <mergeCell ref="K11:N1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269"/>
  <sheetViews>
    <sheetView workbookViewId="0">
      <selection activeCell="K8" sqref="K8"/>
    </sheetView>
  </sheetViews>
  <sheetFormatPr defaultRowHeight="15"/>
  <cols>
    <col min="1" max="1" width="44.5703125" customWidth="1"/>
    <col min="2" max="2" width="12" customWidth="1"/>
    <col min="5" max="5" width="24" customWidth="1"/>
    <col min="6" max="6" width="12.7109375" customWidth="1"/>
    <col min="7" max="7" width="12" customWidth="1"/>
    <col min="9" max="9" width="4.5703125" customWidth="1"/>
    <col min="10" max="10" width="1.7109375" hidden="1" customWidth="1"/>
    <col min="11" max="11" width="15.140625" customWidth="1"/>
  </cols>
  <sheetData>
    <row r="1" spans="1:29" ht="28.5">
      <c r="K1" s="140" t="s">
        <v>172</v>
      </c>
      <c r="L1" s="140"/>
      <c r="M1" s="140"/>
      <c r="N1" s="140"/>
      <c r="O1" s="140"/>
      <c r="P1" s="140"/>
      <c r="Q1" s="140"/>
      <c r="R1" s="140"/>
      <c r="S1" s="140"/>
    </row>
    <row r="2" spans="1:29" ht="23.25">
      <c r="A2" s="72" t="s">
        <v>1</v>
      </c>
      <c r="B2" s="71"/>
      <c r="C2" s="71"/>
      <c r="D2" s="71"/>
      <c r="E2" s="139" t="s">
        <v>185</v>
      </c>
      <c r="F2" s="139"/>
      <c r="G2" s="139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</row>
    <row r="3" spans="1:29" ht="23.25">
      <c r="A3" s="6" t="s">
        <v>180</v>
      </c>
      <c r="B3" s="8">
        <v>750</v>
      </c>
      <c r="C3" s="2"/>
      <c r="D3" s="2"/>
      <c r="E3" s="6"/>
      <c r="F3" s="59" t="s">
        <v>150</v>
      </c>
      <c r="G3" s="59" t="s">
        <v>151</v>
      </c>
      <c r="H3" s="2"/>
      <c r="I3" s="2"/>
      <c r="J3" s="2"/>
      <c r="K3" s="139" t="s">
        <v>212</v>
      </c>
      <c r="L3" s="139"/>
      <c r="M3" s="139"/>
      <c r="N3" s="139"/>
      <c r="O3" s="2"/>
      <c r="P3" s="2"/>
      <c r="Q3" s="71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</row>
    <row r="4" spans="1:29" ht="21">
      <c r="A4" s="6" t="s">
        <v>181</v>
      </c>
      <c r="B4" s="8">
        <v>1500</v>
      </c>
      <c r="C4" s="2"/>
      <c r="D4" s="2"/>
      <c r="E4" s="6" t="s">
        <v>186</v>
      </c>
      <c r="F4" s="8">
        <v>500</v>
      </c>
      <c r="G4" s="8">
        <v>500</v>
      </c>
      <c r="H4" s="2"/>
      <c r="I4" s="2"/>
      <c r="J4" s="2"/>
      <c r="K4" s="2" t="s">
        <v>213</v>
      </c>
      <c r="L4" s="2">
        <v>1125</v>
      </c>
      <c r="M4" s="2"/>
      <c r="N4" s="2"/>
      <c r="O4" s="2"/>
      <c r="P4" s="2"/>
      <c r="Q4" s="71"/>
      <c r="R4" s="77">
        <f>B3</f>
        <v>750</v>
      </c>
      <c r="S4" s="71"/>
      <c r="T4" s="71"/>
      <c r="U4" s="71"/>
      <c r="V4" s="79">
        <f>B4</f>
        <v>1500</v>
      </c>
      <c r="W4" s="71"/>
      <c r="X4" s="71"/>
      <c r="Y4" s="71"/>
      <c r="Z4" s="71"/>
      <c r="AA4" s="71"/>
      <c r="AB4" s="71"/>
      <c r="AC4" s="71"/>
    </row>
    <row r="5" spans="1:29" ht="21">
      <c r="A5" s="6" t="s">
        <v>182</v>
      </c>
      <c r="B5" s="8">
        <v>5</v>
      </c>
      <c r="C5" s="2"/>
      <c r="D5" s="2"/>
      <c r="E5" s="6" t="s">
        <v>187</v>
      </c>
      <c r="F5" s="8">
        <v>500</v>
      </c>
      <c r="G5" s="8">
        <v>500</v>
      </c>
      <c r="H5" s="2"/>
      <c r="I5" s="2"/>
      <c r="J5" s="2"/>
      <c r="K5" s="2" t="s">
        <v>214</v>
      </c>
      <c r="L5" s="2">
        <v>-375</v>
      </c>
      <c r="M5" s="2"/>
      <c r="N5" s="2"/>
      <c r="O5" s="2"/>
      <c r="P5" s="69" t="s">
        <v>217</v>
      </c>
      <c r="Q5" s="71"/>
      <c r="R5" s="71"/>
      <c r="S5" s="71"/>
      <c r="T5" s="71"/>
      <c r="U5" s="71"/>
      <c r="V5" s="78"/>
      <c r="W5" s="78" t="s">
        <v>220</v>
      </c>
      <c r="X5" s="71"/>
      <c r="Y5" s="71"/>
      <c r="Z5" s="71"/>
      <c r="AA5" s="71"/>
      <c r="AB5" s="71"/>
      <c r="AC5" s="71"/>
    </row>
    <row r="6" spans="1:29" ht="21">
      <c r="A6" s="6" t="s">
        <v>183</v>
      </c>
      <c r="B6" s="8">
        <v>2.2000000000000002</v>
      </c>
      <c r="C6" s="2"/>
      <c r="D6" s="2"/>
      <c r="E6" s="2"/>
      <c r="F6" s="2"/>
      <c r="G6" s="2"/>
      <c r="H6" s="2"/>
      <c r="I6" s="2"/>
      <c r="J6" s="2"/>
      <c r="K6" s="2" t="s">
        <v>215</v>
      </c>
      <c r="L6" s="2">
        <v>-1125</v>
      </c>
      <c r="M6" s="2"/>
      <c r="N6" s="2"/>
      <c r="O6" s="2"/>
      <c r="P6" s="2"/>
      <c r="Q6" s="71"/>
      <c r="R6" s="71" t="s">
        <v>218</v>
      </c>
      <c r="S6" s="71"/>
      <c r="T6" s="71"/>
      <c r="U6" s="77" t="s">
        <v>219</v>
      </c>
      <c r="V6" s="71"/>
      <c r="W6" s="71"/>
      <c r="X6" s="71"/>
      <c r="Y6" s="71"/>
      <c r="Z6" s="71"/>
      <c r="AA6" s="71"/>
      <c r="AB6" s="71"/>
      <c r="AC6" s="71"/>
    </row>
    <row r="7" spans="1:29" ht="23.25">
      <c r="A7" s="6" t="s">
        <v>63</v>
      </c>
      <c r="B7" s="8">
        <v>20</v>
      </c>
      <c r="C7" s="2"/>
      <c r="D7" s="2"/>
      <c r="E7" s="139" t="s">
        <v>202</v>
      </c>
      <c r="F7" s="139"/>
      <c r="G7" s="139"/>
      <c r="H7" s="139"/>
      <c r="I7" s="2"/>
      <c r="J7" s="2"/>
      <c r="K7" s="2" t="s">
        <v>216</v>
      </c>
      <c r="L7" s="2">
        <v>0</v>
      </c>
      <c r="M7" s="2"/>
      <c r="N7" s="2"/>
      <c r="O7" s="2"/>
      <c r="P7" s="2"/>
      <c r="Q7" s="79">
        <v>1125</v>
      </c>
      <c r="R7" s="71"/>
      <c r="S7" s="71"/>
      <c r="T7" s="71"/>
      <c r="U7" s="71"/>
      <c r="V7" s="71"/>
      <c r="W7" s="71"/>
      <c r="X7" s="79">
        <v>1125</v>
      </c>
      <c r="Y7" s="71"/>
      <c r="Z7" s="71"/>
      <c r="AA7" s="71"/>
      <c r="AB7" s="71"/>
      <c r="AC7" s="71"/>
    </row>
    <row r="8" spans="1:29" ht="21">
      <c r="A8" s="6" t="s">
        <v>62</v>
      </c>
      <c r="B8" s="8">
        <v>415</v>
      </c>
      <c r="C8" s="2"/>
      <c r="D8" s="2"/>
      <c r="E8" s="6" t="s">
        <v>203</v>
      </c>
      <c r="F8" s="68">
        <f>896</f>
        <v>896</v>
      </c>
      <c r="G8" s="6" t="s">
        <v>208</v>
      </c>
      <c r="H8" s="2"/>
      <c r="I8" s="2"/>
      <c r="J8" s="2"/>
      <c r="K8" s="2" t="s">
        <v>221</v>
      </c>
      <c r="L8" s="2"/>
      <c r="M8" s="2"/>
      <c r="N8" s="2"/>
      <c r="O8" s="2"/>
      <c r="P8" s="2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</row>
    <row r="9" spans="1:29" ht="21">
      <c r="A9" s="6" t="s">
        <v>184</v>
      </c>
      <c r="B9" s="8">
        <v>150</v>
      </c>
      <c r="C9" s="2"/>
      <c r="D9" s="2"/>
      <c r="E9" s="6" t="s">
        <v>204</v>
      </c>
      <c r="F9" s="6">
        <f>SQRT((F8*10^6)/(0.138*B7*B6*1000))</f>
        <v>384.13875402670715</v>
      </c>
      <c r="G9" s="6" t="s">
        <v>205</v>
      </c>
      <c r="H9" s="2"/>
      <c r="I9" s="2"/>
      <c r="J9" s="2"/>
      <c r="K9" s="2"/>
      <c r="L9" s="2"/>
      <c r="M9" s="2"/>
      <c r="N9" s="2"/>
      <c r="O9" s="2"/>
      <c r="P9" s="2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</row>
    <row r="10" spans="1:29" ht="21">
      <c r="A10" s="6" t="s">
        <v>207</v>
      </c>
      <c r="B10" s="8">
        <v>50</v>
      </c>
      <c r="C10" s="2"/>
      <c r="D10" s="2"/>
      <c r="E10" s="6" t="s">
        <v>206</v>
      </c>
      <c r="F10" s="6">
        <f>F9+B10+0.5*20</f>
        <v>444.13875402670715</v>
      </c>
      <c r="G10" s="6" t="s">
        <v>205</v>
      </c>
      <c r="H10" s="2"/>
      <c r="I10" s="2"/>
      <c r="J10" s="2"/>
      <c r="K10" s="2"/>
      <c r="L10" s="2"/>
      <c r="M10" s="2"/>
      <c r="N10" s="2"/>
      <c r="O10" s="2"/>
      <c r="P10" s="2"/>
      <c r="Q10" s="77">
        <f>ROUNDUP(B23,2)</f>
        <v>0.47000000000000003</v>
      </c>
      <c r="R10" s="71"/>
      <c r="S10" s="77">
        <f>B5</f>
        <v>5</v>
      </c>
      <c r="T10" s="71"/>
      <c r="U10" s="71"/>
      <c r="V10" s="77">
        <f>ROUNDUP(B24,2)</f>
        <v>2.1399999999999997</v>
      </c>
      <c r="W10" s="71"/>
      <c r="X10" s="71"/>
      <c r="Y10" s="71"/>
      <c r="Z10" s="71"/>
      <c r="AA10" s="71"/>
      <c r="AB10" s="71"/>
      <c r="AC10" s="71"/>
    </row>
    <row r="11" spans="1:29" ht="23.25">
      <c r="A11" s="72" t="s">
        <v>188</v>
      </c>
      <c r="B11" s="2"/>
      <c r="C11" s="2"/>
      <c r="D11" s="2"/>
      <c r="E11" s="6" t="s">
        <v>209</v>
      </c>
      <c r="F11" s="80">
        <v>600</v>
      </c>
      <c r="G11" s="6" t="s">
        <v>205</v>
      </c>
      <c r="H11" s="2"/>
      <c r="I11" s="2"/>
      <c r="J11" s="2"/>
      <c r="K11" s="2"/>
      <c r="L11" s="2"/>
      <c r="M11" s="2"/>
      <c r="N11" s="2"/>
      <c r="O11" s="2"/>
      <c r="P11" s="2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</row>
    <row r="12" spans="1:29" ht="21">
      <c r="A12" s="6" t="s">
        <v>192</v>
      </c>
      <c r="B12" s="59">
        <f>B3</f>
        <v>750</v>
      </c>
      <c r="C12" s="2"/>
      <c r="D12" s="2"/>
      <c r="E12" s="6" t="s">
        <v>210</v>
      </c>
      <c r="F12" s="6">
        <f>F11-B10-0.5*20</f>
        <v>540</v>
      </c>
      <c r="G12" s="6" t="s">
        <v>205</v>
      </c>
      <c r="H12" s="2"/>
      <c r="I12" s="2"/>
      <c r="J12" s="2"/>
      <c r="K12" s="2"/>
      <c r="L12" s="2"/>
      <c r="M12" s="2"/>
      <c r="N12" s="2"/>
      <c r="O12" s="2"/>
      <c r="P12" s="2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</row>
    <row r="13" spans="1:29" ht="21">
      <c r="A13" s="6" t="s">
        <v>193</v>
      </c>
      <c r="B13" s="59">
        <f>B4</f>
        <v>1500</v>
      </c>
      <c r="C13" s="2"/>
      <c r="D13" s="2"/>
      <c r="E13" s="6" t="s">
        <v>211</v>
      </c>
      <c r="F13" s="6"/>
      <c r="G13" s="6"/>
      <c r="H13" s="2"/>
      <c r="I13" s="2"/>
      <c r="J13" s="2"/>
      <c r="K13" s="2"/>
      <c r="L13" s="2"/>
      <c r="M13" s="2"/>
      <c r="N13" s="2"/>
      <c r="O13" s="2"/>
      <c r="P13" s="2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</row>
    <row r="14" spans="1:29" ht="21">
      <c r="A14" s="6" t="s">
        <v>194</v>
      </c>
      <c r="B14" s="59">
        <f>0.1*(B12+B13)</f>
        <v>225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</row>
    <row r="15" spans="1:29" ht="21">
      <c r="A15" s="6" t="s">
        <v>195</v>
      </c>
      <c r="B15" s="59">
        <f>B12+B13+B14</f>
        <v>2475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71"/>
      <c r="R15" s="71"/>
      <c r="S15" s="71"/>
      <c r="T15" s="71"/>
      <c r="U15" s="71"/>
      <c r="V15" s="71"/>
      <c r="W15" s="71"/>
      <c r="X15" s="71">
        <f>B6</f>
        <v>2.2000000000000002</v>
      </c>
      <c r="Y15" s="71"/>
      <c r="Z15" s="71"/>
      <c r="AA15" s="71"/>
      <c r="AB15" s="71"/>
      <c r="AC15" s="71"/>
    </row>
    <row r="16" spans="1:29" ht="21">
      <c r="A16" s="6" t="s">
        <v>189</v>
      </c>
      <c r="B16" s="59">
        <f>B15/B9</f>
        <v>16.5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1"/>
      <c r="AB16" s="71"/>
      <c r="AC16" s="71"/>
    </row>
    <row r="17" spans="1:30" ht="21">
      <c r="A17" s="6" t="s">
        <v>190</v>
      </c>
      <c r="B17" s="59">
        <f>B6</f>
        <v>2.2000000000000002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</row>
    <row r="18" spans="1:30" ht="21">
      <c r="A18" s="6" t="s">
        <v>191</v>
      </c>
      <c r="B18" s="59">
        <f>B16/B17</f>
        <v>7.4999999999999991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</row>
    <row r="19" spans="1:30" ht="21">
      <c r="A19" s="6" t="s">
        <v>201</v>
      </c>
      <c r="B19" s="59">
        <v>7.6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</row>
    <row r="20" spans="1:30" ht="21">
      <c r="A20" s="6" t="s">
        <v>196</v>
      </c>
      <c r="B20" s="59">
        <f>(1.5*B15)/(B19*B17)</f>
        <v>222.03947368421055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</row>
    <row r="21" spans="1:30" ht="21">
      <c r="A21" s="6" t="s">
        <v>197</v>
      </c>
      <c r="B21" s="68">
        <f>B20*B6</f>
        <v>488.48684210526324</v>
      </c>
      <c r="C21" s="2"/>
      <c r="D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71"/>
      <c r="S21" s="71"/>
      <c r="T21" s="71"/>
      <c r="U21" s="77">
        <f>B19</f>
        <v>7.6</v>
      </c>
      <c r="V21" s="71"/>
      <c r="W21" s="71"/>
      <c r="X21" s="71"/>
      <c r="Y21" s="71"/>
      <c r="Z21" s="71"/>
      <c r="AA21" s="71"/>
      <c r="AB21" s="71"/>
      <c r="AC21" s="71"/>
      <c r="AD21" s="71"/>
    </row>
    <row r="22" spans="1:30" ht="21">
      <c r="A22" s="6" t="s">
        <v>198</v>
      </c>
      <c r="B22" s="68">
        <f>B4*B5/(B3+B4)</f>
        <v>3.3333333333333335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71"/>
      <c r="AC22" s="71"/>
    </row>
    <row r="23" spans="1:30" ht="21">
      <c r="A23" s="6" t="s">
        <v>199</v>
      </c>
      <c r="B23" s="68">
        <f>(B19/2)-B22</f>
        <v>0.46666666666666634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</row>
    <row r="24" spans="1:30" ht="21.75" thickBot="1">
      <c r="A24" s="39" t="s">
        <v>200</v>
      </c>
      <c r="B24" s="36">
        <f>B19-B23-B5</f>
        <v>2.1333333333333329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</row>
    <row r="25" spans="1:30" ht="21.75" thickBot="1">
      <c r="A25" s="137" t="str">
        <f>CONCATENATE("PROVIDE A FOOTING OF SIZE   ",B19,"*",B6,"    M")</f>
        <v>PROVIDE A FOOTING OF SIZE   7.6*2.2    M</v>
      </c>
      <c r="B25" s="138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</row>
    <row r="26" spans="1:30" ht="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</row>
    <row r="27" spans="1:30" ht="2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</row>
    <row r="28" spans="1:30" ht="21">
      <c r="A28" s="75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</row>
    <row r="29" spans="1:30" ht="2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</row>
    <row r="30" spans="1:30" ht="2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</row>
    <row r="31" spans="1:30" ht="2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</row>
    <row r="32" spans="1:30" ht="2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A32" s="71"/>
      <c r="AB32" s="71"/>
      <c r="AC32" s="71"/>
    </row>
    <row r="33" spans="1:29" ht="2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A33" s="71"/>
      <c r="AB33" s="71"/>
      <c r="AC33" s="71"/>
    </row>
    <row r="34" spans="1:29" ht="2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</row>
    <row r="35" spans="1:29" ht="2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</row>
    <row r="36" spans="1:29" ht="2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</row>
    <row r="37" spans="1:29" ht="2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</row>
    <row r="38" spans="1:29" ht="2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</row>
    <row r="39" spans="1:29" ht="2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</row>
    <row r="40" spans="1:29" ht="2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71"/>
      <c r="Y40" s="71"/>
      <c r="Z40" s="71"/>
      <c r="AA40" s="71"/>
      <c r="AB40" s="71"/>
      <c r="AC40" s="71"/>
    </row>
    <row r="41" spans="1:29" ht="2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  <c r="AA41" s="71"/>
      <c r="AB41" s="71"/>
      <c r="AC41" s="71"/>
    </row>
    <row r="42" spans="1:29" ht="2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</row>
    <row r="43" spans="1:29" ht="2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</row>
    <row r="44" spans="1:29" ht="2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</row>
    <row r="45" spans="1:29" ht="2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</row>
    <row r="46" spans="1:29" ht="2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</row>
    <row r="47" spans="1:29" ht="2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</row>
    <row r="48" spans="1:29" ht="2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</row>
    <row r="49" spans="1:29" ht="2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/>
      <c r="Y49" s="71"/>
      <c r="Z49" s="71"/>
      <c r="AA49" s="71"/>
      <c r="AB49" s="71"/>
      <c r="AC49" s="71"/>
    </row>
    <row r="50" spans="1:29" ht="2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</row>
    <row r="51" spans="1:29" ht="2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</row>
    <row r="52" spans="1:29" ht="2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</row>
    <row r="53" spans="1:29" ht="2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</row>
    <row r="54" spans="1:29" ht="2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</row>
    <row r="55" spans="1:29" ht="2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</row>
    <row r="56" spans="1:29" ht="2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</row>
    <row r="57" spans="1:29" ht="23.25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</row>
    <row r="58" spans="1:29" ht="23.25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</row>
    <row r="59" spans="1:29" ht="23.25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</row>
    <row r="60" spans="1:29" ht="23.25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</row>
    <row r="61" spans="1:29" ht="23.25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</row>
    <row r="62" spans="1:29" ht="23.25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</row>
    <row r="63" spans="1:29" ht="23.25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</row>
    <row r="64" spans="1:29" ht="23.25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</row>
    <row r="65" spans="1:24" ht="23.25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</row>
    <row r="66" spans="1:24" ht="23.25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</row>
    <row r="67" spans="1:24" ht="23.25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</row>
    <row r="68" spans="1:24" ht="23.25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</row>
    <row r="69" spans="1:24" ht="23.25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</row>
    <row r="70" spans="1:24" ht="23.25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</row>
    <row r="71" spans="1:24" ht="23.25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</row>
    <row r="72" spans="1:24" ht="23.25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</row>
    <row r="73" spans="1:24" ht="23.25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</row>
    <row r="74" spans="1:24" ht="23.25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</row>
    <row r="75" spans="1:24" ht="23.2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</row>
    <row r="76" spans="1:24" ht="23.25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</row>
    <row r="77" spans="1:24" ht="23.25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</row>
    <row r="78" spans="1:24" ht="23.25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</row>
    <row r="79" spans="1:24" ht="23.25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</row>
    <row r="80" spans="1:24" ht="23.25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</row>
    <row r="81" spans="1:24" ht="23.25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</row>
    <row r="82" spans="1:24" ht="23.25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</row>
    <row r="83" spans="1:24" ht="23.25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</row>
    <row r="84" spans="1:24" ht="23.25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</row>
    <row r="85" spans="1:24" ht="23.2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</row>
    <row r="86" spans="1:24" ht="23.25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</row>
    <row r="87" spans="1:24" ht="23.25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</row>
    <row r="88" spans="1:24" ht="23.25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</row>
    <row r="89" spans="1:24" ht="23.25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</row>
    <row r="90" spans="1:24" ht="23.25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</row>
    <row r="91" spans="1:24" ht="23.25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</row>
    <row r="92" spans="1:24" ht="23.25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</row>
    <row r="93" spans="1:24" ht="23.25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</row>
    <row r="94" spans="1:24" ht="23.25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</row>
    <row r="95" spans="1:24" ht="23.2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</row>
    <row r="96" spans="1:24" ht="23.25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</row>
    <row r="97" spans="1:24" ht="23.25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</row>
    <row r="98" spans="1:24" ht="23.25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</row>
    <row r="99" spans="1:24" ht="23.25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</row>
    <row r="100" spans="1:24" ht="23.25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</row>
    <row r="101" spans="1:24" ht="23.25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</row>
    <row r="102" spans="1:24" ht="23.25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</row>
    <row r="103" spans="1:24" ht="23.25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</row>
    <row r="104" spans="1:24" ht="23.25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</row>
    <row r="105" spans="1:24" ht="23.2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</row>
    <row r="106" spans="1:24" ht="23.25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</row>
    <row r="107" spans="1:24" ht="23.25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</row>
    <row r="108" spans="1:24" ht="23.25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</row>
    <row r="109" spans="1:24" ht="23.25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</row>
    <row r="110" spans="1:24" ht="23.25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</row>
    <row r="111" spans="1:24" ht="23.25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</row>
    <row r="112" spans="1:24" ht="23.25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</row>
    <row r="113" spans="1:24" ht="23.25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</row>
    <row r="114" spans="1:24" ht="23.25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</row>
    <row r="115" spans="1:24" ht="23.2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</row>
    <row r="116" spans="1:24" ht="23.25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</row>
    <row r="117" spans="1:24" ht="23.25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</row>
    <row r="118" spans="1:24" ht="23.25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</row>
    <row r="119" spans="1:24" ht="23.25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</row>
    <row r="120" spans="1:24" ht="23.25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</row>
    <row r="121" spans="1:24" ht="23.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</row>
    <row r="122" spans="1:24" ht="23.25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</row>
    <row r="123" spans="1:24" ht="23.25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</row>
    <row r="124" spans="1:24" ht="23.25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</row>
    <row r="125" spans="1:24" ht="23.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</row>
    <row r="126" spans="1:24" ht="23.25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</row>
    <row r="127" spans="1:24" ht="23.25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</row>
    <row r="128" spans="1:24" ht="23.25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</row>
    <row r="129" spans="1:24" ht="23.25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</row>
    <row r="130" spans="1:24" ht="23.25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</row>
    <row r="131" spans="1:24" ht="23.25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</row>
    <row r="132" spans="1:24" ht="23.25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</row>
    <row r="133" spans="1:24" ht="23.25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</row>
    <row r="134" spans="1:24" ht="23.25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</row>
    <row r="135" spans="1:24" ht="23.2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</row>
    <row r="136" spans="1:24" ht="23.25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</row>
    <row r="137" spans="1:24" ht="23.25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</row>
    <row r="138" spans="1:24" ht="23.25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</row>
    <row r="139" spans="1:24" ht="23.25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</row>
    <row r="140" spans="1:24" ht="23.25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</row>
    <row r="141" spans="1:24" ht="23.25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</row>
    <row r="142" spans="1:24" ht="23.25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</row>
    <row r="143" spans="1:24" ht="23.25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</row>
    <row r="144" spans="1:24" ht="23.25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</row>
    <row r="145" spans="1:24" ht="23.2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</row>
    <row r="146" spans="1:24" ht="23.25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</row>
    <row r="147" spans="1:24" ht="23.25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</row>
    <row r="148" spans="1:24" ht="23.25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</row>
    <row r="149" spans="1:24" ht="23.25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</row>
    <row r="150" spans="1:24" ht="23.25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</row>
    <row r="151" spans="1:24" ht="23.25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</row>
    <row r="152" spans="1:24" ht="23.25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</row>
    <row r="153" spans="1:24" ht="23.25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</row>
    <row r="154" spans="1:24" ht="23.25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</row>
    <row r="155" spans="1:24" ht="23.2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</row>
    <row r="156" spans="1:24" ht="23.25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</row>
    <row r="157" spans="1:24" ht="23.25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</row>
    <row r="158" spans="1:24" ht="23.25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</row>
    <row r="159" spans="1:24" ht="23.25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</row>
    <row r="160" spans="1:24" ht="23.25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</row>
    <row r="161" spans="1:24" ht="23.25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</row>
    <row r="162" spans="1:24" ht="23.25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</row>
    <row r="163" spans="1:24" ht="23.25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</row>
    <row r="164" spans="1:24" ht="23.25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</row>
    <row r="165" spans="1:24" ht="23.2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</row>
    <row r="166" spans="1:24" ht="23.25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</row>
    <row r="167" spans="1:24" ht="23.25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</row>
    <row r="168" spans="1:24" ht="23.25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</row>
    <row r="169" spans="1:24" ht="23.25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</row>
    <row r="170" spans="1:24" ht="23.25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</row>
    <row r="171" spans="1:24" ht="23.25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</row>
    <row r="172" spans="1:24" ht="23.25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</row>
    <row r="173" spans="1:24" ht="23.25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</row>
    <row r="174" spans="1:24" ht="23.25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</row>
    <row r="175" spans="1:24" ht="23.2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</row>
    <row r="176" spans="1:24" ht="23.25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</row>
    <row r="177" spans="1:24" ht="23.25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</row>
    <row r="178" spans="1:24" ht="23.25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</row>
    <row r="179" spans="1:24" ht="23.25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</row>
    <row r="180" spans="1:24" ht="23.25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</row>
    <row r="181" spans="1:24" ht="23.25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</row>
    <row r="182" spans="1:24" ht="23.25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</row>
    <row r="183" spans="1:24" ht="23.25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</row>
    <row r="184" spans="1:24" ht="23.25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</row>
    <row r="185" spans="1:24" ht="23.2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</row>
    <row r="186" spans="1:24" ht="23.25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</row>
    <row r="187" spans="1:24" ht="23.25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</row>
    <row r="188" spans="1:24" ht="23.25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</row>
    <row r="189" spans="1:24" ht="23.25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</row>
    <row r="190" spans="1:24" ht="23.25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</row>
    <row r="191" spans="1:24" ht="23.25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</row>
    <row r="192" spans="1:24" ht="23.25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</row>
    <row r="193" spans="1:24" ht="23.25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</row>
    <row r="194" spans="1:24" ht="23.25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</row>
    <row r="195" spans="1:24" ht="23.2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</row>
    <row r="196" spans="1:24" ht="23.25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</row>
    <row r="197" spans="1:24" ht="23.25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</row>
    <row r="198" spans="1:24" ht="23.25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</row>
    <row r="199" spans="1:24" ht="23.25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</row>
    <row r="200" spans="1:24" ht="23.25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</row>
    <row r="201" spans="1:24" ht="23.25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</row>
    <row r="202" spans="1:24" ht="23.25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</row>
    <row r="203" spans="1:24" ht="23.25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</row>
    <row r="204" spans="1:24" ht="23.25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</row>
    <row r="205" spans="1:24" ht="23.2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</row>
    <row r="206" spans="1:24" ht="23.25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</row>
    <row r="207" spans="1:24" ht="23.25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</row>
    <row r="208" spans="1:24" ht="23.25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</row>
    <row r="209" spans="1:24" ht="23.25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</row>
    <row r="210" spans="1:24" ht="23.25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</row>
    <row r="211" spans="1:24" ht="23.25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</row>
    <row r="212" spans="1:24" ht="23.25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</row>
    <row r="213" spans="1:24" ht="23.25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</row>
    <row r="214" spans="1:24" ht="23.25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</row>
    <row r="215" spans="1:24" ht="23.2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</row>
    <row r="216" spans="1:24" ht="23.25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</row>
    <row r="217" spans="1:24" ht="23.25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</row>
    <row r="218" spans="1:24" ht="23.25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</row>
    <row r="219" spans="1:24" ht="23.25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</row>
    <row r="220" spans="1:24" ht="23.25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</row>
    <row r="221" spans="1:24" ht="23.25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</row>
    <row r="222" spans="1:24" ht="23.25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</row>
    <row r="223" spans="1:24" ht="23.25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</row>
    <row r="224" spans="1:24" ht="23.25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</row>
    <row r="225" spans="1:24" ht="23.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</row>
    <row r="226" spans="1:24" ht="23.25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</row>
    <row r="227" spans="1:24" ht="23.25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</row>
    <row r="228" spans="1:24" ht="23.25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</row>
    <row r="229" spans="1:24" ht="23.25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</row>
    <row r="230" spans="1:24" ht="23.25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</row>
    <row r="231" spans="1:24" ht="23.25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</row>
    <row r="232" spans="1:24" ht="23.25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</row>
    <row r="233" spans="1:24" ht="23.25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</row>
    <row r="234" spans="1:24" ht="23.25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</row>
    <row r="235" spans="1:24" ht="23.2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</row>
    <row r="236" spans="1:24" ht="23.25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</row>
    <row r="237" spans="1:24" ht="23.25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</row>
    <row r="238" spans="1:24" ht="23.25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</row>
    <row r="239" spans="1:24" ht="23.25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</row>
    <row r="240" spans="1:24" ht="23.25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</row>
    <row r="241" spans="1:24" ht="23.25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</row>
    <row r="242" spans="1:24" ht="23.25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</row>
    <row r="243" spans="1:24" ht="23.25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</row>
    <row r="244" spans="1:24" ht="23.25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</row>
    <row r="245" spans="1:24" ht="23.2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</row>
    <row r="246" spans="1:24" ht="23.25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</row>
    <row r="247" spans="1:24" ht="23.25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</row>
    <row r="248" spans="1:24" ht="23.25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</row>
    <row r="249" spans="1:24" ht="23.25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</row>
    <row r="250" spans="1:24" ht="23.25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</row>
    <row r="251" spans="1:24" ht="23.25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</row>
    <row r="252" spans="1:24" ht="23.25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</row>
    <row r="253" spans="1:24" ht="23.25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</row>
    <row r="254" spans="1:24" ht="23.25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</row>
    <row r="255" spans="1:24" ht="23.2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</row>
    <row r="256" spans="1:24" ht="23.25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</row>
    <row r="257" spans="1:24" ht="23.25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</row>
    <row r="258" spans="1:24" ht="23.25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</row>
    <row r="259" spans="1:24" ht="23.25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</row>
    <row r="260" spans="1:24" ht="23.25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</row>
    <row r="261" spans="1:24" ht="23.25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</row>
    <row r="262" spans="1:24" ht="23.25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</row>
    <row r="263" spans="1:24" ht="23.25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</row>
    <row r="264" spans="1:24" ht="23.25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</row>
    <row r="265" spans="1:24" ht="23.2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</row>
    <row r="266" spans="1:24" ht="23.25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</row>
    <row r="267" spans="1:24" ht="23.25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</row>
    <row r="268" spans="1:24" ht="23.25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</row>
    <row r="269" spans="1:24" ht="23.25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</row>
  </sheetData>
  <mergeCells count="5">
    <mergeCell ref="A25:B25"/>
    <mergeCell ref="K3:N3"/>
    <mergeCell ref="K1:S1"/>
    <mergeCell ref="E2:G2"/>
    <mergeCell ref="E7:H7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2"/>
  <sheetViews>
    <sheetView workbookViewId="0">
      <selection activeCell="Q17" sqref="Q17"/>
    </sheetView>
  </sheetViews>
  <sheetFormatPr defaultRowHeight="15"/>
  <cols>
    <col min="1" max="1" width="43.42578125" customWidth="1"/>
    <col min="2" max="2" width="23" customWidth="1"/>
    <col min="3" max="3" width="14.42578125" customWidth="1"/>
    <col min="8" max="8" width="9.28515625" bestFit="1" customWidth="1"/>
  </cols>
  <sheetData>
    <row r="1" spans="1:26" ht="24" thickBot="1">
      <c r="L1" s="141" t="s">
        <v>222</v>
      </c>
      <c r="M1" s="142"/>
      <c r="N1" s="142"/>
      <c r="O1" s="143"/>
    </row>
    <row r="2" spans="1:26" ht="21">
      <c r="A2" s="84" t="s">
        <v>1</v>
      </c>
    </row>
    <row r="3" spans="1:26" ht="18.75">
      <c r="A3" s="6" t="s">
        <v>223</v>
      </c>
      <c r="B3" s="8">
        <v>20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75">
      <c r="A4" s="6" t="s">
        <v>146</v>
      </c>
      <c r="B4" s="8">
        <v>1500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8.75">
      <c r="A5" s="6" t="s">
        <v>246</v>
      </c>
      <c r="B5" s="8">
        <v>415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8.75">
      <c r="A6" s="82" t="s">
        <v>224</v>
      </c>
      <c r="B6" s="83" t="s">
        <v>228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8.75">
      <c r="A7" s="6" t="s">
        <v>236</v>
      </c>
      <c r="B7" s="8">
        <v>350</v>
      </c>
      <c r="C7" s="2"/>
      <c r="D7" s="2"/>
      <c r="E7" s="2"/>
      <c r="F7" s="76" t="s">
        <v>237</v>
      </c>
      <c r="G7" s="76" t="s">
        <v>238</v>
      </c>
      <c r="H7" s="76" t="s">
        <v>239</v>
      </c>
      <c r="I7" s="6" t="s">
        <v>240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8.75">
      <c r="A8" s="6" t="s">
        <v>225</v>
      </c>
      <c r="B8" s="8">
        <v>250</v>
      </c>
      <c r="C8" s="2"/>
      <c r="D8" s="2"/>
      <c r="E8" s="2"/>
      <c r="F8" s="76">
        <v>4</v>
      </c>
      <c r="G8" s="76">
        <v>1200</v>
      </c>
      <c r="H8" s="76">
        <f>87500-B13</f>
        <v>-79166.666666666657</v>
      </c>
      <c r="I8" s="6">
        <f>(-G8+SQRT((G8^2)-(4*F8*H8)))/(2*F8)</f>
        <v>55.649377987551105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8.75">
      <c r="A9" s="6" t="s">
        <v>226</v>
      </c>
      <c r="B9" s="8">
        <v>11.6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8.75">
      <c r="A10" s="6" t="s">
        <v>227</v>
      </c>
      <c r="B10" s="8">
        <v>10.1</v>
      </c>
      <c r="C10" s="2"/>
      <c r="D10" s="2"/>
      <c r="E10" s="2"/>
      <c r="F10" s="8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>
      <c r="A11" s="84" t="s">
        <v>229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8.75">
      <c r="A12" s="6" t="s">
        <v>230</v>
      </c>
      <c r="B12" s="76">
        <f>0.45*B3</f>
        <v>9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8.75">
      <c r="A13" s="6" t="s">
        <v>231</v>
      </c>
      <c r="B13" s="76">
        <f>(B4*10^3)/B12</f>
        <v>166666.66666666666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8.75">
      <c r="A14" s="6" t="s">
        <v>233</v>
      </c>
      <c r="B14" s="76">
        <f>B13/10^6</f>
        <v>0.16666666666666666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8.75">
      <c r="A15" s="6" t="s">
        <v>232</v>
      </c>
      <c r="B15" s="7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>
      <c r="A16" s="84" t="s">
        <v>234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8.75">
      <c r="A17" s="6" t="s">
        <v>235</v>
      </c>
      <c r="B17" s="76" t="s">
        <v>237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8.75">
      <c r="A18" s="6" t="s">
        <v>241</v>
      </c>
      <c r="B18" s="76">
        <f>I8</f>
        <v>55.649377987551105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>
      <c r="A19" s="6" t="s">
        <v>247</v>
      </c>
      <c r="B19" s="76">
        <f>B4*1000/(B21*B22)</f>
        <v>8.9883870039908444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>
      <c r="A20" s="84" t="s">
        <v>242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>
      <c r="A21" s="6" t="s">
        <v>243</v>
      </c>
      <c r="B21" s="76">
        <f>ROUND(B7+2*B18,0)</f>
        <v>461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>
      <c r="A22" s="6" t="s">
        <v>244</v>
      </c>
      <c r="B22" s="76">
        <f>ROUNDUP(B8+2*B18,0)</f>
        <v>362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9.5" thickBot="1">
      <c r="A23" s="39" t="s">
        <v>245</v>
      </c>
      <c r="B23" s="36">
        <f>ROUNDUP(SQRT((2.5*B19*0.7*B18^2)/B5),0)</f>
        <v>11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9.5" thickBot="1">
      <c r="A24" s="144" t="str">
        <f>CONCATENATE("provide   BASE PLATE    with dimensions       ",B21,"*",B22,"*",B23,)</f>
        <v>provide   BASE PLATE    with dimensions       461*362*11</v>
      </c>
      <c r="B24" s="145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>
      <c r="A25" s="84" t="s">
        <v>248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</sheetData>
  <mergeCells count="2">
    <mergeCell ref="L1:O1"/>
    <mergeCell ref="A24:B24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R35"/>
  <sheetViews>
    <sheetView topLeftCell="A10" workbookViewId="0">
      <selection activeCell="A2" sqref="A2"/>
    </sheetView>
  </sheetViews>
  <sheetFormatPr defaultRowHeight="15"/>
  <cols>
    <col min="1" max="1" width="25.5703125" customWidth="1"/>
    <col min="2" max="2" width="13.85546875" customWidth="1"/>
    <col min="3" max="3" width="10.28515625" customWidth="1"/>
    <col min="4" max="4" width="32.5703125" customWidth="1"/>
    <col min="5" max="5" width="12.85546875" customWidth="1"/>
    <col min="6" max="6" width="13.5703125" customWidth="1"/>
    <col min="7" max="7" width="14.140625" customWidth="1"/>
    <col min="8" max="8" width="13.140625" customWidth="1"/>
  </cols>
  <sheetData>
    <row r="1" spans="1:18" ht="27" thickBot="1">
      <c r="F1" s="86" t="s">
        <v>249</v>
      </c>
      <c r="G1" s="87"/>
      <c r="H1" s="87"/>
      <c r="I1" s="87"/>
      <c r="J1" s="87"/>
      <c r="K1" s="87"/>
      <c r="L1" s="87"/>
      <c r="M1" s="87"/>
      <c r="N1" s="87"/>
      <c r="O1" s="95"/>
      <c r="P1" s="96"/>
      <c r="Q1" s="96"/>
      <c r="R1" s="95"/>
    </row>
    <row r="2" spans="1:18" ht="21">
      <c r="A2" s="88" t="s">
        <v>1</v>
      </c>
      <c r="D2" s="88" t="s">
        <v>259</v>
      </c>
    </row>
    <row r="3" spans="1:18" ht="21">
      <c r="A3" s="66" t="s">
        <v>250</v>
      </c>
      <c r="B3" s="93">
        <v>100</v>
      </c>
      <c r="C3" s="66" t="s">
        <v>269</v>
      </c>
      <c r="D3" s="66" t="s">
        <v>260</v>
      </c>
      <c r="E3" s="93" t="s">
        <v>270</v>
      </c>
      <c r="F3" s="91"/>
      <c r="G3" s="71"/>
      <c r="H3" s="71"/>
      <c r="I3" s="71"/>
      <c r="J3" s="71"/>
      <c r="K3" s="71"/>
      <c r="L3" s="71"/>
      <c r="M3" s="71">
        <f>B3</f>
        <v>100</v>
      </c>
      <c r="N3" s="71" t="s">
        <v>269</v>
      </c>
      <c r="O3" s="71"/>
      <c r="P3" s="71"/>
      <c r="Q3" s="71"/>
    </row>
    <row r="4" spans="1:18" ht="21">
      <c r="A4" s="66" t="s">
        <v>251</v>
      </c>
      <c r="B4" s="93">
        <v>6</v>
      </c>
      <c r="C4" s="66"/>
      <c r="D4" s="66" t="s">
        <v>261</v>
      </c>
      <c r="E4" s="93">
        <v>4.5999999999999996</v>
      </c>
      <c r="F4" s="91"/>
      <c r="G4" s="71"/>
      <c r="H4" s="71"/>
      <c r="I4" s="71"/>
      <c r="J4" s="71"/>
      <c r="K4" s="71"/>
      <c r="L4" s="71"/>
      <c r="M4" s="71"/>
      <c r="N4" s="71"/>
      <c r="O4" s="71"/>
      <c r="P4" s="71"/>
      <c r="Q4" s="71"/>
    </row>
    <row r="5" spans="1:18" ht="21">
      <c r="A5" s="66" t="s">
        <v>252</v>
      </c>
      <c r="B5" s="93"/>
      <c r="C5" s="66"/>
      <c r="D5" s="66" t="s">
        <v>262</v>
      </c>
      <c r="E5" s="93">
        <v>185</v>
      </c>
      <c r="F5" s="91" t="s">
        <v>271</v>
      </c>
      <c r="G5" s="71"/>
      <c r="H5" s="71"/>
      <c r="I5" s="71"/>
      <c r="J5" s="71"/>
      <c r="K5" s="71"/>
      <c r="L5" s="71"/>
      <c r="M5" s="71"/>
      <c r="N5" s="71"/>
      <c r="O5" s="71"/>
      <c r="P5" s="71"/>
      <c r="Q5" s="71"/>
    </row>
    <row r="6" spans="1:18" ht="21.75" thickBot="1">
      <c r="A6" s="66" t="s">
        <v>253</v>
      </c>
      <c r="B6" s="93">
        <v>60</v>
      </c>
      <c r="C6" s="66" t="s">
        <v>205</v>
      </c>
      <c r="D6" s="89" t="s">
        <v>268</v>
      </c>
      <c r="E6" s="93">
        <v>24</v>
      </c>
      <c r="F6" s="91" t="s">
        <v>205</v>
      </c>
      <c r="G6" s="71"/>
      <c r="H6" s="71"/>
      <c r="I6" s="71" t="s">
        <v>291</v>
      </c>
      <c r="J6" s="71"/>
      <c r="K6" s="71"/>
      <c r="L6" s="71"/>
      <c r="M6" s="71"/>
      <c r="N6" s="71"/>
      <c r="O6" s="71"/>
      <c r="P6" s="71"/>
      <c r="Q6" s="71"/>
    </row>
    <row r="7" spans="1:18" ht="21.75" thickBot="1">
      <c r="A7" s="66" t="s">
        <v>254</v>
      </c>
      <c r="B7" s="93">
        <v>75</v>
      </c>
      <c r="C7" s="94" t="s">
        <v>205</v>
      </c>
      <c r="D7" s="85" t="s">
        <v>263</v>
      </c>
      <c r="E7" s="92"/>
      <c r="F7" s="92"/>
      <c r="G7" s="71"/>
      <c r="H7" s="71"/>
      <c r="I7" s="71" t="s">
        <v>292</v>
      </c>
      <c r="J7" s="71"/>
      <c r="K7" s="71"/>
      <c r="L7" s="71"/>
      <c r="M7" s="71"/>
      <c r="N7" s="71"/>
      <c r="O7" s="71"/>
      <c r="P7" s="71"/>
      <c r="Q7" s="71"/>
    </row>
    <row r="8" spans="1:18" ht="21">
      <c r="A8" s="66" t="s">
        <v>255</v>
      </c>
      <c r="B8" s="93">
        <v>75</v>
      </c>
      <c r="C8" s="66" t="s">
        <v>205</v>
      </c>
      <c r="D8" s="90" t="s">
        <v>264</v>
      </c>
      <c r="E8" s="93">
        <v>12</v>
      </c>
      <c r="F8" s="91" t="s">
        <v>205</v>
      </c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</row>
    <row r="9" spans="1:18" ht="21">
      <c r="A9" s="66" t="s">
        <v>256</v>
      </c>
      <c r="B9" s="93">
        <v>60</v>
      </c>
      <c r="C9" s="66" t="s">
        <v>205</v>
      </c>
      <c r="D9" s="66" t="s">
        <v>265</v>
      </c>
      <c r="E9" s="93">
        <v>415</v>
      </c>
      <c r="F9" s="91"/>
      <c r="G9" s="71"/>
      <c r="H9" s="71"/>
      <c r="I9" s="71" t="s">
        <v>292</v>
      </c>
      <c r="J9" s="71"/>
      <c r="K9" s="71"/>
      <c r="L9" s="71"/>
      <c r="M9" s="71"/>
      <c r="N9" s="71"/>
      <c r="O9" s="71"/>
      <c r="P9" s="71"/>
      <c r="Q9" s="71"/>
    </row>
    <row r="10" spans="1:18" ht="21">
      <c r="A10" s="146" t="s">
        <v>257</v>
      </c>
      <c r="B10" s="93"/>
      <c r="C10" s="66"/>
      <c r="D10" s="66" t="s">
        <v>266</v>
      </c>
      <c r="E10" s="93"/>
      <c r="F10" s="9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</row>
    <row r="11" spans="1:18" ht="21">
      <c r="A11" s="146"/>
      <c r="B11" s="93">
        <v>125</v>
      </c>
      <c r="C11" s="66" t="s">
        <v>205</v>
      </c>
      <c r="D11" s="66" t="s">
        <v>267</v>
      </c>
      <c r="E11" s="93">
        <v>800</v>
      </c>
      <c r="F11" s="91" t="s">
        <v>271</v>
      </c>
      <c r="G11" s="71"/>
      <c r="H11" s="71"/>
      <c r="I11" s="71" t="s">
        <v>291</v>
      </c>
      <c r="J11" s="71"/>
      <c r="K11" s="71"/>
      <c r="L11" s="71"/>
      <c r="M11" s="71"/>
      <c r="N11" s="71"/>
      <c r="O11" s="71"/>
      <c r="P11" s="71"/>
      <c r="Q11" s="71"/>
    </row>
    <row r="12" spans="1:18" ht="21">
      <c r="A12" s="66" t="s">
        <v>258</v>
      </c>
      <c r="B12" s="93">
        <v>212.5</v>
      </c>
      <c r="C12" s="66" t="s">
        <v>205</v>
      </c>
      <c r="D12" s="75"/>
      <c r="E12" s="92"/>
      <c r="F12" s="92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</row>
    <row r="13" spans="1:18" ht="21.75" thickBot="1">
      <c r="A13" s="71"/>
      <c r="B13" s="75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</row>
    <row r="14" spans="1:18" ht="21">
      <c r="A14" s="88" t="s">
        <v>272</v>
      </c>
      <c r="B14" s="71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</row>
    <row r="15" spans="1:18" ht="21">
      <c r="A15" s="66" t="s">
        <v>273</v>
      </c>
      <c r="B15" s="66"/>
      <c r="C15" s="66">
        <f>B3/B4</f>
        <v>16.666666666666668</v>
      </c>
      <c r="D15" s="66" t="s">
        <v>274</v>
      </c>
      <c r="E15" s="66">
        <f>B3*B12*10^-3</f>
        <v>21.25</v>
      </c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</row>
    <row r="16" spans="1:18" ht="21">
      <c r="A16" s="71" t="s">
        <v>275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</row>
    <row r="17" spans="1:17" ht="21">
      <c r="A17" s="66" t="s">
        <v>276</v>
      </c>
      <c r="B17" s="66">
        <f>6*B21^2+4*C21^2</f>
        <v>45937.5</v>
      </c>
      <c r="C17" s="71" t="s">
        <v>284</v>
      </c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</row>
    <row r="18" spans="1:17" ht="21">
      <c r="A18" s="71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</row>
    <row r="19" spans="1:17" ht="21">
      <c r="A19" s="97" t="s">
        <v>277</v>
      </c>
      <c r="B19" s="97" t="s">
        <v>278</v>
      </c>
      <c r="C19" s="97" t="s">
        <v>279</v>
      </c>
      <c r="D19" s="97" t="s">
        <v>281</v>
      </c>
      <c r="E19" s="97" t="s">
        <v>280</v>
      </c>
      <c r="F19" s="97" t="s">
        <v>282</v>
      </c>
      <c r="G19" s="97" t="s">
        <v>283</v>
      </c>
      <c r="H19" s="98" t="s">
        <v>285</v>
      </c>
      <c r="I19" s="71"/>
      <c r="J19" s="71"/>
      <c r="K19" s="71"/>
      <c r="L19" s="71"/>
      <c r="M19" s="71"/>
      <c r="N19" s="71"/>
      <c r="O19" s="71"/>
      <c r="P19" s="71"/>
      <c r="Q19" s="71"/>
    </row>
    <row r="20" spans="1:17" ht="21">
      <c r="A20" s="91">
        <v>1</v>
      </c>
      <c r="B20" s="91">
        <f>-B11/2</f>
        <v>-62.5</v>
      </c>
      <c r="C20" s="91">
        <f>B7</f>
        <v>75</v>
      </c>
      <c r="D20" s="91">
        <f>(E15*1000*B20)/B17</f>
        <v>-28.911564625850339</v>
      </c>
      <c r="E20" s="91">
        <f>(E15*1000*C20)/B17</f>
        <v>34.693877551020407</v>
      </c>
      <c r="F20" s="91">
        <f>C15</f>
        <v>16.666666666666668</v>
      </c>
      <c r="G20" s="91">
        <f>D20+F20</f>
        <v>-12.244897959183671</v>
      </c>
      <c r="H20" s="91">
        <f>SQRT(E20^2+G20^2)</f>
        <v>36.791339545550905</v>
      </c>
      <c r="I20" s="71"/>
      <c r="J20" s="71"/>
      <c r="K20" s="71"/>
      <c r="L20" s="71"/>
      <c r="M20" s="71"/>
      <c r="N20" s="71"/>
      <c r="O20" s="71"/>
      <c r="P20" s="71"/>
      <c r="Q20" s="71"/>
    </row>
    <row r="21" spans="1:17" ht="21">
      <c r="A21" s="91">
        <v>2</v>
      </c>
      <c r="B21" s="91">
        <f>B11/2</f>
        <v>62.5</v>
      </c>
      <c r="C21" s="91">
        <f>B8</f>
        <v>75</v>
      </c>
      <c r="D21" s="91">
        <f>(E15*1000*B21)/B17</f>
        <v>28.911564625850339</v>
      </c>
      <c r="E21" s="91">
        <f>(E15*1000*C21)/B17</f>
        <v>34.693877551020407</v>
      </c>
      <c r="F21" s="91">
        <f>C15</f>
        <v>16.666666666666668</v>
      </c>
      <c r="G21" s="91">
        <f t="shared" ref="G21:G25" si="0">D21+F21</f>
        <v>45.578231292517003</v>
      </c>
      <c r="H21" s="91">
        <f t="shared" ref="H21:H25" si="1">SQRT(E21^2+G21^2)</f>
        <v>57.280365809580637</v>
      </c>
      <c r="I21" s="71"/>
      <c r="J21" s="71"/>
      <c r="K21" s="71"/>
      <c r="L21" s="71"/>
      <c r="M21" s="71"/>
      <c r="N21" s="71"/>
      <c r="O21" s="71"/>
      <c r="P21" s="71"/>
      <c r="Q21" s="71"/>
    </row>
    <row r="22" spans="1:17" ht="21">
      <c r="A22" s="91">
        <v>3</v>
      </c>
      <c r="B22" s="91">
        <f>-B11/2</f>
        <v>-62.5</v>
      </c>
      <c r="C22" s="91">
        <v>0</v>
      </c>
      <c r="D22" s="91">
        <f>(E15*1000*B22)/B17</f>
        <v>-28.911564625850339</v>
      </c>
      <c r="E22" s="91">
        <f>(E15*1000*C22)/B17</f>
        <v>0</v>
      </c>
      <c r="F22" s="91">
        <f>C15</f>
        <v>16.666666666666668</v>
      </c>
      <c r="G22" s="91">
        <f t="shared" si="0"/>
        <v>-12.244897959183671</v>
      </c>
      <c r="H22" s="91">
        <f t="shared" si="1"/>
        <v>12.244897959183671</v>
      </c>
      <c r="I22" s="71"/>
      <c r="J22" s="71"/>
      <c r="K22" s="71"/>
      <c r="L22" s="71"/>
      <c r="M22" s="71"/>
      <c r="N22" s="71"/>
      <c r="O22" s="71"/>
      <c r="P22" s="71"/>
      <c r="Q22" s="71"/>
    </row>
    <row r="23" spans="1:17" ht="21">
      <c r="A23" s="91">
        <v>4</v>
      </c>
      <c r="B23" s="91">
        <f>B11/2</f>
        <v>62.5</v>
      </c>
      <c r="C23" s="91">
        <v>0</v>
      </c>
      <c r="D23" s="91">
        <f>(E15*1000*B23)/B17</f>
        <v>28.911564625850339</v>
      </c>
      <c r="E23" s="91">
        <f>(E15*1000*C23)/B17</f>
        <v>0</v>
      </c>
      <c r="F23" s="91">
        <f>C15</f>
        <v>16.666666666666668</v>
      </c>
      <c r="G23" s="91">
        <f t="shared" si="0"/>
        <v>45.578231292517003</v>
      </c>
      <c r="H23" s="91">
        <f t="shared" si="1"/>
        <v>45.578231292517003</v>
      </c>
      <c r="I23" s="71"/>
      <c r="J23" s="71"/>
      <c r="K23" s="71"/>
      <c r="L23" s="71"/>
      <c r="M23" s="71"/>
      <c r="N23" s="71"/>
      <c r="O23" s="71"/>
      <c r="P23" s="71"/>
      <c r="Q23" s="71"/>
    </row>
    <row r="24" spans="1:17" ht="21">
      <c r="A24" s="91">
        <v>5</v>
      </c>
      <c r="B24" s="91">
        <f>-B11/2</f>
        <v>-62.5</v>
      </c>
      <c r="C24" s="91">
        <f>-B8</f>
        <v>-75</v>
      </c>
      <c r="D24" s="91">
        <f>(E15*1000*B24)/B17</f>
        <v>-28.911564625850339</v>
      </c>
      <c r="E24" s="91">
        <f>(E15*1000*C24)/B17</f>
        <v>-34.693877551020407</v>
      </c>
      <c r="F24" s="91">
        <f>C15</f>
        <v>16.666666666666668</v>
      </c>
      <c r="G24" s="91">
        <f t="shared" si="0"/>
        <v>-12.244897959183671</v>
      </c>
      <c r="H24" s="91">
        <f t="shared" si="1"/>
        <v>36.791339545550905</v>
      </c>
      <c r="I24" s="71"/>
      <c r="J24" s="71"/>
      <c r="K24" s="71"/>
      <c r="L24" s="71"/>
      <c r="M24" s="71"/>
      <c r="N24" s="71"/>
      <c r="O24" s="71"/>
      <c r="P24" s="71"/>
      <c r="Q24" s="71"/>
    </row>
    <row r="25" spans="1:17" ht="21">
      <c r="A25" s="91">
        <v>6</v>
      </c>
      <c r="B25" s="91">
        <f>B11/2</f>
        <v>62.5</v>
      </c>
      <c r="C25" s="91">
        <f>-B8</f>
        <v>-75</v>
      </c>
      <c r="D25" s="91">
        <f>(E15*1000*B25)/B17</f>
        <v>28.911564625850339</v>
      </c>
      <c r="E25" s="91">
        <f>(E15*1000*C25)/B17</f>
        <v>-34.693877551020407</v>
      </c>
      <c r="F25" s="91">
        <f>C15</f>
        <v>16.666666666666668</v>
      </c>
      <c r="G25" s="91">
        <f t="shared" si="0"/>
        <v>45.578231292517003</v>
      </c>
      <c r="H25" s="91">
        <f t="shared" si="1"/>
        <v>57.280365809580637</v>
      </c>
      <c r="I25" s="71"/>
      <c r="J25" s="71"/>
      <c r="K25" s="71"/>
      <c r="L25" s="71"/>
      <c r="M25" s="71"/>
      <c r="N25" s="71"/>
      <c r="O25" s="71"/>
      <c r="P25" s="71"/>
      <c r="Q25" s="71"/>
    </row>
    <row r="26" spans="1:17" ht="2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</row>
    <row r="27" spans="1:17" ht="21.75" thickBot="1">
      <c r="A27" s="71" t="s">
        <v>286</v>
      </c>
      <c r="B27" s="71">
        <f>MAX(H20,H21,H22,H23,H24,H25)</f>
        <v>57.280365809580637</v>
      </c>
      <c r="C27" s="71" t="s">
        <v>287</v>
      </c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</row>
    <row r="28" spans="1:17" ht="21.75" thickBot="1">
      <c r="A28" s="71" t="s">
        <v>288</v>
      </c>
      <c r="B28" s="71">
        <f>(B27*4)*1000/(3.14*E6^2)</f>
        <v>126.68162997518718</v>
      </c>
      <c r="C28" s="71" t="s">
        <v>271</v>
      </c>
      <c r="D28" s="99" t="str">
        <f>IF(B28&lt;E5,"SAFE","NOT SAFE")</f>
        <v>SAFE</v>
      </c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</row>
    <row r="29" spans="1:17" ht="21.75" thickBot="1">
      <c r="A29" s="71" t="s">
        <v>289</v>
      </c>
      <c r="B29" s="71">
        <f>(B27*1000)/(E8*E6)</f>
        <v>198.89015906104387</v>
      </c>
      <c r="C29" s="71" t="s">
        <v>271</v>
      </c>
      <c r="D29" s="99" t="str">
        <f>IF(B29&lt;E11,"SAFE","NOT SAFE")</f>
        <v>SAFE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</row>
    <row r="30" spans="1:17" ht="21">
      <c r="A30" s="71" t="s">
        <v>290</v>
      </c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</row>
    <row r="31" spans="1:17" ht="2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</row>
    <row r="32" spans="1:17" ht="2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</row>
    <row r="33" spans="1:17" ht="2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</row>
    <row r="34" spans="1:17" ht="2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</row>
    <row r="35" spans="1:17" ht="2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</row>
  </sheetData>
  <mergeCells count="1">
    <mergeCell ref="A10:A11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1"/>
  <sheetViews>
    <sheetView workbookViewId="0">
      <selection activeCell="E24" sqref="E23:E24"/>
    </sheetView>
  </sheetViews>
  <sheetFormatPr defaultRowHeight="15"/>
  <cols>
    <col min="1" max="1" width="35.85546875" customWidth="1"/>
    <col min="2" max="2" width="17.5703125" customWidth="1"/>
    <col min="3" max="3" width="14.140625" customWidth="1"/>
    <col min="4" max="4" width="16.85546875" customWidth="1"/>
    <col min="5" max="5" width="36" customWidth="1"/>
    <col min="6" max="6" width="14.5703125" customWidth="1"/>
    <col min="7" max="7" width="13.5703125" customWidth="1"/>
    <col min="8" max="8" width="13.7109375" customWidth="1"/>
    <col min="9" max="9" width="11.28515625" customWidth="1"/>
    <col min="10" max="10" width="12" customWidth="1"/>
    <col min="11" max="11" width="11" customWidth="1"/>
  </cols>
  <sheetData>
    <row r="1" spans="1:20" ht="26.25">
      <c r="C1" s="155" t="s">
        <v>293</v>
      </c>
      <c r="D1" s="155"/>
      <c r="E1" s="155"/>
      <c r="F1" s="155"/>
      <c r="K1" s="153"/>
      <c r="L1" s="154"/>
      <c r="M1" s="154"/>
      <c r="N1" s="154"/>
      <c r="O1" s="154"/>
      <c r="P1" s="154"/>
      <c r="Q1" s="154"/>
      <c r="R1" s="154"/>
      <c r="S1" s="154"/>
      <c r="T1" s="154"/>
    </row>
    <row r="2" spans="1:20" ht="15.75" thickBot="1"/>
    <row r="3" spans="1:20" ht="21.75" thickBot="1">
      <c r="A3" s="85" t="s">
        <v>1</v>
      </c>
      <c r="E3" s="85" t="s">
        <v>259</v>
      </c>
    </row>
    <row r="4" spans="1:20" ht="21">
      <c r="A4" s="90" t="s">
        <v>295</v>
      </c>
      <c r="B4" s="93">
        <v>120</v>
      </c>
      <c r="C4" s="91" t="s">
        <v>287</v>
      </c>
      <c r="D4" s="71"/>
      <c r="E4" s="90" t="s">
        <v>304</v>
      </c>
      <c r="F4" s="93" t="s">
        <v>312</v>
      </c>
      <c r="G4" s="91"/>
      <c r="H4" s="66" t="s">
        <v>313</v>
      </c>
      <c r="I4" s="151">
        <v>20</v>
      </c>
      <c r="J4" s="71"/>
      <c r="K4" s="71"/>
      <c r="L4" s="71"/>
      <c r="M4" s="71"/>
      <c r="N4" s="71"/>
      <c r="O4" s="71"/>
      <c r="P4" s="71"/>
      <c r="Q4" s="71"/>
    </row>
    <row r="5" spans="1:20" ht="21">
      <c r="A5" s="66" t="s">
        <v>294</v>
      </c>
      <c r="B5" s="93">
        <v>250</v>
      </c>
      <c r="C5" s="91" t="s">
        <v>205</v>
      </c>
      <c r="D5" s="71"/>
      <c r="E5" s="66" t="s">
        <v>261</v>
      </c>
      <c r="F5" s="93">
        <v>4.5999999999999996</v>
      </c>
      <c r="G5" s="91"/>
      <c r="H5" s="71"/>
      <c r="I5" s="148" t="s">
        <v>205</v>
      </c>
      <c r="J5" s="71"/>
      <c r="K5" s="71"/>
      <c r="L5" s="71"/>
      <c r="M5" s="71"/>
      <c r="N5" s="71"/>
      <c r="O5" s="71"/>
      <c r="P5" s="71"/>
      <c r="Q5" s="71"/>
    </row>
    <row r="6" spans="1:20" ht="21">
      <c r="A6" s="66" t="s">
        <v>296</v>
      </c>
      <c r="B6" s="93">
        <v>2</v>
      </c>
      <c r="C6" s="91" t="s">
        <v>311</v>
      </c>
      <c r="D6" s="71"/>
      <c r="E6" s="66" t="s">
        <v>305</v>
      </c>
      <c r="F6" s="93">
        <v>45.3</v>
      </c>
      <c r="G6" s="91" t="s">
        <v>287</v>
      </c>
      <c r="H6" s="71"/>
      <c r="I6" s="71"/>
      <c r="J6" s="71"/>
      <c r="K6" s="71"/>
      <c r="L6" s="71"/>
      <c r="M6" s="71"/>
      <c r="N6" s="71"/>
      <c r="O6" s="71"/>
      <c r="P6" s="71"/>
      <c r="Q6" s="71"/>
    </row>
    <row r="7" spans="1:20" ht="21">
      <c r="A7" s="66" t="s">
        <v>297</v>
      </c>
      <c r="B7" s="91">
        <f>2.5*I4</f>
        <v>50</v>
      </c>
      <c r="C7" s="91" t="s">
        <v>205</v>
      </c>
      <c r="D7" s="71"/>
      <c r="E7" s="147" t="s">
        <v>306</v>
      </c>
      <c r="F7" s="93"/>
      <c r="G7" s="91"/>
      <c r="H7" s="71"/>
      <c r="I7" s="71"/>
      <c r="J7" s="71"/>
      <c r="K7" s="71"/>
      <c r="L7" s="71"/>
      <c r="M7" s="71"/>
      <c r="N7" s="71"/>
      <c r="O7" s="71"/>
      <c r="P7" s="71"/>
      <c r="Q7" s="71"/>
    </row>
    <row r="8" spans="1:20" ht="21">
      <c r="A8" s="66" t="s">
        <v>298</v>
      </c>
      <c r="B8" s="93">
        <v>65</v>
      </c>
      <c r="C8" s="91" t="s">
        <v>205</v>
      </c>
      <c r="D8" s="71"/>
      <c r="E8" s="147"/>
      <c r="F8" s="149">
        <v>38</v>
      </c>
      <c r="G8" s="91" t="s">
        <v>205</v>
      </c>
      <c r="H8" s="71"/>
      <c r="I8" s="71"/>
      <c r="J8" s="71"/>
      <c r="K8" s="71"/>
      <c r="L8" s="71"/>
      <c r="M8" s="71"/>
      <c r="N8" s="71"/>
      <c r="O8" s="71"/>
      <c r="P8" s="71"/>
      <c r="Q8" s="71"/>
    </row>
    <row r="9" spans="1:20" ht="21">
      <c r="A9" s="147" t="s">
        <v>299</v>
      </c>
      <c r="B9" s="91"/>
      <c r="C9" s="91"/>
      <c r="D9" s="71"/>
      <c r="E9" s="66" t="s">
        <v>307</v>
      </c>
      <c r="F9" s="150"/>
      <c r="G9" s="91"/>
      <c r="H9" s="71"/>
      <c r="I9" s="71"/>
      <c r="J9" s="71"/>
      <c r="K9" s="71"/>
      <c r="L9" s="71"/>
      <c r="M9" s="71"/>
      <c r="N9" s="71"/>
      <c r="O9" s="71"/>
      <c r="P9" s="71"/>
      <c r="Q9" s="71"/>
    </row>
    <row r="10" spans="1:20" ht="21">
      <c r="A10" s="147"/>
      <c r="B10" s="91">
        <f>B4*B5</f>
        <v>30000</v>
      </c>
      <c r="C10" s="91" t="s">
        <v>314</v>
      </c>
      <c r="D10" s="71"/>
      <c r="E10" s="66" t="s">
        <v>308</v>
      </c>
      <c r="F10" s="93">
        <v>66.599999999999994</v>
      </c>
      <c r="G10" s="91" t="s">
        <v>287</v>
      </c>
      <c r="H10" s="71"/>
      <c r="I10" s="71"/>
      <c r="J10" s="71"/>
      <c r="K10" s="71"/>
      <c r="L10" s="71"/>
      <c r="M10" s="71"/>
      <c r="N10" s="71"/>
      <c r="O10" s="71"/>
      <c r="P10" s="71"/>
      <c r="Q10" s="71"/>
    </row>
    <row r="11" spans="1:20" ht="21">
      <c r="A11" s="66" t="s">
        <v>300</v>
      </c>
      <c r="B11" s="91">
        <f>SQRT((6*B10)/(B6*B8*F6))</f>
        <v>5.5286038951110603</v>
      </c>
      <c r="C11" s="91" t="s">
        <v>311</v>
      </c>
      <c r="D11" s="71"/>
      <c r="E11" s="66" t="s">
        <v>309</v>
      </c>
      <c r="F11" s="91">
        <v>6</v>
      </c>
      <c r="G11" s="91" t="s">
        <v>311</v>
      </c>
      <c r="H11" s="71"/>
      <c r="I11" s="71"/>
      <c r="J11" s="71"/>
      <c r="K11" s="71"/>
      <c r="L11" s="71"/>
      <c r="M11" s="71"/>
      <c r="N11" s="71"/>
      <c r="O11" s="71"/>
      <c r="P11" s="71"/>
      <c r="Q11" s="71"/>
    </row>
    <row r="12" spans="1:20" ht="21">
      <c r="A12" s="66" t="s">
        <v>301</v>
      </c>
      <c r="B12" s="93">
        <v>40</v>
      </c>
      <c r="C12" s="91" t="s">
        <v>205</v>
      </c>
      <c r="D12" s="71"/>
      <c r="E12" s="66" t="s">
        <v>310</v>
      </c>
      <c r="F12" s="91">
        <f>(F11-1)*B8+2*B12</f>
        <v>405</v>
      </c>
      <c r="G12" s="91" t="s">
        <v>205</v>
      </c>
      <c r="H12" s="71"/>
      <c r="I12" s="71"/>
      <c r="J12" s="71"/>
      <c r="K12" s="71"/>
      <c r="L12" s="71"/>
      <c r="M12" s="71"/>
      <c r="N12" s="71"/>
      <c r="O12" s="71"/>
      <c r="P12" s="71"/>
      <c r="Q12" s="71"/>
    </row>
    <row r="13" spans="1:20" ht="21">
      <c r="A13" s="66" t="s">
        <v>302</v>
      </c>
      <c r="B13" s="91">
        <f>F12-B12</f>
        <v>365</v>
      </c>
      <c r="C13" s="91" t="s">
        <v>205</v>
      </c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1"/>
      <c r="Q13" s="71"/>
    </row>
    <row r="14" spans="1:20" ht="21">
      <c r="A14" s="66" t="s">
        <v>303</v>
      </c>
      <c r="B14" s="91">
        <f>B13/7</f>
        <v>52.142857142857146</v>
      </c>
      <c r="C14" s="91" t="s">
        <v>205</v>
      </c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1"/>
      <c r="Q14" s="71"/>
    </row>
    <row r="15" spans="1:20" ht="21.75" thickBot="1">
      <c r="A15" s="71"/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152"/>
      <c r="N15" s="71"/>
      <c r="O15" s="71"/>
      <c r="P15" s="71"/>
      <c r="Q15" s="71"/>
    </row>
    <row r="16" spans="1:20" ht="21.75" thickBot="1">
      <c r="A16" s="85" t="s">
        <v>272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</row>
    <row r="17" spans="1:17" ht="21">
      <c r="A17" s="71" t="s">
        <v>315</v>
      </c>
      <c r="B17" s="156">
        <f>ROUNDUP(((B13-B14)/B8),0)</f>
        <v>5</v>
      </c>
      <c r="C17" s="66">
        <f>B17-1</f>
        <v>4</v>
      </c>
      <c r="D17" s="66">
        <f>C17-1</f>
        <v>3</v>
      </c>
      <c r="E17" s="66">
        <f>D17-1</f>
        <v>2</v>
      </c>
      <c r="F17" s="66">
        <f t="shared" ref="F17:K17" si="0">E17-1</f>
        <v>1</v>
      </c>
      <c r="G17" s="66">
        <f t="shared" si="0"/>
        <v>0</v>
      </c>
      <c r="H17" s="66">
        <f t="shared" si="0"/>
        <v>-1</v>
      </c>
      <c r="I17" s="66">
        <f t="shared" si="0"/>
        <v>-2</v>
      </c>
      <c r="J17" s="66">
        <f t="shared" si="0"/>
        <v>-3</v>
      </c>
      <c r="K17" s="66">
        <f t="shared" si="0"/>
        <v>-4</v>
      </c>
      <c r="L17" s="71"/>
      <c r="M17" s="71"/>
      <c r="N17" s="71"/>
      <c r="O17" s="71"/>
      <c r="P17" s="71"/>
      <c r="Q17" s="71"/>
    </row>
    <row r="18" spans="1:17" ht="21">
      <c r="A18" s="71"/>
      <c r="B18" s="66">
        <f>B12+B8-B14</f>
        <v>52.857142857142854</v>
      </c>
      <c r="C18" s="66">
        <f>B18+B8</f>
        <v>117.85714285714286</v>
      </c>
      <c r="D18" s="66">
        <f>C18+B8</f>
        <v>182.85714285714286</v>
      </c>
      <c r="E18" s="66">
        <f>D18+B8</f>
        <v>247.85714285714286</v>
      </c>
      <c r="F18" s="66">
        <f>E18+B8</f>
        <v>312.85714285714289</v>
      </c>
      <c r="G18" s="66">
        <f>F18+B8</f>
        <v>377.85714285714289</v>
      </c>
      <c r="H18" s="66">
        <f>G18+B8</f>
        <v>442.85714285714289</v>
      </c>
      <c r="I18" s="66">
        <f>H18+B8</f>
        <v>507.85714285714289</v>
      </c>
      <c r="J18" s="66">
        <f>I18+B8</f>
        <v>572.85714285714289</v>
      </c>
      <c r="K18" s="66">
        <f>J18+B8</f>
        <v>637.85714285714289</v>
      </c>
      <c r="L18" s="71"/>
      <c r="M18" s="71"/>
      <c r="N18" s="71"/>
      <c r="O18" s="71"/>
      <c r="P18" s="71"/>
      <c r="Q18" s="71"/>
    </row>
    <row r="19" spans="1:17" ht="21">
      <c r="A19" s="71"/>
      <c r="B19" s="66">
        <f>ROUNDUP(B18,2)</f>
        <v>52.86</v>
      </c>
      <c r="C19" s="66">
        <f t="shared" ref="C19:K19" si="1">ROUNDUP(C18,2)</f>
        <v>117.86</v>
      </c>
      <c r="D19" s="66">
        <f t="shared" si="1"/>
        <v>182.85999999999999</v>
      </c>
      <c r="E19" s="66">
        <f t="shared" si="1"/>
        <v>247.85999999999999</v>
      </c>
      <c r="F19" s="66">
        <f t="shared" si="1"/>
        <v>312.86</v>
      </c>
      <c r="G19" s="91" t="str">
        <f>IF(G18&gt;B13,"0",G18)</f>
        <v>0</v>
      </c>
      <c r="H19" s="91" t="str">
        <f>IF(H18&gt;B13,"0",H18)</f>
        <v>0</v>
      </c>
      <c r="I19" s="91" t="str">
        <f>IF(I18&gt;B13,"0",I18)</f>
        <v>0</v>
      </c>
      <c r="J19" s="91" t="str">
        <f>IF(J18&gt;B13,"0",J18)</f>
        <v>0</v>
      </c>
      <c r="K19" s="91" t="str">
        <f>IF(K18&gt;B13,"0",K18)</f>
        <v>0</v>
      </c>
      <c r="L19" s="71"/>
      <c r="M19" s="71"/>
      <c r="N19" s="71"/>
      <c r="O19" s="71"/>
      <c r="P19" s="71"/>
      <c r="Q19" s="71"/>
    </row>
    <row r="20" spans="1:17" ht="21">
      <c r="A20" s="152"/>
      <c r="B20" s="89">
        <f>B19^2</f>
        <v>2794.1795999999999</v>
      </c>
      <c r="C20" s="66">
        <f t="shared" ref="C20:F20" si="2">C19^2</f>
        <v>13890.979600000001</v>
      </c>
      <c r="D20" s="66">
        <f t="shared" si="2"/>
        <v>33437.779599999994</v>
      </c>
      <c r="E20" s="66">
        <f t="shared" si="2"/>
        <v>61434.57959999999</v>
      </c>
      <c r="F20" s="66">
        <f t="shared" si="2"/>
        <v>97881.379600000015</v>
      </c>
      <c r="G20" s="91">
        <f t="shared" ref="G20" si="3">G19^2</f>
        <v>0</v>
      </c>
      <c r="H20" s="91">
        <f t="shared" ref="H20" si="4">H19^2</f>
        <v>0</v>
      </c>
      <c r="I20" s="91">
        <f t="shared" ref="I20" si="5">I19^2</f>
        <v>0</v>
      </c>
      <c r="J20" s="91">
        <f t="shared" ref="J20" si="6">J19^2</f>
        <v>0</v>
      </c>
      <c r="K20" s="91">
        <f t="shared" ref="K20" si="7">K19^2</f>
        <v>0</v>
      </c>
      <c r="L20" s="71"/>
      <c r="M20" s="71"/>
      <c r="N20" s="71"/>
      <c r="O20" s="71"/>
      <c r="P20" s="71"/>
      <c r="Q20" s="71"/>
    </row>
    <row r="21" spans="1:17" ht="21">
      <c r="A21" s="157" t="s">
        <v>316</v>
      </c>
      <c r="B21" s="66">
        <f>(B19+C19+D19+E19+F19)*2</f>
        <v>1828.6</v>
      </c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</row>
    <row r="22" spans="1:17" ht="21">
      <c r="A22" s="66" t="s">
        <v>317</v>
      </c>
      <c r="B22" s="66">
        <f>(B20+C20+D20+E20+F20)*2</f>
        <v>418877.79599999997</v>
      </c>
      <c r="C22" s="71"/>
      <c r="D22" s="71"/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</row>
    <row r="23" spans="1:17" ht="21.75" thickBot="1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</row>
    <row r="24" spans="1:17" ht="21">
      <c r="A24" s="88" t="s">
        <v>318</v>
      </c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</row>
    <row r="25" spans="1:17" ht="21">
      <c r="A25" s="66" t="s">
        <v>319</v>
      </c>
      <c r="B25" s="158">
        <f>B10*F19/B22</f>
        <v>22.407012473871976</v>
      </c>
      <c r="C25" s="66" t="s">
        <v>287</v>
      </c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</row>
    <row r="26" spans="1:17" ht="21">
      <c r="A26" s="66" t="s">
        <v>320</v>
      </c>
      <c r="B26" s="158">
        <f>B4/(2*F11)</f>
        <v>10</v>
      </c>
      <c r="C26" s="66" t="s">
        <v>287</v>
      </c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</row>
    <row r="27" spans="1:17" ht="21.75" thickBo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</row>
    <row r="28" spans="1:17" ht="21.75" thickBot="1">
      <c r="A28" s="85" t="s">
        <v>321</v>
      </c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</row>
    <row r="29" spans="1:17" ht="21">
      <c r="A29" s="71" t="s">
        <v>322</v>
      </c>
      <c r="B29" s="159">
        <f>(B26/F6)^2+(B25/F10)^2</f>
        <v>0.16192377570080807</v>
      </c>
      <c r="C29" s="160" t="str">
        <f>IF(B29&lt;1,"SAFE","NOT SAFE")</f>
        <v>SAFE</v>
      </c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</row>
    <row r="30" spans="1:17" ht="2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</row>
    <row r="31" spans="1:17" ht="2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</row>
    <row r="32" spans="1:17" ht="2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</row>
    <row r="33" spans="1:17" ht="2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</row>
    <row r="34" spans="1:17" ht="2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</row>
    <row r="35" spans="1:17" ht="2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</row>
    <row r="36" spans="1:17" ht="2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</row>
    <row r="37" spans="1:17" ht="2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</row>
    <row r="38" spans="1:17" ht="2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</row>
    <row r="39" spans="1:17" ht="2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</row>
    <row r="40" spans="1:17" ht="2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</row>
    <row r="41" spans="1:17" ht="2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</row>
  </sheetData>
  <mergeCells count="5">
    <mergeCell ref="K1:T1"/>
    <mergeCell ref="A9:A10"/>
    <mergeCell ref="E7:E8"/>
    <mergeCell ref="F8:F9"/>
    <mergeCell ref="C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RCC BEAM</vt:lpstr>
      <vt:lpstr>ONE WAY SLAB</vt:lpstr>
      <vt:lpstr>TWO WAY SLAB</vt:lpstr>
      <vt:lpstr> ISOLATED FOOTING</vt:lpstr>
      <vt:lpstr>COMBINED FOOTING </vt:lpstr>
      <vt:lpstr>BASE PLATE</vt:lpstr>
      <vt:lpstr>TYPE 1 </vt:lpstr>
      <vt:lpstr>TYPE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2024-10-30T10:15:03Z</dcterms:modified>
</cp:coreProperties>
</file>