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Objects="placeholders" codeName="ThisWorkbook"/>
  <mc:AlternateContent xmlns:mc="http://schemas.openxmlformats.org/markup-compatibility/2006">
    <mc:Choice Requires="x15">
      <x15ac:absPath xmlns:x15ac="http://schemas.microsoft.com/office/spreadsheetml/2010/11/ac" url="C:\Veda\Veda\Veda_models\Veda_TIMES_OSeMOSYS_demo1\"/>
    </mc:Choice>
  </mc:AlternateContent>
  <xr:revisionPtr revIDLastSave="0" documentId="13_ncr:1_{9B377037-0E1B-45E8-ABF4-74084E82E65C}" xr6:coauthVersionLast="47" xr6:coauthVersionMax="47" xr10:uidLastSave="{00000000-0000-0000-0000-000000000000}"/>
  <bookViews>
    <workbookView xWindow="-98" yWindow="-98" windowWidth="28996" windowHeight="17475" tabRatio="901" xr2:uid="{00000000-000D-0000-FFFF-FFFF00000000}"/>
  </bookViews>
  <sheets>
    <sheet name="EnergyBalance" sheetId="133" r:id="rId1"/>
    <sheet name="RES&amp;OBJ" sheetId="135" r:id="rId2"/>
    <sheet name="Pri_COA" sheetId="132" r:id="rId3"/>
    <sheet name="Pri_GAS" sheetId="136" r:id="rId4"/>
    <sheet name="Pri_OIL" sheetId="137" r:id="rId5"/>
    <sheet name="Pri_RNW" sheetId="142" r:id="rId6"/>
    <sheet name="Pri_NUC" sheetId="144" r:id="rId7"/>
    <sheet name="Sector_Fuels" sheetId="140" r:id="rId8"/>
    <sheet name="Con_ELC" sheetId="143" r:id="rId9"/>
    <sheet name="DemTechs_TPS" sheetId="145" r:id="rId10"/>
    <sheet name="DemTechs_ELC" sheetId="146" r:id="rId11"/>
    <sheet name="DemTechs_TRA" sheetId="141" r:id="rId12"/>
    <sheet name="DemTechs_RSD" sheetId="138" r:id="rId13"/>
    <sheet name="Demands" sheetId="134" r:id="rId14"/>
  </sheets>
  <externalReferences>
    <externalReference r:id="rId1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3" i="140" l="1"/>
  <c r="K22" i="140"/>
  <c r="K21" i="140"/>
  <c r="K20" i="140"/>
  <c r="K19" i="140"/>
  <c r="L18" i="140"/>
  <c r="K18" i="140"/>
  <c r="L17" i="140"/>
  <c r="K17" i="140"/>
  <c r="N13" i="143"/>
  <c r="N25" i="143"/>
  <c r="N23" i="143"/>
  <c r="N21" i="143"/>
  <c r="N17" i="143"/>
  <c r="N15" i="143"/>
  <c r="L11" i="133"/>
  <c r="K24" i="133"/>
  <c r="E12" i="134" s="1"/>
  <c r="L15" i="138"/>
  <c r="L13" i="138"/>
  <c r="L15" i="141"/>
  <c r="L13" i="141"/>
  <c r="I17" i="137"/>
  <c r="F2" i="146"/>
  <c r="I11" i="146" s="1"/>
  <c r="E2" i="146"/>
  <c r="P12" i="146" s="1"/>
  <c r="C2" i="146"/>
  <c r="B2" i="146"/>
  <c r="N5" i="146" s="1"/>
  <c r="C12" i="134" s="1"/>
  <c r="F2" i="145"/>
  <c r="H11" i="145" s="1"/>
  <c r="E2" i="145"/>
  <c r="P12" i="145" s="1"/>
  <c r="B2" i="145"/>
  <c r="N5" i="145" s="1"/>
  <c r="C2" i="145"/>
  <c r="I12" i="146"/>
  <c r="D2" i="146"/>
  <c r="I12" i="145"/>
  <c r="D2" i="145"/>
  <c r="E11" i="134"/>
  <c r="E10" i="134"/>
  <c r="E16" i="143"/>
  <c r="Q16" i="143" s="1"/>
  <c r="E18" i="143"/>
  <c r="F18" i="143" s="1"/>
  <c r="E12" i="141"/>
  <c r="E12" i="138"/>
  <c r="E19" i="143"/>
  <c r="Q19" i="143" s="1"/>
  <c r="E14" i="143"/>
  <c r="Q14" i="143" s="1"/>
  <c r="E12" i="143"/>
  <c r="Q12" i="143" s="1"/>
  <c r="I13" i="137"/>
  <c r="I11" i="137"/>
  <c r="I13" i="136"/>
  <c r="I11" i="136"/>
  <c r="I13" i="132"/>
  <c r="I11" i="132"/>
  <c r="N11" i="143"/>
  <c r="L11" i="141"/>
  <c r="I14" i="141"/>
  <c r="L11" i="138"/>
  <c r="I14" i="138"/>
  <c r="P13" i="138"/>
  <c r="B14" i="138" s="1"/>
  <c r="F11" i="143"/>
  <c r="E11" i="143"/>
  <c r="X17" i="143"/>
  <c r="X18" i="143"/>
  <c r="X19" i="143"/>
  <c r="I17" i="136"/>
  <c r="I17" i="132"/>
  <c r="K6" i="140"/>
  <c r="B18" i="140" s="1"/>
  <c r="K5" i="140"/>
  <c r="D17" i="140" s="1"/>
  <c r="C17" i="140" s="1"/>
  <c r="B17" i="140"/>
  <c r="L6" i="140"/>
  <c r="F24" i="133"/>
  <c r="E2" i="141"/>
  <c r="E11" i="141" s="1"/>
  <c r="C2" i="141"/>
  <c r="Q6" i="141" s="1"/>
  <c r="L23" i="133"/>
  <c r="L22" i="133"/>
  <c r="L20" i="133"/>
  <c r="L19" i="133"/>
  <c r="L18" i="133"/>
  <c r="L17" i="133"/>
  <c r="L16" i="133"/>
  <c r="K14" i="133"/>
  <c r="J14" i="133"/>
  <c r="I14" i="133"/>
  <c r="H14" i="133"/>
  <c r="G14" i="133"/>
  <c r="F14" i="133"/>
  <c r="E14" i="133"/>
  <c r="D14" i="133"/>
  <c r="L13" i="133"/>
  <c r="L12" i="133"/>
  <c r="L10" i="133"/>
  <c r="L7" i="133"/>
  <c r="L6" i="133"/>
  <c r="L5" i="133"/>
  <c r="K8" i="133"/>
  <c r="J8" i="133"/>
  <c r="J21" i="133" s="1"/>
  <c r="J24" i="133" s="1"/>
  <c r="I8" i="133"/>
  <c r="I21" i="133" s="1"/>
  <c r="I24" i="133" s="1"/>
  <c r="H8" i="133"/>
  <c r="H21" i="133" s="1"/>
  <c r="H24" i="133" s="1"/>
  <c r="G8" i="133"/>
  <c r="G21" i="133" s="1"/>
  <c r="G24" i="133" s="1"/>
  <c r="F8" i="133"/>
  <c r="E8" i="133"/>
  <c r="E21" i="133" s="1"/>
  <c r="D8" i="133"/>
  <c r="D21" i="133"/>
  <c r="D24" i="133" s="1"/>
  <c r="E9" i="134" s="1"/>
  <c r="X16" i="143"/>
  <c r="D2" i="144"/>
  <c r="N5" i="144" s="1"/>
  <c r="C2" i="144"/>
  <c r="M5" i="144" s="1"/>
  <c r="D11" i="144" s="1"/>
  <c r="K11" i="144"/>
  <c r="M11" i="144" s="1"/>
  <c r="G2" i="144"/>
  <c r="E2" i="144"/>
  <c r="O11" i="144" s="1"/>
  <c r="W6" i="143"/>
  <c r="G2" i="143"/>
  <c r="J11" i="143" s="1"/>
  <c r="E2" i="143"/>
  <c r="O11" i="143" s="1"/>
  <c r="C2" i="143"/>
  <c r="L9" i="140" s="1"/>
  <c r="L21" i="140" s="1"/>
  <c r="B2" i="143"/>
  <c r="K9" i="140" s="1"/>
  <c r="V5" i="143"/>
  <c r="U5" i="143"/>
  <c r="D22" i="143" s="1"/>
  <c r="X15" i="143"/>
  <c r="X14" i="143"/>
  <c r="X13" i="143"/>
  <c r="X12" i="143"/>
  <c r="G2" i="142"/>
  <c r="H10" i="142" s="1"/>
  <c r="E2" i="142"/>
  <c r="G10" i="142" s="1"/>
  <c r="K11" i="142"/>
  <c r="D2" i="142"/>
  <c r="N5" i="142" s="1"/>
  <c r="C2" i="142"/>
  <c r="M5" i="142" s="1"/>
  <c r="D11" i="142" s="1"/>
  <c r="M11" i="142"/>
  <c r="B11" i="142" s="1"/>
  <c r="P12" i="138"/>
  <c r="B12" i="138" s="1"/>
  <c r="D2" i="138"/>
  <c r="Q12" i="138" s="1"/>
  <c r="C2" i="138"/>
  <c r="Q6" i="138" s="1"/>
  <c r="B2" i="141"/>
  <c r="P6" i="141" s="1"/>
  <c r="B2" i="138"/>
  <c r="P5" i="138" s="1"/>
  <c r="R6" i="141"/>
  <c r="F2" i="141"/>
  <c r="R6" i="138"/>
  <c r="L5" i="140"/>
  <c r="F2" i="140"/>
  <c r="E2" i="140"/>
  <c r="M8" i="140" s="1"/>
  <c r="G2" i="134"/>
  <c r="E2" i="134"/>
  <c r="E8" i="134" s="1"/>
  <c r="F2" i="138"/>
  <c r="E2" i="138"/>
  <c r="E11" i="138" s="1"/>
  <c r="E2" i="137"/>
  <c r="I10" i="137" s="1"/>
  <c r="G2" i="137"/>
  <c r="E2" i="136"/>
  <c r="O11" i="136" s="1"/>
  <c r="G2" i="136"/>
  <c r="H10" i="136" s="1"/>
  <c r="E2" i="132"/>
  <c r="O5" i="132" s="1"/>
  <c r="G2" i="132"/>
  <c r="K11" i="137"/>
  <c r="K11" i="136"/>
  <c r="M12" i="136" s="1"/>
  <c r="B13" i="136" s="1"/>
  <c r="K11" i="132"/>
  <c r="D2" i="137"/>
  <c r="N5" i="137" s="1"/>
  <c r="C2" i="137"/>
  <c r="M12" i="137" s="1"/>
  <c r="K15" i="137"/>
  <c r="K14" i="137"/>
  <c r="D2" i="136"/>
  <c r="C2" i="136"/>
  <c r="K15" i="136"/>
  <c r="K14" i="136"/>
  <c r="M14" i="136" s="1"/>
  <c r="B16" i="136" s="1"/>
  <c r="K15" i="132"/>
  <c r="K14" i="132"/>
  <c r="D2" i="132"/>
  <c r="N5" i="132" s="1"/>
  <c r="C2" i="132"/>
  <c r="M13" i="132" s="1"/>
  <c r="N17" i="140"/>
  <c r="M7" i="140"/>
  <c r="P5" i="145"/>
  <c r="Q12" i="146"/>
  <c r="I11" i="141"/>
  <c r="R5" i="141"/>
  <c r="O14" i="137"/>
  <c r="D20" i="143"/>
  <c r="G10" i="136"/>
  <c r="O15" i="136"/>
  <c r="I10" i="136"/>
  <c r="S12" i="141"/>
  <c r="K8" i="140"/>
  <c r="B20" i="140" s="1"/>
  <c r="Q12" i="141"/>
  <c r="R12" i="141"/>
  <c r="H10" i="137"/>
  <c r="S13" i="138"/>
  <c r="P5" i="146"/>
  <c r="L10" i="140"/>
  <c r="L22" i="140" s="1"/>
  <c r="M5" i="136"/>
  <c r="D15" i="136" s="1"/>
  <c r="W19" i="143"/>
  <c r="D18" i="140"/>
  <c r="C18" i="140" s="1"/>
  <c r="E16" i="140"/>
  <c r="N19" i="140"/>
  <c r="E11" i="146"/>
  <c r="W18" i="143"/>
  <c r="W5" i="143"/>
  <c r="W13" i="143"/>
  <c r="Q11" i="141"/>
  <c r="O5" i="137"/>
  <c r="D20" i="140"/>
  <c r="C20" i="140" s="1"/>
  <c r="U13" i="143"/>
  <c r="V13" i="143" s="1"/>
  <c r="C22" i="143"/>
  <c r="D13" i="136"/>
  <c r="N21" i="140"/>
  <c r="N23" i="140"/>
  <c r="H10" i="144"/>
  <c r="Q12" i="145"/>
  <c r="G10" i="144"/>
  <c r="N22" i="140"/>
  <c r="L7" i="140"/>
  <c r="L19" i="140" s="1"/>
  <c r="M5" i="140"/>
  <c r="N20" i="140"/>
  <c r="M6" i="140"/>
  <c r="M21" i="140"/>
  <c r="M17" i="140"/>
  <c r="D16" i="143"/>
  <c r="M12" i="132"/>
  <c r="N12" i="132" s="1"/>
  <c r="M18" i="140"/>
  <c r="N18" i="140"/>
  <c r="H11" i="146"/>
  <c r="E11" i="145"/>
  <c r="M10" i="140"/>
  <c r="M20" i="140"/>
  <c r="P12" i="141"/>
  <c r="B14" i="141" s="1"/>
  <c r="C14" i="141" s="1"/>
  <c r="M11" i="140"/>
  <c r="L8" i="140"/>
  <c r="L20" i="140" s="1"/>
  <c r="L11" i="140"/>
  <c r="L23" i="140" s="1"/>
  <c r="M19" i="140"/>
  <c r="V6" i="143"/>
  <c r="M23" i="140"/>
  <c r="D21" i="140" l="1"/>
  <c r="C21" i="140" s="1"/>
  <c r="B21" i="140"/>
  <c r="O12" i="145"/>
  <c r="N12" i="145" s="1"/>
  <c r="B12" i="145" s="1"/>
  <c r="C12" i="145" s="1"/>
  <c r="M22" i="140"/>
  <c r="W14" i="143"/>
  <c r="M15" i="132"/>
  <c r="M9" i="140"/>
  <c r="D14" i="143"/>
  <c r="O11" i="142"/>
  <c r="S11" i="141"/>
  <c r="Q13" i="138"/>
  <c r="O15" i="137"/>
  <c r="O12" i="146"/>
  <c r="N12" i="146" s="1"/>
  <c r="B12" i="146" s="1"/>
  <c r="C12" i="146" s="1"/>
  <c r="M14" i="132"/>
  <c r="N14" i="132" s="1"/>
  <c r="P5" i="141"/>
  <c r="O5" i="144"/>
  <c r="M13" i="136"/>
  <c r="B15" i="136" s="1"/>
  <c r="M15" i="136"/>
  <c r="B17" i="136" s="1"/>
  <c r="M11" i="136"/>
  <c r="B11" i="136" s="1"/>
  <c r="O13" i="136"/>
  <c r="N11" i="136"/>
  <c r="O5" i="142"/>
  <c r="H11" i="138"/>
  <c r="I10" i="144"/>
  <c r="O5" i="146"/>
  <c r="O12" i="137"/>
  <c r="N11" i="142"/>
  <c r="I10" i="142"/>
  <c r="Q18" i="143"/>
  <c r="H11" i="141"/>
  <c r="D11" i="136"/>
  <c r="D16" i="136"/>
  <c r="C17" i="136"/>
  <c r="D12" i="143"/>
  <c r="O14" i="136"/>
  <c r="O11" i="137"/>
  <c r="G10" i="132"/>
  <c r="O5" i="145"/>
  <c r="N11" i="144"/>
  <c r="B11" i="144"/>
  <c r="I12" i="134"/>
  <c r="F12" i="134"/>
  <c r="H12" i="134"/>
  <c r="G12" i="134"/>
  <c r="D12" i="138"/>
  <c r="C10" i="134"/>
  <c r="C9" i="134"/>
  <c r="D12" i="145"/>
  <c r="W12" i="143"/>
  <c r="O13" i="132"/>
  <c r="O15" i="132"/>
  <c r="B13" i="132"/>
  <c r="K11" i="143"/>
  <c r="D12" i="146"/>
  <c r="D19" i="143"/>
  <c r="O12" i="136"/>
  <c r="R13" i="138"/>
  <c r="N12" i="136"/>
  <c r="O14" i="132"/>
  <c r="H10" i="132"/>
  <c r="R5" i="138"/>
  <c r="W16" i="143"/>
  <c r="L14" i="133"/>
  <c r="M14" i="137"/>
  <c r="N14" i="137" s="1"/>
  <c r="O11" i="132"/>
  <c r="F19" i="143"/>
  <c r="W15" i="143"/>
  <c r="C14" i="138"/>
  <c r="O12" i="132"/>
  <c r="S12" i="138"/>
  <c r="L8" i="133"/>
  <c r="W17" i="143"/>
  <c r="D24" i="143"/>
  <c r="D18" i="143"/>
  <c r="Q5" i="141"/>
  <c r="I10" i="132"/>
  <c r="O5" i="136"/>
  <c r="R12" i="138"/>
  <c r="R11" i="141"/>
  <c r="G10" i="137"/>
  <c r="N15" i="132"/>
  <c r="B17" i="132"/>
  <c r="N12" i="137"/>
  <c r="B13" i="137"/>
  <c r="N13" i="132"/>
  <c r="B15" i="132"/>
  <c r="B16" i="137"/>
  <c r="D15" i="141"/>
  <c r="D13" i="141"/>
  <c r="E24" i="133"/>
  <c r="L21" i="133"/>
  <c r="L24" i="133" s="1"/>
  <c r="N14" i="136"/>
  <c r="C16" i="143"/>
  <c r="B14" i="143"/>
  <c r="C24" i="143"/>
  <c r="U19" i="143"/>
  <c r="U18" i="143"/>
  <c r="U14" i="143"/>
  <c r="K7" i="140"/>
  <c r="U17" i="143" s="1"/>
  <c r="C14" i="143"/>
  <c r="P11" i="141"/>
  <c r="B12" i="141" s="1"/>
  <c r="C12" i="141" s="1"/>
  <c r="M5" i="132"/>
  <c r="N5" i="136"/>
  <c r="I11" i="138"/>
  <c r="Q5" i="138"/>
  <c r="U6" i="143"/>
  <c r="M11" i="132"/>
  <c r="M11" i="137"/>
  <c r="I11" i="145"/>
  <c r="D14" i="138"/>
  <c r="K11" i="140"/>
  <c r="K10" i="140"/>
  <c r="U15" i="143" s="1"/>
  <c r="O13" i="137"/>
  <c r="P6" i="138"/>
  <c r="C12" i="138"/>
  <c r="M13" i="137"/>
  <c r="M5" i="137"/>
  <c r="M15" i="137"/>
  <c r="I11" i="143"/>
  <c r="N13" i="136" l="1"/>
  <c r="B16" i="132"/>
  <c r="N15" i="136"/>
  <c r="D14" i="141"/>
  <c r="C11" i="134"/>
  <c r="D12" i="141"/>
  <c r="C20" i="143"/>
  <c r="U12" i="143"/>
  <c r="B12" i="143" s="1"/>
  <c r="B18" i="143"/>
  <c r="V15" i="143"/>
  <c r="N13" i="137"/>
  <c r="B15" i="137"/>
  <c r="D23" i="140"/>
  <c r="C23" i="140" s="1"/>
  <c r="U16" i="143"/>
  <c r="B23" i="140"/>
  <c r="C19" i="143"/>
  <c r="N11" i="132"/>
  <c r="B11" i="132"/>
  <c r="V19" i="143"/>
  <c r="B24" i="143"/>
  <c r="N15" i="137"/>
  <c r="B17" i="137"/>
  <c r="C18" i="143"/>
  <c r="D15" i="138"/>
  <c r="D13" i="138"/>
  <c r="D13" i="143"/>
  <c r="D17" i="143"/>
  <c r="D15" i="143"/>
  <c r="D23" i="143"/>
  <c r="D21" i="143"/>
  <c r="D25" i="143"/>
  <c r="D15" i="132"/>
  <c r="D13" i="132"/>
  <c r="D16" i="132"/>
  <c r="D11" i="132"/>
  <c r="C17" i="132"/>
  <c r="D19" i="140"/>
  <c r="C19" i="140" s="1"/>
  <c r="B19" i="140"/>
  <c r="C12" i="143"/>
  <c r="B20" i="143"/>
  <c r="V17" i="143"/>
  <c r="V14" i="143"/>
  <c r="B16" i="143"/>
  <c r="D15" i="137"/>
  <c r="D13" i="137"/>
  <c r="D11" i="137"/>
  <c r="D16" i="137"/>
  <c r="C17" i="137"/>
  <c r="D22" i="140"/>
  <c r="C22" i="140" s="1"/>
  <c r="B22" i="140"/>
  <c r="N11" i="137"/>
  <c r="B11" i="137"/>
  <c r="B22" i="143"/>
  <c r="V18" i="143"/>
  <c r="V12" i="143" l="1"/>
  <c r="B19" i="143"/>
  <c r="V16" i="14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Maurizio Gargiulo</author>
  </authors>
  <commentList>
    <comment ref="C19" authorId="0" shapeId="0" xr:uid="{00000000-0006-0000-0000-000001000000}">
      <text>
        <r>
          <rPr>
            <sz val="9"/>
            <color indexed="81"/>
            <rFont val="Tahoma"/>
            <family val="2"/>
          </rPr>
          <t>Includes fisheries consumption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A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A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A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A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A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A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A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A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A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B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B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B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B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B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B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B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B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B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N3" authorId="0" shapeId="0" xr:uid="{00000000-0006-0000-0C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S3" authorId="1" shapeId="0" xr:uid="{00000000-0006-0000-0C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T3" authorId="2" shapeId="0" xr:uid="{00000000-0006-0000-0C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3" authorId="2" shapeId="0" xr:uid="{00000000-0006-0000-0C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V3" authorId="2" shapeId="0" xr:uid="{00000000-0006-0000-0C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T9" authorId="2" shapeId="0" xr:uid="{00000000-0006-0000-0C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U9" authorId="1" shapeId="0" xr:uid="{00000000-0006-0000-0C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V9" authorId="2" shapeId="0" xr:uid="{00000000-0006-0000-0C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N10" authorId="2" shapeId="0" xr:uid="{00000000-0006-0000-0C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2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2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2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2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2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 value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2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2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2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2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E18" authorId="2" shapeId="0" xr:uid="{00000000-0006-0000-0200-00000B000000}">
      <text>
        <r>
          <rPr>
            <sz val="9"/>
            <color indexed="81"/>
            <rFont val="Tahoma"/>
            <family val="2"/>
          </rPr>
          <t xml:space="preserve">This is a flag to activate intrpolation/extrapolation routine in VEDA-TIMES.
</t>
        </r>
        <r>
          <rPr>
            <sz val="9"/>
            <color indexed="81"/>
            <rFont val="Tahoma"/>
            <family val="2"/>
          </rPr>
          <t xml:space="preserve">
The inter/extra routine will be enabled for the process EXPCOA1 and the attribute ACT_BND (cell I16)</t>
        </r>
      </text>
    </comment>
    <comment ref="I18" authorId="2" shapeId="0" xr:uid="{00000000-0006-0000-0200-00000C000000}">
      <text>
        <r>
          <rPr>
            <sz val="9"/>
            <color indexed="81"/>
            <rFont val="Tahoma"/>
            <family val="2"/>
          </rPr>
          <t>Option code for the interpolation/Extrapolation.
The code 5 means full interpolation and forward extrapolation.</t>
        </r>
        <r>
          <rPr>
            <b/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3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3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3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3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3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3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3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3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3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3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4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4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4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4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4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upper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4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4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4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4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5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5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5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5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5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5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5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5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5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5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K3" authorId="0" shapeId="0" xr:uid="{00000000-0006-0000-06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P3" authorId="1" shapeId="0" xr:uid="{00000000-0006-0000-06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Q3" authorId="2" shapeId="0" xr:uid="{00000000-0006-0000-06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3" authorId="2" shapeId="0" xr:uid="{00000000-0006-0000-06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S3" authorId="2" shapeId="0" xr:uid="{00000000-0006-0000-06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I8" authorId="2" shapeId="0" xr:uid="{00000000-0006-0000-0600-000006000000}">
      <text>
        <r>
          <rPr>
            <sz val="8"/>
            <color indexed="81"/>
            <rFont val="Tahoma"/>
            <family val="2"/>
          </rPr>
          <t xml:space="preserve">This attribute is used to assign a production limit.
By defautt is defined like fixed share
</t>
        </r>
        <r>
          <rPr>
            <b/>
            <sz val="8"/>
            <color indexed="81"/>
            <rFont val="Tahoma"/>
            <family val="2"/>
          </rPr>
          <t>UP</t>
        </r>
        <r>
          <rPr>
            <sz val="8"/>
            <color indexed="81"/>
            <rFont val="Tahoma"/>
            <family val="2"/>
          </rPr>
          <t xml:space="preserve">
If you want fix or lower add
</t>
        </r>
        <r>
          <rPr>
            <b/>
            <sz val="8"/>
            <color indexed="81"/>
            <rFont val="Tahoma"/>
            <family val="2"/>
          </rPr>
          <t>~FX
~LO</t>
        </r>
      </text>
    </comment>
    <comment ref="Q8" authorId="2" shapeId="0" xr:uid="{00000000-0006-0000-0600-000007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R8" authorId="1" shapeId="0" xr:uid="{00000000-0006-0000-0600-000008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S8" authorId="2" shapeId="0" xr:uid="{00000000-0006-0000-0600-000009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K9" authorId="2" shapeId="0" xr:uid="{00000000-0006-0000-0600-00000A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I3" authorId="0" shapeId="0" xr:uid="{00000000-0006-0000-07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N3" authorId="1" shapeId="0" xr:uid="{00000000-0006-0000-07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O3" authorId="2" shapeId="0" xr:uid="{00000000-0006-0000-07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3" authorId="2" shapeId="0" xr:uid="{00000000-0006-0000-07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Q3" authorId="2" shapeId="0" xr:uid="{00000000-0006-0000-07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O14" authorId="2" shapeId="0" xr:uid="{00000000-0006-0000-07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P14" authorId="1" shapeId="0" xr:uid="{00000000-0006-0000-07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Q14" authorId="2" shapeId="0" xr:uid="{00000000-0006-0000-07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I15" authorId="2" shapeId="0" xr:uid="{00000000-0006-0000-07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S3" authorId="0" shapeId="0" xr:uid="{00000000-0006-0000-08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X3" authorId="1" shapeId="0" xr:uid="{00000000-0006-0000-08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Y3" authorId="2" shapeId="0" xr:uid="{00000000-0006-0000-08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3" authorId="2" shapeId="0" xr:uid="{00000000-0006-0000-08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AA3" authorId="2" shapeId="0" xr:uid="{00000000-0006-0000-08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Y9" authorId="2" shapeId="0" xr:uid="{00000000-0006-0000-08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Z9" authorId="1" shapeId="0" xr:uid="{00000000-0006-0000-08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A9" authorId="2" shapeId="0" xr:uid="{00000000-0006-0000-08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S10" authorId="2" shapeId="0" xr:uid="{00000000-0006-0000-08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Gary Goldstein</author>
    <author>Amit Kanudia</author>
    <author>Maurizio Gargiulo</author>
  </authors>
  <commentList>
    <comment ref="L3" authorId="0" shapeId="0" xr:uid="{00000000-0006-0000-0900-000001000000}">
      <text>
        <r>
          <rPr>
            <sz val="8"/>
            <color indexed="81"/>
            <rFont val="Tahoma"/>
            <family val="2"/>
          </rPr>
          <t xml:space="preserve">Csets declarations are inherited until the next one is encountered.
Allowed Cset:
</t>
        </r>
        <r>
          <rPr>
            <b/>
            <sz val="8"/>
            <color indexed="81"/>
            <rFont val="Tahoma"/>
            <family val="2"/>
          </rPr>
          <t>NRG</t>
        </r>
        <r>
          <rPr>
            <sz val="8"/>
            <color indexed="81"/>
            <rFont val="Tahoma"/>
            <family val="2"/>
          </rPr>
          <t xml:space="preserve"> (Energy)
</t>
        </r>
        <r>
          <rPr>
            <b/>
            <sz val="8"/>
            <color indexed="81"/>
            <rFont val="Tahoma"/>
            <family val="2"/>
          </rPr>
          <t>ENV</t>
        </r>
        <r>
          <rPr>
            <sz val="8"/>
            <color indexed="81"/>
            <rFont val="Tahoma"/>
            <family val="2"/>
          </rPr>
          <t xml:space="preserve"> (Emission)
</t>
        </r>
        <r>
          <rPr>
            <b/>
            <sz val="8"/>
            <color indexed="81"/>
            <rFont val="Tahoma"/>
            <family val="2"/>
          </rPr>
          <t>DEM</t>
        </r>
        <r>
          <rPr>
            <sz val="8"/>
            <color indexed="81"/>
            <rFont val="Tahoma"/>
            <family val="2"/>
          </rPr>
          <t xml:space="preserve"> (Demand)
</t>
        </r>
        <r>
          <rPr>
            <b/>
            <sz val="8"/>
            <color indexed="81"/>
            <rFont val="Tahoma"/>
            <family val="2"/>
          </rPr>
          <t>MAT</t>
        </r>
        <r>
          <rPr>
            <sz val="8"/>
            <color indexed="81"/>
            <rFont val="Tahoma"/>
            <family val="2"/>
          </rPr>
          <t xml:space="preserve"> (Material)
</t>
        </r>
        <r>
          <rPr>
            <b/>
            <sz val="8"/>
            <color indexed="81"/>
            <rFont val="Tahoma"/>
            <family val="2"/>
          </rPr>
          <t>FIN</t>
        </r>
        <r>
          <rPr>
            <sz val="8"/>
            <color indexed="81"/>
            <rFont val="Tahoma"/>
            <family val="2"/>
          </rPr>
          <t xml:space="preserve"> (Financial)</t>
        </r>
      </text>
    </comment>
    <comment ref="Q3" authorId="1" shapeId="0" xr:uid="{00000000-0006-0000-0900-000002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LO for PRODUCTION &gt;= CONSUMPTION (Default)
FX for PRODUCTION = CONSUMPTION
UP for PRODUCTION &lt;= CONSUMPTION</t>
        </r>
      </text>
    </comment>
    <comment ref="R3" authorId="2" shapeId="0" xr:uid="{00000000-0006-0000-0900-000003000000}">
      <text>
        <r>
          <rPr>
            <sz val="8"/>
            <color indexed="81"/>
            <rFont val="Tahoma"/>
            <family val="2"/>
          </rPr>
          <t>Allowed CTSLvl</t>
        </r>
        <r>
          <rPr>
            <b/>
            <sz val="8"/>
            <color indexed="81"/>
            <rFont val="Tahoma"/>
            <family val="2"/>
          </rPr>
          <t xml:space="preserve">
SEASON</t>
        </r>
        <r>
          <rPr>
            <sz val="8"/>
            <color indexed="81"/>
            <rFont val="Tahoma"/>
            <family val="2"/>
          </rPr>
          <t xml:space="preserve"> (Seasonal level)</t>
        </r>
        <r>
          <rPr>
            <b/>
            <sz val="8"/>
            <color indexed="81"/>
            <rFont val="Tahoma"/>
            <family val="2"/>
          </rPr>
          <t xml:space="preserve">
WEEKLY</t>
        </r>
        <r>
          <rPr>
            <sz val="8"/>
            <color indexed="81"/>
            <rFont val="Tahoma"/>
            <family val="2"/>
          </rPr>
          <t xml:space="preserve"> (Weekly level)</t>
        </r>
        <r>
          <rPr>
            <b/>
            <sz val="8"/>
            <color indexed="81"/>
            <rFont val="Tahoma"/>
            <family val="2"/>
          </rPr>
          <t xml:space="preserve">
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3" authorId="2" shapeId="0" xr:uid="{00000000-0006-0000-0900-000004000000}">
      <text>
        <r>
          <rPr>
            <sz val="8"/>
            <color indexed="81"/>
            <rFont val="Tahoma"/>
            <family val="2"/>
          </rPr>
          <t>Allowed PeakTS</t>
        </r>
        <r>
          <rPr>
            <b/>
            <sz val="8"/>
            <color indexed="81"/>
            <rFont val="Tahoma"/>
            <family val="2"/>
          </rPr>
          <t xml:space="preserve">
ANNUAL </t>
        </r>
        <r>
          <rPr>
            <sz val="8"/>
            <color indexed="81"/>
            <rFont val="Tahoma"/>
            <family val="2"/>
          </rPr>
          <t>(to generate Peak Equation for all the TimeSlices)</t>
        </r>
        <r>
          <rPr>
            <b/>
            <sz val="8"/>
            <color indexed="81"/>
            <rFont val="Tahoma"/>
            <family val="2"/>
          </rPr>
          <t xml:space="preserve">
User TS </t>
        </r>
        <r>
          <rPr>
            <sz val="8"/>
            <color indexed="81"/>
            <rFont val="Tahoma"/>
            <family val="2"/>
          </rPr>
          <t>(to generate Peak Equation for a single TS)</t>
        </r>
      </text>
    </comment>
    <comment ref="T3" authorId="2" shapeId="0" xr:uid="{00000000-0006-0000-0900-000005000000}">
      <text>
        <r>
          <rPr>
            <sz val="8"/>
            <color indexed="81"/>
            <rFont val="Tahoma"/>
            <family val="2"/>
          </rPr>
          <t xml:space="preserve">Allowed Ctype
</t>
        </r>
        <r>
          <rPr>
            <b/>
            <sz val="8"/>
            <color indexed="81"/>
            <rFont val="Tahoma"/>
            <family val="2"/>
          </rPr>
          <t>ELC</t>
        </r>
        <r>
          <rPr>
            <sz val="8"/>
            <color indexed="81"/>
            <rFont val="Tahoma"/>
            <family val="2"/>
          </rPr>
          <t xml:space="preserve"> (Electricity)</t>
        </r>
      </text>
    </comment>
    <comment ref="R9" authorId="2" shapeId="0" xr:uid="{00000000-0006-0000-0900-000006000000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S9" authorId="1" shapeId="0" xr:uid="{00000000-0006-0000-0900-000007000000}">
      <text>
        <r>
          <rPr>
            <b/>
            <sz val="8"/>
            <color indexed="81"/>
            <rFont val="Tahoma"/>
            <family val="2"/>
          </rPr>
          <t>Amit Kanudia:</t>
        </r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T9" authorId="2" shapeId="0" xr:uid="{00000000-0006-0000-0900-000008000000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L10" authorId="2" shapeId="0" xr:uid="{00000000-0006-0000-0900-000009000000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</commentList>
</comments>
</file>

<file path=xl/sharedStrings.xml><?xml version="1.0" encoding="utf-8"?>
<sst xmlns="http://schemas.openxmlformats.org/spreadsheetml/2006/main" count="914" uniqueCount="205">
  <si>
    <t>CommName</t>
  </si>
  <si>
    <t>TechName</t>
  </si>
  <si>
    <t>TechDesc</t>
  </si>
  <si>
    <t>CommDesc</t>
  </si>
  <si>
    <t>Unit</t>
  </si>
  <si>
    <t>Comm-IN</t>
  </si>
  <si>
    <t>Comm-OUT</t>
  </si>
  <si>
    <t>Csets</t>
  </si>
  <si>
    <t>LimType</t>
  </si>
  <si>
    <t>CTSLvl</t>
  </si>
  <si>
    <t>PeakTS</t>
  </si>
  <si>
    <t>Sets</t>
  </si>
  <si>
    <t>Ctype</t>
  </si>
  <si>
    <t>~FI_T</t>
  </si>
  <si>
    <t>~FI_Comm</t>
  </si>
  <si>
    <t>~FI_Process</t>
  </si>
  <si>
    <t>Tact</t>
  </si>
  <si>
    <t>Tcap</t>
  </si>
  <si>
    <t>Tslvl</t>
  </si>
  <si>
    <t>PrimaryCG</t>
  </si>
  <si>
    <t>Vintage</t>
  </si>
  <si>
    <t>Technology Name</t>
  </si>
  <si>
    <t>Technology Description</t>
  </si>
  <si>
    <t>Activity Unit</t>
  </si>
  <si>
    <t>Capacity Unit</t>
  </si>
  <si>
    <t>Vintage Tracking</t>
  </si>
  <si>
    <t>Commodity Name</t>
  </si>
  <si>
    <t>Commodity Description</t>
  </si>
  <si>
    <t>Peak Monitoring</t>
  </si>
  <si>
    <t>Electricity Indicator</t>
  </si>
  <si>
    <t>Region</t>
  </si>
  <si>
    <t>Region Name</t>
  </si>
  <si>
    <t>Input Commodity</t>
  </si>
  <si>
    <t>Output Commodity</t>
  </si>
  <si>
    <t>Existing Installed Capacity</t>
  </si>
  <si>
    <t>Demand</t>
  </si>
  <si>
    <t>Demand Value</t>
  </si>
  <si>
    <t>CUM</t>
  </si>
  <si>
    <t>COST</t>
  </si>
  <si>
    <t>Reserves Cumulative Value</t>
  </si>
  <si>
    <t>*Commodity Set Membership</t>
  </si>
  <si>
    <t>*Process Set Membership</t>
  </si>
  <si>
    <t>*Technology Name</t>
  </si>
  <si>
    <t>Sense of the Balance EQN.</t>
  </si>
  <si>
    <t>Timeslice Level</t>
  </si>
  <si>
    <t>Primary Commodity Group</t>
  </si>
  <si>
    <t>TimeSlice level of Process Activity</t>
  </si>
  <si>
    <t>COA</t>
  </si>
  <si>
    <t>GAS</t>
  </si>
  <si>
    <t>OIL</t>
  </si>
  <si>
    <t>NUC</t>
  </si>
  <si>
    <t>RNW</t>
  </si>
  <si>
    <t>SLU</t>
  </si>
  <si>
    <t>HET</t>
  </si>
  <si>
    <t>ELC</t>
  </si>
  <si>
    <t>Solid Fuels</t>
  </si>
  <si>
    <t>Natural Gas</t>
  </si>
  <si>
    <t>Nuclear Energy</t>
  </si>
  <si>
    <t>Renewable Energies</t>
  </si>
  <si>
    <t>Industrial Wastes</t>
  </si>
  <si>
    <t>Derived Heat</t>
  </si>
  <si>
    <t>Total</t>
  </si>
  <si>
    <t>PRIMARY</t>
  </si>
  <si>
    <t>MIN</t>
  </si>
  <si>
    <t>Domestic Supply</t>
  </si>
  <si>
    <t>IMP</t>
  </si>
  <si>
    <t>Imports</t>
  </si>
  <si>
    <t>EXP</t>
  </si>
  <si>
    <t>Exports</t>
  </si>
  <si>
    <t>CONVERSION</t>
  </si>
  <si>
    <t>ESC</t>
  </si>
  <si>
    <t>Energy Sector Consumption</t>
  </si>
  <si>
    <t>Electricity Plants</t>
  </si>
  <si>
    <t>HPL</t>
  </si>
  <si>
    <t>Heat Plants</t>
  </si>
  <si>
    <t>REF</t>
  </si>
  <si>
    <t>Petroleum Refineries</t>
  </si>
  <si>
    <t>Total Conversion</t>
  </si>
  <si>
    <t>FINAL</t>
  </si>
  <si>
    <t>RSD</t>
  </si>
  <si>
    <t>Residential</t>
  </si>
  <si>
    <t>COM</t>
  </si>
  <si>
    <t>Commercial</t>
  </si>
  <si>
    <t>IND</t>
  </si>
  <si>
    <t>Industry</t>
  </si>
  <si>
    <t>AGR</t>
  </si>
  <si>
    <t>Agriculture</t>
  </si>
  <si>
    <t>TRA</t>
  </si>
  <si>
    <t>Transport</t>
  </si>
  <si>
    <t>OTH</t>
  </si>
  <si>
    <t>Other</t>
  </si>
  <si>
    <t>Non Energy</t>
  </si>
  <si>
    <t>Bunkers</t>
  </si>
  <si>
    <t>NRG</t>
  </si>
  <si>
    <t>Sector Name</t>
  </si>
  <si>
    <t>Commodity</t>
  </si>
  <si>
    <t>Description</t>
  </si>
  <si>
    <t>PJ</t>
  </si>
  <si>
    <t>Default Unit</t>
  </si>
  <si>
    <t>Currency Unit</t>
  </si>
  <si>
    <t>ACT_BND</t>
  </si>
  <si>
    <t>LIFE</t>
  </si>
  <si>
    <t>Attribute</t>
  </si>
  <si>
    <t>*</t>
  </si>
  <si>
    <t>Demand Commodity Name</t>
  </si>
  <si>
    <t>DEM</t>
  </si>
  <si>
    <t>INVCOST</t>
  </si>
  <si>
    <t>FIXOM</t>
  </si>
  <si>
    <t>NEN</t>
  </si>
  <si>
    <t>BNK</t>
  </si>
  <si>
    <t>Electricity</t>
  </si>
  <si>
    <t>TFC</t>
  </si>
  <si>
    <t>Efficiency</t>
  </si>
  <si>
    <t>*Units</t>
  </si>
  <si>
    <t>Years</t>
  </si>
  <si>
    <t>Annual Production Bound</t>
  </si>
  <si>
    <t>Cost</t>
  </si>
  <si>
    <t>Default Units</t>
  </si>
  <si>
    <t>Currency</t>
  </si>
  <si>
    <t>Activity</t>
  </si>
  <si>
    <t>Fixed O&amp;M Cost</t>
  </si>
  <si>
    <t>Invesctment Cost</t>
  </si>
  <si>
    <t>DMD</t>
  </si>
  <si>
    <t>AFA</t>
  </si>
  <si>
    <t>Utilisation Factor</t>
  </si>
  <si>
    <t>Existing</t>
  </si>
  <si>
    <t>E</t>
  </si>
  <si>
    <t>N</t>
  </si>
  <si>
    <t>ENV_ACT</t>
  </si>
  <si>
    <t>Sector</t>
  </si>
  <si>
    <t>OT</t>
  </si>
  <si>
    <t>D1</t>
  </si>
  <si>
    <t>Demand 1</t>
  </si>
  <si>
    <t>Emissions</t>
  </si>
  <si>
    <t>kt</t>
  </si>
  <si>
    <t>Activity Emission Coefficient</t>
  </si>
  <si>
    <t>ENV</t>
  </si>
  <si>
    <t>CO2</t>
  </si>
  <si>
    <t>Nox</t>
  </si>
  <si>
    <t>VOC</t>
  </si>
  <si>
    <t>Carbon dioxide</t>
  </si>
  <si>
    <t>NOX</t>
  </si>
  <si>
    <t>Sector Fuel</t>
  </si>
  <si>
    <t>PRE</t>
  </si>
  <si>
    <t>Deafult unit</t>
  </si>
  <si>
    <t>Type</t>
  </si>
  <si>
    <t>Demand Technologies</t>
  </si>
  <si>
    <t>Domestic Supply Curve Share - Step 1</t>
  </si>
  <si>
    <t>Domestic Supply Curve Share - Step 2</t>
  </si>
  <si>
    <t>Year</t>
  </si>
  <si>
    <t>Break-out by end-use</t>
  </si>
  <si>
    <t>Emission by sector</t>
  </si>
  <si>
    <t>Capacity unit</t>
  </si>
  <si>
    <t>Power Plants</t>
  </si>
  <si>
    <t>GW</t>
  </si>
  <si>
    <t>ELE</t>
  </si>
  <si>
    <t>VAROM</t>
  </si>
  <si>
    <t>Total Production</t>
  </si>
  <si>
    <t>Variable O&amp;M Cost</t>
  </si>
  <si>
    <t>Capacity to Activity Factor</t>
  </si>
  <si>
    <t>Power Plant Type</t>
  </si>
  <si>
    <t>CHP</t>
  </si>
  <si>
    <t>Renewable</t>
  </si>
  <si>
    <t>R</t>
  </si>
  <si>
    <t>C</t>
  </si>
  <si>
    <t>T</t>
  </si>
  <si>
    <t>Code</t>
  </si>
  <si>
    <t>Thermal</t>
  </si>
  <si>
    <t>CALIBRATION</t>
  </si>
  <si>
    <t>Demand Driver (annual growth)</t>
  </si>
  <si>
    <t>Retirement Capacity</t>
  </si>
  <si>
    <t>REG1</t>
  </si>
  <si>
    <t>Nuclear</t>
  </si>
  <si>
    <t>Crude oil</t>
  </si>
  <si>
    <t>Capacity</t>
  </si>
  <si>
    <t>000_Units</t>
  </si>
  <si>
    <t>*Unit</t>
  </si>
  <si>
    <t>Demand Unit</t>
  </si>
  <si>
    <t>M€2005</t>
  </si>
  <si>
    <t>Data used in the template to buld the model</t>
  </si>
  <si>
    <t>User inputs</t>
  </si>
  <si>
    <t>Linked to the Energy Balance</t>
  </si>
  <si>
    <t>Objective Function</t>
  </si>
  <si>
    <t>Primary Supply (Mining, Import/Export)</t>
  </si>
  <si>
    <t>Conversion (Power Sector)</t>
  </si>
  <si>
    <t>Demand Sectors</t>
  </si>
  <si>
    <t>START</t>
  </si>
  <si>
    <t>New</t>
  </si>
  <si>
    <t>STOCK</t>
  </si>
  <si>
    <t>STOCK~2030</t>
  </si>
  <si>
    <t>UP</t>
  </si>
  <si>
    <t>TPS</t>
  </si>
  <si>
    <t>Total Primary Supply</t>
  </si>
  <si>
    <t>Total Final Consumption</t>
  </si>
  <si>
    <t>Lifetime</t>
  </si>
  <si>
    <t>CAP2ACT</t>
  </si>
  <si>
    <t>Run name: DemoS_003</t>
  </si>
  <si>
    <t>ENV commodity</t>
  </si>
  <si>
    <t>Crude Oil</t>
  </si>
  <si>
    <t>_SysCost result table</t>
  </si>
  <si>
    <t>Reference Energy System</t>
  </si>
  <si>
    <t>CEFF-O</t>
  </si>
  <si>
    <t>CommIN</t>
  </si>
  <si>
    <t>CommOUT</t>
  </si>
  <si>
    <t>CEFFO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</si>
</sst>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.00_-;\-* #,##0.00_-;_-* &quot;-&quot;??_-;_-@_-"/>
    <numFmt numFmtId="165" formatCode="0.000"/>
    <numFmt numFmtId="166" formatCode="General_)"/>
    <numFmt numFmtId="167" formatCode="0.0"/>
    <numFmt numFmtId="168" formatCode="\Te\x\t"/>
  </numFmts>
  <fonts count="29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9"/>
      <name val="Arial"/>
      <family val="2"/>
    </font>
    <font>
      <sz val="9"/>
      <name val="Arial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rgb="FFFF0000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b/>
      <sz val="8"/>
      <color theme="1"/>
      <name val="Arial"/>
      <family val="2"/>
    </font>
    <font>
      <b/>
      <sz val="10"/>
      <color theme="9" tint="-0.249977111117893"/>
      <name val="Arial"/>
      <family val="2"/>
    </font>
    <font>
      <b/>
      <sz val="14"/>
      <color rgb="FFFF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5"/>
      </patternFill>
    </fill>
    <fill>
      <patternFill patternType="solid">
        <fgColor rgb="FFF2F2F2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C3399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5" fillId="7" borderId="18" applyNumberFormat="0" applyAlignment="0" applyProtection="0"/>
    <xf numFmtId="164" fontId="13" fillId="0" borderId="0" applyFont="0" applyFill="0" applyBorder="0" applyAlignment="0" applyProtection="0"/>
    <xf numFmtId="0" fontId="16" fillId="8" borderId="0" applyNumberFormat="0" applyBorder="0" applyAlignment="0" applyProtection="0"/>
    <xf numFmtId="0" fontId="17" fillId="9" borderId="18" applyNumberFormat="0" applyAlignment="0" applyProtection="0"/>
    <xf numFmtId="0" fontId="18" fillId="10" borderId="0" applyNumberFormat="0" applyBorder="0" applyAlignment="0" applyProtection="0"/>
    <xf numFmtId="0" fontId="4" fillId="0" borderId="0"/>
    <xf numFmtId="0" fontId="4" fillId="0" borderId="0"/>
    <xf numFmtId="0" fontId="4" fillId="0" borderId="0"/>
    <xf numFmtId="0" fontId="4" fillId="0" borderId="0"/>
    <xf numFmtId="0" fontId="13" fillId="0" borderId="0"/>
    <xf numFmtId="0" fontId="4" fillId="0" borderId="0"/>
    <xf numFmtId="0" fontId="2" fillId="0" borderId="0"/>
    <xf numFmtId="9" fontId="1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4" fillId="0" borderId="0"/>
  </cellStyleXfs>
  <cellXfs count="168">
    <xf numFmtId="0" fontId="0" fillId="0" borderId="0" xfId="0"/>
    <xf numFmtId="0" fontId="4" fillId="0" borderId="0" xfId="0" applyFont="1"/>
    <xf numFmtId="0" fontId="5" fillId="0" borderId="0" xfId="0" applyFont="1"/>
    <xf numFmtId="0" fontId="3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vertical="center"/>
    </xf>
    <xf numFmtId="0" fontId="4" fillId="0" borderId="0" xfId="12" applyAlignment="1">
      <alignment horizontal="right"/>
    </xf>
    <xf numFmtId="0" fontId="5" fillId="0" borderId="0" xfId="12" applyFont="1" applyAlignment="1">
      <alignment horizontal="left"/>
    </xf>
    <xf numFmtId="0" fontId="4" fillId="0" borderId="0" xfId="12" applyAlignment="1">
      <alignment horizontal="left"/>
    </xf>
    <xf numFmtId="0" fontId="0" fillId="0" borderId="2" xfId="0" applyBorder="1"/>
    <xf numFmtId="1" fontId="0" fillId="0" borderId="0" xfId="0" applyNumberFormat="1"/>
    <xf numFmtId="0" fontId="14" fillId="6" borderId="0" xfId="4"/>
    <xf numFmtId="0" fontId="19" fillId="0" borderId="0" xfId="7" applyFont="1" applyFill="1"/>
    <xf numFmtId="0" fontId="20" fillId="0" borderId="0" xfId="0" applyFont="1"/>
    <xf numFmtId="0" fontId="19" fillId="11" borderId="0" xfId="7" applyFont="1" applyFill="1"/>
    <xf numFmtId="0" fontId="4" fillId="0" borderId="0" xfId="9" applyFont="1" applyFill="1"/>
    <xf numFmtId="1" fontId="4" fillId="0" borderId="0" xfId="0" applyNumberFormat="1" applyFont="1"/>
    <xf numFmtId="0" fontId="21" fillId="3" borderId="3" xfId="1" applyFont="1" applyBorder="1" applyAlignment="1">
      <alignment horizontal="center" wrapText="1"/>
    </xf>
    <xf numFmtId="0" fontId="21" fillId="3" borderId="3" xfId="1" applyFont="1" applyBorder="1" applyAlignment="1">
      <alignment horizontal="left" wrapText="1"/>
    </xf>
    <xf numFmtId="0" fontId="21" fillId="3" borderId="1" xfId="1" applyFont="1" applyBorder="1" applyAlignment="1">
      <alignment horizontal="left" wrapText="1"/>
    </xf>
    <xf numFmtId="2" fontId="0" fillId="0" borderId="0" xfId="0" applyNumberFormat="1"/>
    <xf numFmtId="0" fontId="3" fillId="2" borderId="1" xfId="12" applyFont="1" applyFill="1" applyBorder="1" applyAlignment="1">
      <alignment horizontal="left" vertical="center"/>
    </xf>
    <xf numFmtId="0" fontId="3" fillId="2" borderId="4" xfId="0" applyFont="1" applyFill="1" applyBorder="1" applyAlignment="1">
      <alignment horizontal="left"/>
    </xf>
    <xf numFmtId="0" fontId="0" fillId="0" borderId="0" xfId="0" applyAlignment="1">
      <alignment wrapText="1"/>
    </xf>
    <xf numFmtId="0" fontId="19" fillId="11" borderId="0" xfId="7" applyFont="1" applyFill="1" applyAlignment="1">
      <alignment wrapText="1"/>
    </xf>
    <xf numFmtId="0" fontId="22" fillId="0" borderId="0" xfId="0" applyFont="1"/>
    <xf numFmtId="0" fontId="4" fillId="0" borderId="5" xfId="0" applyFont="1" applyBorder="1"/>
    <xf numFmtId="0" fontId="4" fillId="0" borderId="6" xfId="0" applyFont="1" applyBorder="1"/>
    <xf numFmtId="9" fontId="20" fillId="0" borderId="6" xfId="17" applyFont="1" applyBorder="1" applyAlignment="1"/>
    <xf numFmtId="0" fontId="4" fillId="0" borderId="7" xfId="0" applyFont="1" applyBorder="1"/>
    <xf numFmtId="9" fontId="20" fillId="0" borderId="7" xfId="17" applyFont="1" applyBorder="1" applyAlignment="1"/>
    <xf numFmtId="9" fontId="20" fillId="0" borderId="0" xfId="17" applyFont="1" applyBorder="1" applyAlignment="1"/>
    <xf numFmtId="0" fontId="14" fillId="6" borderId="0" xfId="4" applyAlignment="1">
      <alignment wrapText="1"/>
    </xf>
    <xf numFmtId="2" fontId="4" fillId="0" borderId="0" xfId="0" applyNumberFormat="1" applyFont="1"/>
    <xf numFmtId="0" fontId="3" fillId="0" borderId="0" xfId="0" applyFont="1"/>
    <xf numFmtId="0" fontId="0" fillId="0" borderId="0" xfId="0" applyAlignment="1">
      <alignment horizontal="center" wrapText="1"/>
    </xf>
    <xf numFmtId="0" fontId="4" fillId="0" borderId="0" xfId="10"/>
    <xf numFmtId="0" fontId="4" fillId="0" borderId="0" xfId="10" applyAlignment="1">
      <alignment wrapText="1"/>
    </xf>
    <xf numFmtId="1" fontId="4" fillId="0" borderId="0" xfId="10" applyNumberFormat="1"/>
    <xf numFmtId="0" fontId="23" fillId="0" borderId="0" xfId="7" applyFont="1" applyFill="1"/>
    <xf numFmtId="0" fontId="24" fillId="0" borderId="0" xfId="4" applyFont="1" applyFill="1" applyAlignment="1">
      <alignment wrapText="1"/>
    </xf>
    <xf numFmtId="0" fontId="4" fillId="0" borderId="8" xfId="0" applyFont="1" applyBorder="1"/>
    <xf numFmtId="0" fontId="4" fillId="0" borderId="2" xfId="0" applyFont="1" applyBorder="1"/>
    <xf numFmtId="1" fontId="25" fillId="12" borderId="0" xfId="2" applyNumberFormat="1" applyFont="1" applyFill="1" applyBorder="1" applyAlignment="1">
      <alignment horizontal="right" wrapText="1"/>
    </xf>
    <xf numFmtId="0" fontId="26" fillId="0" borderId="0" xfId="2" applyFont="1" applyFill="1" applyBorder="1" applyAlignment="1">
      <alignment horizontal="right" wrapText="1"/>
    </xf>
    <xf numFmtId="0" fontId="21" fillId="0" borderId="0" xfId="2" applyFont="1" applyFill="1" applyBorder="1" applyAlignment="1">
      <alignment horizontal="right" wrapText="1"/>
    </xf>
    <xf numFmtId="1" fontId="25" fillId="0" borderId="0" xfId="2" applyNumberFormat="1" applyFont="1" applyFill="1" applyBorder="1" applyAlignment="1">
      <alignment horizontal="right" wrapText="1"/>
    </xf>
    <xf numFmtId="0" fontId="19" fillId="11" borderId="0" xfId="7" quotePrefix="1" applyFont="1" applyFill="1"/>
    <xf numFmtId="0" fontId="3" fillId="0" borderId="2" xfId="0" applyFont="1" applyBorder="1" applyAlignment="1">
      <alignment horizontal="center" wrapText="1"/>
    </xf>
    <xf numFmtId="0" fontId="27" fillId="0" borderId="0" xfId="0" applyFont="1"/>
    <xf numFmtId="0" fontId="19" fillId="11" borderId="0" xfId="7" applyFont="1" applyFill="1" applyAlignment="1">
      <alignment horizontal="left"/>
    </xf>
    <xf numFmtId="1" fontId="0" fillId="13" borderId="0" xfId="0" applyNumberFormat="1" applyFill="1"/>
    <xf numFmtId="0" fontId="27" fillId="14" borderId="2" xfId="0" applyFont="1" applyFill="1" applyBorder="1" applyAlignment="1">
      <alignment wrapText="1"/>
    </xf>
    <xf numFmtId="0" fontId="3" fillId="14" borderId="2" xfId="0" applyFont="1" applyFill="1" applyBorder="1" applyAlignment="1">
      <alignment wrapText="1"/>
    </xf>
    <xf numFmtId="0" fontId="27" fillId="14" borderId="0" xfId="0" applyFont="1" applyFill="1"/>
    <xf numFmtId="166" fontId="9" fillId="15" borderId="0" xfId="0" applyNumberFormat="1" applyFont="1" applyFill="1" applyAlignment="1">
      <alignment horizontal="left" vertical="center"/>
    </xf>
    <xf numFmtId="1" fontId="0" fillId="16" borderId="0" xfId="0" applyNumberFormat="1" applyFill="1"/>
    <xf numFmtId="0" fontId="0" fillId="16" borderId="0" xfId="0" applyFill="1"/>
    <xf numFmtId="166" fontId="9" fillId="15" borderId="2" xfId="0" applyNumberFormat="1" applyFont="1" applyFill="1" applyBorder="1" applyAlignment="1">
      <alignment horizontal="left" vertical="center"/>
    </xf>
    <xf numFmtId="1" fontId="0" fillId="15" borderId="2" xfId="0" applyNumberFormat="1" applyFill="1" applyBorder="1"/>
    <xf numFmtId="1" fontId="17" fillId="9" borderId="0" xfId="8" applyNumberFormat="1" applyBorder="1" applyAlignment="1"/>
    <xf numFmtId="1" fontId="17" fillId="9" borderId="2" xfId="8" applyNumberFormat="1" applyBorder="1" applyAlignment="1"/>
    <xf numFmtId="1" fontId="17" fillId="9" borderId="1" xfId="8" applyNumberFormat="1" applyBorder="1" applyAlignment="1"/>
    <xf numFmtId="1" fontId="17" fillId="9" borderId="9" xfId="8" applyNumberFormat="1" applyBorder="1" applyAlignment="1"/>
    <xf numFmtId="1" fontId="17" fillId="9" borderId="10" xfId="8" applyNumberFormat="1" applyBorder="1" applyAlignment="1"/>
    <xf numFmtId="1" fontId="15" fillId="7" borderId="4" xfId="5" applyNumberFormat="1" applyBorder="1" applyAlignment="1">
      <alignment horizontal="right"/>
    </xf>
    <xf numFmtId="1" fontId="17" fillId="9" borderId="4" xfId="8" applyNumberFormat="1" applyBorder="1" applyAlignment="1"/>
    <xf numFmtId="1" fontId="15" fillId="7" borderId="11" xfId="5" applyNumberFormat="1" applyBorder="1" applyAlignment="1">
      <alignment horizontal="right"/>
    </xf>
    <xf numFmtId="166" fontId="15" fillId="7" borderId="5" xfId="5" applyNumberFormat="1" applyBorder="1" applyAlignment="1">
      <alignment horizontal="right" vertical="center"/>
    </xf>
    <xf numFmtId="1" fontId="15" fillId="7" borderId="19" xfId="5" applyNumberFormat="1" applyBorder="1" applyAlignment="1">
      <alignment horizontal="right"/>
    </xf>
    <xf numFmtId="1" fontId="15" fillId="7" borderId="20" xfId="5" applyNumberFormat="1" applyBorder="1" applyAlignment="1">
      <alignment horizontal="right"/>
    </xf>
    <xf numFmtId="1" fontId="15" fillId="7" borderId="21" xfId="5" applyNumberFormat="1" applyBorder="1" applyAlignment="1">
      <alignment horizontal="right"/>
    </xf>
    <xf numFmtId="1" fontId="15" fillId="7" borderId="22" xfId="5" applyNumberFormat="1" applyBorder="1" applyAlignment="1">
      <alignment horizontal="right"/>
    </xf>
    <xf numFmtId="166" fontId="9" fillId="16" borderId="6" xfId="0" applyNumberFormat="1" applyFont="1" applyFill="1" applyBorder="1" applyAlignment="1">
      <alignment horizontal="left" vertical="center"/>
    </xf>
    <xf numFmtId="166" fontId="9" fillId="16" borderId="12" xfId="0" applyNumberFormat="1" applyFont="1" applyFill="1" applyBorder="1" applyAlignment="1">
      <alignment horizontal="left" vertical="center"/>
    </xf>
    <xf numFmtId="166" fontId="9" fillId="15" borderId="6" xfId="0" applyNumberFormat="1" applyFont="1" applyFill="1" applyBorder="1" applyAlignment="1">
      <alignment horizontal="left" vertical="center"/>
    </xf>
    <xf numFmtId="166" fontId="9" fillId="15" borderId="12" xfId="0" applyNumberFormat="1" applyFont="1" applyFill="1" applyBorder="1" applyAlignment="1">
      <alignment horizontal="left" vertical="center"/>
    </xf>
    <xf numFmtId="166" fontId="9" fillId="15" borderId="7" xfId="0" applyNumberFormat="1" applyFont="1" applyFill="1" applyBorder="1" applyAlignment="1">
      <alignment horizontal="left" vertical="center"/>
    </xf>
    <xf numFmtId="166" fontId="9" fillId="15" borderId="10" xfId="0" applyNumberFormat="1" applyFont="1" applyFill="1" applyBorder="1" applyAlignment="1">
      <alignment horizontal="left" vertical="center"/>
    </xf>
    <xf numFmtId="166" fontId="9" fillId="15" borderId="13" xfId="0" applyNumberFormat="1" applyFont="1" applyFill="1" applyBorder="1" applyAlignment="1">
      <alignment horizontal="left" vertical="center"/>
    </xf>
    <xf numFmtId="166" fontId="9" fillId="15" borderId="14" xfId="0" applyNumberFormat="1" applyFont="1" applyFill="1" applyBorder="1" applyAlignment="1">
      <alignment horizontal="left" vertical="center"/>
    </xf>
    <xf numFmtId="166" fontId="9" fillId="15" borderId="15" xfId="0" applyNumberFormat="1" applyFont="1" applyFill="1" applyBorder="1" applyAlignment="1">
      <alignment horizontal="left" vertical="center"/>
    </xf>
    <xf numFmtId="0" fontId="3" fillId="14" borderId="16" xfId="0" applyFont="1" applyFill="1" applyBorder="1" applyAlignment="1">
      <alignment wrapText="1"/>
    </xf>
    <xf numFmtId="0" fontId="22" fillId="0" borderId="5" xfId="0" applyFont="1" applyBorder="1" applyAlignment="1">
      <alignment horizontal="center"/>
    </xf>
    <xf numFmtId="166" fontId="9" fillId="15" borderId="12" xfId="0" applyNumberFormat="1" applyFont="1" applyFill="1" applyBorder="1" applyAlignment="1">
      <alignment horizontal="center" vertical="center"/>
    </xf>
    <xf numFmtId="0" fontId="3" fillId="14" borderId="5" xfId="0" applyFont="1" applyFill="1" applyBorder="1" applyAlignment="1">
      <alignment wrapText="1"/>
    </xf>
    <xf numFmtId="166" fontId="9" fillId="15" borderId="7" xfId="0" applyNumberFormat="1" applyFont="1" applyFill="1" applyBorder="1" applyAlignment="1">
      <alignment horizontal="center" vertical="center"/>
    </xf>
    <xf numFmtId="0" fontId="27" fillId="14" borderId="16" xfId="0" applyFont="1" applyFill="1" applyBorder="1" applyAlignment="1">
      <alignment wrapText="1"/>
    </xf>
    <xf numFmtId="0" fontId="27" fillId="14" borderId="11" xfId="0" applyFont="1" applyFill="1" applyBorder="1" applyAlignment="1">
      <alignment wrapText="1"/>
    </xf>
    <xf numFmtId="0" fontId="27" fillId="14" borderId="5" xfId="0" applyFont="1" applyFill="1" applyBorder="1" applyAlignment="1">
      <alignment wrapText="1"/>
    </xf>
    <xf numFmtId="1" fontId="4" fillId="17" borderId="0" xfId="0" applyNumberFormat="1" applyFont="1" applyFill="1"/>
    <xf numFmtId="1" fontId="0" fillId="17" borderId="0" xfId="0" applyNumberFormat="1" applyFill="1"/>
    <xf numFmtId="0" fontId="0" fillId="17" borderId="0" xfId="0" applyFill="1"/>
    <xf numFmtId="2" fontId="4" fillId="16" borderId="0" xfId="9" applyNumberFormat="1" applyFont="1" applyFill="1"/>
    <xf numFmtId="0" fontId="4" fillId="16" borderId="0" xfId="9" applyFont="1" applyFill="1"/>
    <xf numFmtId="2" fontId="0" fillId="16" borderId="0" xfId="0" applyNumberFormat="1" applyFill="1"/>
    <xf numFmtId="2" fontId="4" fillId="16" borderId="0" xfId="0" applyNumberFormat="1" applyFont="1" applyFill="1"/>
    <xf numFmtId="1" fontId="0" fillId="16" borderId="8" xfId="0" applyNumberFormat="1" applyFill="1" applyBorder="1"/>
    <xf numFmtId="0" fontId="4" fillId="16" borderId="0" xfId="10" applyFill="1"/>
    <xf numFmtId="2" fontId="4" fillId="16" borderId="0" xfId="10" applyNumberFormat="1" applyFill="1"/>
    <xf numFmtId="0" fontId="21" fillId="13" borderId="1" xfId="2" applyFont="1" applyFill="1" applyBorder="1" applyAlignment="1">
      <alignment horizontal="right" wrapText="1"/>
    </xf>
    <xf numFmtId="0" fontId="21" fillId="13" borderId="3" xfId="2" applyFont="1" applyFill="1" applyBorder="1" applyAlignment="1">
      <alignment horizontal="right" wrapText="1"/>
    </xf>
    <xf numFmtId="9" fontId="11" fillId="16" borderId="0" xfId="17" applyFont="1" applyFill="1" applyBorder="1"/>
    <xf numFmtId="9" fontId="11" fillId="16" borderId="2" xfId="17" applyFont="1" applyFill="1" applyBorder="1"/>
    <xf numFmtId="0" fontId="28" fillId="0" borderId="0" xfId="0" applyFont="1"/>
    <xf numFmtId="0" fontId="3" fillId="18" borderId="0" xfId="0" applyFont="1" applyFill="1"/>
    <xf numFmtId="0" fontId="20" fillId="0" borderId="0" xfId="10" applyFont="1"/>
    <xf numFmtId="1" fontId="4" fillId="17" borderId="0" xfId="10" applyNumberFormat="1" applyFill="1"/>
    <xf numFmtId="0" fontId="21" fillId="4" borderId="4" xfId="2" applyFont="1" applyBorder="1" applyAlignment="1">
      <alignment horizontal="center" wrapText="1"/>
    </xf>
    <xf numFmtId="0" fontId="26" fillId="4" borderId="4" xfId="2" applyFont="1" applyBorder="1" applyAlignment="1">
      <alignment horizontal="center" wrapText="1"/>
    </xf>
    <xf numFmtId="0" fontId="3" fillId="2" borderId="1" xfId="0" applyFont="1" applyFill="1" applyBorder="1" applyAlignment="1">
      <alignment horizontal="center"/>
    </xf>
    <xf numFmtId="0" fontId="4" fillId="0" borderId="0" xfId="9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3" fillId="2" borderId="1" xfId="12" applyFont="1" applyFill="1" applyBorder="1" applyAlignment="1">
      <alignment horizontal="center" wrapText="1"/>
    </xf>
    <xf numFmtId="0" fontId="21" fillId="3" borderId="1" xfId="1" applyFont="1" applyBorder="1" applyAlignment="1">
      <alignment horizontal="center" wrapText="1"/>
    </xf>
    <xf numFmtId="0" fontId="3" fillId="2" borderId="1" xfId="12" applyFont="1" applyFill="1" applyBorder="1" applyAlignment="1">
      <alignment horizontal="center" vertical="center" wrapText="1"/>
    </xf>
    <xf numFmtId="0" fontId="3" fillId="2" borderId="1" xfId="12" applyFont="1" applyFill="1" applyBorder="1" applyAlignment="1">
      <alignment horizontal="center" vertical="center"/>
    </xf>
    <xf numFmtId="0" fontId="21" fillId="3" borderId="4" xfId="1" applyFont="1" applyBorder="1" applyAlignment="1">
      <alignment horizontal="center" wrapText="1"/>
    </xf>
    <xf numFmtId="0" fontId="21" fillId="3" borderId="17" xfId="1" applyFont="1" applyBorder="1" applyAlignment="1">
      <alignment horizontal="center" wrapText="1"/>
    </xf>
    <xf numFmtId="0" fontId="3" fillId="2" borderId="1" xfId="0" applyFont="1" applyFill="1" applyBorder="1" applyAlignment="1">
      <alignment horizontal="center" vertical="center"/>
    </xf>
    <xf numFmtId="1" fontId="4" fillId="17" borderId="0" xfId="9" applyNumberFormat="1" applyFont="1" applyFill="1"/>
    <xf numFmtId="0" fontId="0" fillId="17" borderId="8" xfId="0" applyFill="1" applyBorder="1"/>
    <xf numFmtId="1" fontId="0" fillId="17" borderId="2" xfId="0" applyNumberFormat="1" applyFill="1" applyBorder="1"/>
    <xf numFmtId="2" fontId="4" fillId="0" borderId="0" xfId="10" applyNumberFormat="1"/>
    <xf numFmtId="0" fontId="4" fillId="17" borderId="0" xfId="10" applyFill="1"/>
    <xf numFmtId="0" fontId="14" fillId="5" borderId="0" xfId="3"/>
    <xf numFmtId="0" fontId="21" fillId="3" borderId="3" xfId="1" applyFont="1" applyBorder="1" applyAlignment="1">
      <alignment wrapText="1"/>
    </xf>
    <xf numFmtId="0" fontId="14" fillId="0" borderId="0" xfId="4" applyFill="1"/>
    <xf numFmtId="0" fontId="21" fillId="3" borderId="4" xfId="1" applyFont="1" applyBorder="1" applyAlignment="1">
      <alignment horizontal="left" wrapText="1"/>
    </xf>
    <xf numFmtId="166" fontId="8" fillId="0" borderId="16" xfId="0" applyNumberFormat="1" applyFont="1" applyBorder="1" applyAlignment="1">
      <alignment horizontal="left" vertical="center"/>
    </xf>
    <xf numFmtId="0" fontId="0" fillId="0" borderId="1" xfId="0" applyBorder="1"/>
    <xf numFmtId="0" fontId="0" fillId="0" borderId="4" xfId="0" applyBorder="1"/>
    <xf numFmtId="0" fontId="0" fillId="0" borderId="11" xfId="0" applyBorder="1"/>
    <xf numFmtId="166" fontId="9" fillId="13" borderId="10" xfId="0" applyNumberFormat="1" applyFont="1" applyFill="1" applyBorder="1" applyAlignment="1">
      <alignment horizontal="left" vertical="center"/>
    </xf>
    <xf numFmtId="1" fontId="3" fillId="13" borderId="13" xfId="0" applyNumberFormat="1" applyFont="1" applyFill="1" applyBorder="1"/>
    <xf numFmtId="166" fontId="8" fillId="0" borderId="14" xfId="0" applyNumberFormat="1" applyFont="1" applyBorder="1" applyAlignment="1">
      <alignment horizontal="left" vertical="center"/>
    </xf>
    <xf numFmtId="0" fontId="3" fillId="0" borderId="15" xfId="0" applyFont="1" applyBorder="1"/>
    <xf numFmtId="1" fontId="3" fillId="16" borderId="13" xfId="0" applyNumberFormat="1" applyFont="1" applyFill="1" applyBorder="1"/>
    <xf numFmtId="1" fontId="0" fillId="15" borderId="0" xfId="0" applyNumberFormat="1" applyFill="1"/>
    <xf numFmtId="0" fontId="0" fillId="15" borderId="0" xfId="0" applyFill="1"/>
    <xf numFmtId="1" fontId="3" fillId="15" borderId="13" xfId="0" applyNumberFormat="1" applyFont="1" applyFill="1" applyBorder="1"/>
    <xf numFmtId="1" fontId="3" fillId="15" borderId="15" xfId="0" applyNumberFormat="1" applyFont="1" applyFill="1" applyBorder="1"/>
    <xf numFmtId="1" fontId="4" fillId="16" borderId="0" xfId="0" applyNumberFormat="1" applyFont="1" applyFill="1"/>
    <xf numFmtId="0" fontId="4" fillId="0" borderId="2" xfId="10" applyBorder="1"/>
    <xf numFmtId="1" fontId="4" fillId="17" borderId="2" xfId="10" applyNumberFormat="1" applyFill="1" applyBorder="1"/>
    <xf numFmtId="2" fontId="4" fillId="16" borderId="2" xfId="10" applyNumberFormat="1" applyFill="1" applyBorder="1"/>
    <xf numFmtId="0" fontId="4" fillId="16" borderId="2" xfId="10" applyFill="1" applyBorder="1"/>
    <xf numFmtId="1" fontId="4" fillId="0" borderId="2" xfId="10" applyNumberFormat="1" applyBorder="1"/>
    <xf numFmtId="0" fontId="0" fillId="19" borderId="0" xfId="0" applyFill="1"/>
    <xf numFmtId="1" fontId="4" fillId="16" borderId="0" xfId="10" applyNumberFormat="1" applyFill="1"/>
    <xf numFmtId="165" fontId="4" fillId="16" borderId="0" xfId="10" applyNumberFormat="1" applyFill="1"/>
    <xf numFmtId="165" fontId="4" fillId="16" borderId="2" xfId="10" applyNumberFormat="1" applyFill="1" applyBorder="1"/>
    <xf numFmtId="167" fontId="0" fillId="16" borderId="0" xfId="0" applyNumberFormat="1" applyFill="1"/>
    <xf numFmtId="167" fontId="0" fillId="0" borderId="0" xfId="0" applyNumberFormat="1"/>
    <xf numFmtId="0" fontId="21" fillId="12" borderId="3" xfId="2" applyFont="1" applyFill="1" applyBorder="1" applyAlignment="1">
      <alignment horizontal="center" wrapText="1"/>
    </xf>
    <xf numFmtId="2" fontId="4" fillId="0" borderId="2" xfId="10" applyNumberFormat="1" applyBorder="1"/>
    <xf numFmtId="168" fontId="5" fillId="0" borderId="0" xfId="0" applyNumberFormat="1" applyFont="1"/>
    <xf numFmtId="168" fontId="4" fillId="0" borderId="0" xfId="0" applyNumberFormat="1" applyFont="1"/>
    <xf numFmtId="168" fontId="3" fillId="2" borderId="1" xfId="0" applyNumberFormat="1" applyFont="1" applyFill="1" applyBorder="1" applyAlignment="1">
      <alignment horizontal="left"/>
    </xf>
    <xf numFmtId="168" fontId="3" fillId="2" borderId="4" xfId="0" applyNumberFormat="1" applyFont="1" applyFill="1" applyBorder="1" applyAlignment="1">
      <alignment horizontal="left"/>
    </xf>
    <xf numFmtId="168" fontId="21" fillId="3" borderId="3" xfId="1" applyNumberFormat="1" applyFont="1" applyBorder="1" applyAlignment="1">
      <alignment horizontal="left" wrapText="1"/>
    </xf>
    <xf numFmtId="168" fontId="0" fillId="0" borderId="0" xfId="0" applyNumberFormat="1"/>
    <xf numFmtId="168" fontId="21" fillId="3" borderId="3" xfId="1" applyNumberFormat="1" applyFont="1" applyBorder="1" applyAlignment="1">
      <alignment horizontal="center" wrapText="1"/>
    </xf>
    <xf numFmtId="168" fontId="0" fillId="0" borderId="0" xfId="0" applyNumberFormat="1" applyAlignment="1">
      <alignment wrapText="1"/>
    </xf>
    <xf numFmtId="168" fontId="4" fillId="0" borderId="0" xfId="10" applyNumberFormat="1"/>
    <xf numFmtId="168" fontId="5" fillId="0" borderId="0" xfId="10" applyNumberFormat="1" applyFont="1"/>
    <xf numFmtId="168" fontId="3" fillId="2" borderId="1" xfId="10" applyNumberFormat="1" applyFont="1" applyFill="1" applyBorder="1" applyAlignment="1">
      <alignment horizontal="left"/>
    </xf>
    <xf numFmtId="168" fontId="3" fillId="2" borderId="4" xfId="10" applyNumberFormat="1" applyFont="1" applyFill="1" applyBorder="1" applyAlignment="1">
      <alignment horizontal="left"/>
    </xf>
  </cellXfs>
  <cellStyles count="22">
    <cellStyle name="20% - Accent5" xfId="1" builtinId="46"/>
    <cellStyle name="40% - Accent3" xfId="2" builtinId="39"/>
    <cellStyle name="60% - Accent2" xfId="3" builtinId="36"/>
    <cellStyle name="Accent2" xfId="4" builtinId="33"/>
    <cellStyle name="Calculation" xfId="5" builtinId="22"/>
    <cellStyle name="Comma 2" xfId="6" xr:uid="{00000000-0005-0000-0000-000005000000}"/>
    <cellStyle name="Good" xfId="7" builtinId="26"/>
    <cellStyle name="Input" xfId="8" builtinId="20"/>
    <cellStyle name="Neutral" xfId="9" builtinId="28"/>
    <cellStyle name="Normal" xfId="0" builtinId="0"/>
    <cellStyle name="Normal 10" xfId="10" xr:uid="{00000000-0005-0000-0000-00000A000000}"/>
    <cellStyle name="Normal 2" xfId="11" xr:uid="{00000000-0005-0000-0000-00000B000000}"/>
    <cellStyle name="Normal 4" xfId="12" xr:uid="{00000000-0005-0000-0000-00000C000000}"/>
    <cellStyle name="Normal 4 2" xfId="13" xr:uid="{00000000-0005-0000-0000-00000D000000}"/>
    <cellStyle name="Normal 8" xfId="14" xr:uid="{00000000-0005-0000-0000-00000E000000}"/>
    <cellStyle name="Normal 9 2" xfId="15" xr:uid="{00000000-0005-0000-0000-00000F000000}"/>
    <cellStyle name="Normale_B2020" xfId="16" xr:uid="{00000000-0005-0000-0000-000010000000}"/>
    <cellStyle name="Percent" xfId="17" builtinId="5"/>
    <cellStyle name="Percent 2" xfId="18" xr:uid="{00000000-0005-0000-0000-000012000000}"/>
    <cellStyle name="Percent 3" xfId="19" xr:uid="{00000000-0005-0000-0000-000013000000}"/>
    <cellStyle name="Percent 4" xfId="20" xr:uid="{00000000-0005-0000-0000-000014000000}"/>
    <cellStyle name="Standard_Sce_D_Extraction" xfId="21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703367</xdr:colOff>
      <xdr:row>26</xdr:row>
      <xdr:rowOff>20955</xdr:rowOff>
    </xdr:from>
    <xdr:to>
      <xdr:col>11</xdr:col>
      <xdr:colOff>703367</xdr:colOff>
      <xdr:row>31</xdr:row>
      <xdr:rowOff>150427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C163A3F-8E5B-4901-B7BF-D299C95EA797}"/>
            </a:ext>
          </a:extLst>
        </xdr:cNvPr>
        <xdr:cNvSpPr txBox="1"/>
      </xdr:nvSpPr>
      <xdr:spPr>
        <a:xfrm>
          <a:off x="5133974" y="4802717"/>
          <a:ext cx="4327525" cy="9588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Column B</a:t>
          </a:r>
          <a:r>
            <a:rPr lang="en-GB" sz="1100"/>
            <a:t> (rows</a:t>
          </a:r>
          <a:r>
            <a:rPr lang="en-GB" sz="1100" baseline="0"/>
            <a:t> 5 -24) is used to set up the technology and commoditiy names and descriptions in the model.</a:t>
          </a:r>
        </a:p>
        <a:p>
          <a:endParaRPr lang="en-GB" sz="1100" baseline="0"/>
        </a:p>
        <a:p>
          <a:r>
            <a:rPr lang="en-GB" sz="1100" baseline="0"/>
            <a:t>Row 2 and Row 5 are used to build  techology and commodity names and descriptions in the model.</a:t>
          </a:r>
          <a:endParaRPr lang="en-GB" sz="1100"/>
        </a:p>
      </xdr:txBody>
    </xdr:sp>
    <xdr:clientData/>
  </xdr:twoCellAnchor>
  <xdr:twoCellAnchor>
    <xdr:from>
      <xdr:col>7</xdr:col>
      <xdr:colOff>24340</xdr:colOff>
      <xdr:row>34</xdr:row>
      <xdr:rowOff>9314</xdr:rowOff>
    </xdr:from>
    <xdr:to>
      <xdr:col>13</xdr:col>
      <xdr:colOff>22246</xdr:colOff>
      <xdr:row>38</xdr:row>
      <xdr:rowOff>36890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3B80DE28-5D66-4E67-9FE5-0E352CEED71A}"/>
            </a:ext>
          </a:extLst>
        </xdr:cNvPr>
        <xdr:cNvSpPr txBox="1"/>
      </xdr:nvSpPr>
      <xdr:spPr>
        <a:xfrm>
          <a:off x="5888565" y="6091767"/>
          <a:ext cx="4334935" cy="6731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0"/>
            <a:t>This share</a:t>
          </a:r>
          <a:r>
            <a:rPr lang="en-GB" sz="1100" b="0" baseline="0"/>
            <a:t> is used to split the total domestic production in more than one step. In this way it is possible to set up in the model a supply curve defined by the maximum production and cost</a:t>
          </a:r>
          <a:endParaRPr lang="en-GB" sz="1100" b="0"/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0062FBA-3665-4C76-BAB1-D96764D6064A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173354</xdr:colOff>
      <xdr:row>14</xdr:row>
      <xdr:rowOff>144780</xdr:rowOff>
    </xdr:from>
    <xdr:to>
      <xdr:col>17</xdr:col>
      <xdr:colOff>57254</xdr:colOff>
      <xdr:row>19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1533A-EAA8-41C9-A01C-9AA073BC7E31}"/>
            </a:ext>
          </a:extLst>
        </xdr:cNvPr>
        <xdr:cNvSpPr txBox="1"/>
      </xdr:nvSpPr>
      <xdr:spPr>
        <a:xfrm>
          <a:off x="6863714" y="3124200"/>
          <a:ext cx="6246600" cy="8362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total primary supply coal demand commodity and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total primary supply coal demand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18</xdr:row>
      <xdr:rowOff>0</xdr:rowOff>
    </xdr:from>
    <xdr:to>
      <xdr:col>16</xdr:col>
      <xdr:colOff>3844732</xdr:colOff>
      <xdr:row>24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60B21-86D2-47E5-9A6D-FDAC9634EDD5}"/>
            </a:ext>
          </a:extLst>
        </xdr:cNvPr>
        <xdr:cNvSpPr txBox="1"/>
      </xdr:nvSpPr>
      <xdr:spPr>
        <a:xfrm>
          <a:off x="9800167" y="4011083"/>
          <a:ext cx="6011333" cy="102870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car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transport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transport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technologies to deliver the transport car demand.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87629</xdr:colOff>
      <xdr:row>14</xdr:row>
      <xdr:rowOff>144780</xdr:rowOff>
    </xdr:from>
    <xdr:to>
      <xdr:col>19</xdr:col>
      <xdr:colOff>152504</xdr:colOff>
      <xdr:row>21</xdr:row>
      <xdr:rowOff>43867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3A7F99-5BD8-4E0C-A603-A429EF6F7122}"/>
            </a:ext>
          </a:extLst>
        </xdr:cNvPr>
        <xdr:cNvSpPr txBox="1"/>
      </xdr:nvSpPr>
      <xdr:spPr>
        <a:xfrm>
          <a:off x="9284969" y="2994660"/>
          <a:ext cx="7343878" cy="108204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demand residential sector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 demand commodity and  residential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demand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deliver the  residential demand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81915</xdr:colOff>
      <xdr:row>15</xdr:row>
      <xdr:rowOff>144780</xdr:rowOff>
    </xdr:from>
    <xdr:to>
      <xdr:col>6</xdr:col>
      <xdr:colOff>342886</xdr:colOff>
      <xdr:row>19</xdr:row>
      <xdr:rowOff>43815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330D20E-09C2-4F27-89D7-B439181E8CEE}"/>
            </a:ext>
          </a:extLst>
        </xdr:cNvPr>
        <xdr:cNvSpPr txBox="1"/>
      </xdr:nvSpPr>
      <xdr:spPr>
        <a:xfrm>
          <a:off x="91440" y="3147060"/>
          <a:ext cx="4514844" cy="56959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Define the demand value for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each period.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17</xdr:row>
      <xdr:rowOff>19050</xdr:rowOff>
    </xdr:from>
    <xdr:to>
      <xdr:col>2</xdr:col>
      <xdr:colOff>285750</xdr:colOff>
      <xdr:row>30</xdr:row>
      <xdr:rowOff>152400</xdr:rowOff>
    </xdr:to>
    <xdr:pic>
      <xdr:nvPicPr>
        <xdr:cNvPr id="58167" name="Picture 6">
          <a:extLst>
            <a:ext uri="{FF2B5EF4-FFF2-40B4-BE49-F238E27FC236}">
              <a16:creationId xmlns:a16="http://schemas.microsoft.com/office/drawing/2014/main" id="{435952CD-A4A6-4A05-B6A5-FFFA2FEAD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5" y="2809875"/>
          <a:ext cx="800100" cy="2238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12</xdr:col>
      <xdr:colOff>0</xdr:colOff>
      <xdr:row>128</xdr:row>
      <xdr:rowOff>9525</xdr:rowOff>
    </xdr:from>
    <xdr:to>
      <xdr:col>18</xdr:col>
      <xdr:colOff>561975</xdr:colOff>
      <xdr:row>139</xdr:row>
      <xdr:rowOff>133350</xdr:rowOff>
    </xdr:to>
    <xdr:pic>
      <xdr:nvPicPr>
        <xdr:cNvPr id="58168" name="Picture 8">
          <a:extLst>
            <a:ext uri="{FF2B5EF4-FFF2-40B4-BE49-F238E27FC236}">
              <a16:creationId xmlns:a16="http://schemas.microsoft.com/office/drawing/2014/main" id="{5CE82AD8-C54C-4D50-A2E2-D46F5BB652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419850" y="20774025"/>
          <a:ext cx="4086225" cy="1905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18</xdr:row>
      <xdr:rowOff>19050</xdr:rowOff>
    </xdr:from>
    <xdr:to>
      <xdr:col>23</xdr:col>
      <xdr:colOff>428625</xdr:colOff>
      <xdr:row>28</xdr:row>
      <xdr:rowOff>142875</xdr:rowOff>
    </xdr:to>
    <xdr:pic>
      <xdr:nvPicPr>
        <xdr:cNvPr id="58169" name="Picture 3">
          <a:extLst>
            <a:ext uri="{FF2B5EF4-FFF2-40B4-BE49-F238E27FC236}">
              <a16:creationId xmlns:a16="http://schemas.microsoft.com/office/drawing/2014/main" id="{BDE42BAE-97CA-4821-89D5-107D662C7E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2971800"/>
          <a:ext cx="2609850" cy="1743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28</xdr:row>
      <xdr:rowOff>142875</xdr:rowOff>
    </xdr:from>
    <xdr:to>
      <xdr:col>23</xdr:col>
      <xdr:colOff>428625</xdr:colOff>
      <xdr:row>38</xdr:row>
      <xdr:rowOff>123825</xdr:rowOff>
    </xdr:to>
    <xdr:pic>
      <xdr:nvPicPr>
        <xdr:cNvPr id="58170" name="Picture 21">
          <a:extLst>
            <a:ext uri="{FF2B5EF4-FFF2-40B4-BE49-F238E27FC236}">
              <a16:creationId xmlns:a16="http://schemas.microsoft.com/office/drawing/2014/main" id="{A2009485-5DBB-44C5-98BD-F0788EC8414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4714875"/>
          <a:ext cx="2609850" cy="16002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11</xdr:col>
      <xdr:colOff>28575</xdr:colOff>
      <xdr:row>18</xdr:row>
      <xdr:rowOff>47625</xdr:rowOff>
    </xdr:from>
    <xdr:to>
      <xdr:col>17</xdr:col>
      <xdr:colOff>66675</xdr:colOff>
      <xdr:row>37</xdr:row>
      <xdr:rowOff>9525</xdr:rowOff>
    </xdr:to>
    <xdr:pic>
      <xdr:nvPicPr>
        <xdr:cNvPr id="58171" name="Picture 18">
          <a:extLst>
            <a:ext uri="{FF2B5EF4-FFF2-40B4-BE49-F238E27FC236}">
              <a16:creationId xmlns:a16="http://schemas.microsoft.com/office/drawing/2014/main" id="{24B10EA7-B79A-457B-9D91-1C11919002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50" y="3000375"/>
          <a:ext cx="3400425" cy="3038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18</xdr:row>
      <xdr:rowOff>28575</xdr:rowOff>
    </xdr:from>
    <xdr:to>
      <xdr:col>8</xdr:col>
      <xdr:colOff>552450</xdr:colOff>
      <xdr:row>30</xdr:row>
      <xdr:rowOff>76200</xdr:rowOff>
    </xdr:to>
    <xdr:pic>
      <xdr:nvPicPr>
        <xdr:cNvPr id="58172" name="Picture 3">
          <a:extLst>
            <a:ext uri="{FF2B5EF4-FFF2-40B4-BE49-F238E27FC236}">
              <a16:creationId xmlns:a16="http://schemas.microsoft.com/office/drawing/2014/main" id="{AB44670E-0BC7-41EF-A231-A53D58F72F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2981325"/>
          <a:ext cx="3600450" cy="19907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30</xdr:row>
      <xdr:rowOff>66675</xdr:rowOff>
    </xdr:from>
    <xdr:to>
      <xdr:col>8</xdr:col>
      <xdr:colOff>552450</xdr:colOff>
      <xdr:row>43</xdr:row>
      <xdr:rowOff>28575</xdr:rowOff>
    </xdr:to>
    <xdr:pic>
      <xdr:nvPicPr>
        <xdr:cNvPr id="58173" name="Picture 4">
          <a:extLst>
            <a:ext uri="{FF2B5EF4-FFF2-40B4-BE49-F238E27FC236}">
              <a16:creationId xmlns:a16="http://schemas.microsoft.com/office/drawing/2014/main" id="{1DAAD73A-EC01-4711-A90B-A5E0802751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4962525"/>
          <a:ext cx="3600450" cy="2066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43</xdr:row>
      <xdr:rowOff>9525</xdr:rowOff>
    </xdr:from>
    <xdr:to>
      <xdr:col>8</xdr:col>
      <xdr:colOff>552450</xdr:colOff>
      <xdr:row>56</xdr:row>
      <xdr:rowOff>9525</xdr:rowOff>
    </xdr:to>
    <xdr:pic>
      <xdr:nvPicPr>
        <xdr:cNvPr id="58174" name="Picture 5">
          <a:extLst>
            <a:ext uri="{FF2B5EF4-FFF2-40B4-BE49-F238E27FC236}">
              <a16:creationId xmlns:a16="http://schemas.microsoft.com/office/drawing/2014/main" id="{48A2940A-3D47-47C0-9AA5-A12B5F8173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7010400"/>
          <a:ext cx="3600450" cy="2105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55</xdr:row>
      <xdr:rowOff>152400</xdr:rowOff>
    </xdr:from>
    <xdr:to>
      <xdr:col>8</xdr:col>
      <xdr:colOff>552450</xdr:colOff>
      <xdr:row>65</xdr:row>
      <xdr:rowOff>57150</xdr:rowOff>
    </xdr:to>
    <xdr:pic>
      <xdr:nvPicPr>
        <xdr:cNvPr id="58175" name="Picture 6">
          <a:extLst>
            <a:ext uri="{FF2B5EF4-FFF2-40B4-BE49-F238E27FC236}">
              <a16:creationId xmlns:a16="http://schemas.microsoft.com/office/drawing/2014/main" id="{67017F06-4A92-4C64-9AC8-CB97C49BEE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9096375"/>
          <a:ext cx="3600450" cy="1524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3</xdr:col>
      <xdr:colOff>0</xdr:colOff>
      <xdr:row>64</xdr:row>
      <xdr:rowOff>133350</xdr:rowOff>
    </xdr:from>
    <xdr:to>
      <xdr:col>8</xdr:col>
      <xdr:colOff>552450</xdr:colOff>
      <xdr:row>73</xdr:row>
      <xdr:rowOff>152400</xdr:rowOff>
    </xdr:to>
    <xdr:pic>
      <xdr:nvPicPr>
        <xdr:cNvPr id="58176" name="Picture 7">
          <a:extLst>
            <a:ext uri="{FF2B5EF4-FFF2-40B4-BE49-F238E27FC236}">
              <a16:creationId xmlns:a16="http://schemas.microsoft.com/office/drawing/2014/main" id="{F0C39636-4D50-4EEE-B9E7-B1BA158801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5375" y="10534650"/>
          <a:ext cx="3600450" cy="14763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19</xdr:col>
      <xdr:colOff>9525</xdr:colOff>
      <xdr:row>38</xdr:row>
      <xdr:rowOff>123825</xdr:rowOff>
    </xdr:from>
    <xdr:to>
      <xdr:col>23</xdr:col>
      <xdr:colOff>438150</xdr:colOff>
      <xdr:row>46</xdr:row>
      <xdr:rowOff>28575</xdr:rowOff>
    </xdr:to>
    <xdr:pic>
      <xdr:nvPicPr>
        <xdr:cNvPr id="58177" name="Picture 8">
          <a:extLst>
            <a:ext uri="{FF2B5EF4-FFF2-40B4-BE49-F238E27FC236}">
              <a16:creationId xmlns:a16="http://schemas.microsoft.com/office/drawing/2014/main" id="{495A271C-D30B-4001-ADF8-0AF1EF85A2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563225" y="6315075"/>
          <a:ext cx="2619375" cy="12001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5</xdr:col>
      <xdr:colOff>0</xdr:colOff>
      <xdr:row>1</xdr:row>
      <xdr:rowOff>0</xdr:rowOff>
    </xdr:from>
    <xdr:to>
      <xdr:col>10</xdr:col>
      <xdr:colOff>40893</xdr:colOff>
      <xdr:row>11</xdr:row>
      <xdr:rowOff>117238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7ED807C5-C0A4-4C88-A12B-531A91383B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2301875" y="158750"/>
          <a:ext cx="3057143" cy="189523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13</xdr:col>
      <xdr:colOff>2299252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9B22B65-46BB-4E15-95C9-5032A4724B83}"/>
            </a:ext>
          </a:extLst>
        </xdr:cNvPr>
        <xdr:cNvSpPr txBox="1"/>
      </xdr:nvSpPr>
      <xdr:spPr>
        <a:xfrm>
          <a:off x="6505575" y="3733800"/>
          <a:ext cx="445770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coal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coal supply curve, along with and import and export option.</a:t>
          </a:r>
        </a:p>
      </xdr:txBody>
    </xdr:sp>
    <xdr:clientData/>
  </xdr:twoCellAnchor>
  <xdr:twoCellAnchor editAs="oneCell">
    <xdr:from>
      <xdr:col>0</xdr:col>
      <xdr:colOff>114300</xdr:colOff>
      <xdr:row>32</xdr:row>
      <xdr:rowOff>19050</xdr:rowOff>
    </xdr:from>
    <xdr:to>
      <xdr:col>10</xdr:col>
      <xdr:colOff>66675</xdr:colOff>
      <xdr:row>50</xdr:row>
      <xdr:rowOff>47625</xdr:rowOff>
    </xdr:to>
    <xdr:pic>
      <xdr:nvPicPr>
        <xdr:cNvPr id="24186" name="Picture 2">
          <a:extLst>
            <a:ext uri="{FF2B5EF4-FFF2-40B4-BE49-F238E27FC236}">
              <a16:creationId xmlns:a16="http://schemas.microsoft.com/office/drawing/2014/main" id="{50E6A9CA-AC32-4673-AAAD-19207ADB2B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0" y="5734050"/>
          <a:ext cx="6181725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19</xdr:row>
      <xdr:rowOff>0</xdr:rowOff>
    </xdr:from>
    <xdr:to>
      <xdr:col>13</xdr:col>
      <xdr:colOff>2325972</xdr:colOff>
      <xdr:row>24</xdr:row>
      <xdr:rowOff>150514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80125183-CF68-40D8-9BA0-A6644388E94C}"/>
            </a:ext>
          </a:extLst>
        </xdr:cNvPr>
        <xdr:cNvSpPr txBox="1"/>
      </xdr:nvSpPr>
      <xdr:spPr>
        <a:xfrm>
          <a:off x="6515100" y="3733800"/>
          <a:ext cx="4467225" cy="9620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gas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gas supply curve, along with and import and export option.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19</xdr:row>
      <xdr:rowOff>0</xdr:rowOff>
    </xdr:from>
    <xdr:to>
      <xdr:col>14</xdr:col>
      <xdr:colOff>0</xdr:colOff>
      <xdr:row>25</xdr:row>
      <xdr:rowOff>76200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C5E36C7-3823-493D-91A1-8A0336D4BDBC}"/>
            </a:ext>
          </a:extLst>
        </xdr:cNvPr>
        <xdr:cNvSpPr txBox="1"/>
      </xdr:nvSpPr>
      <xdr:spPr>
        <a:xfrm>
          <a:off x="6457950" y="3733800"/>
          <a:ext cx="44862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oil an energy commodity (FI_COMM table) and define each supply option (FI_Process table).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3-step domestic oil supply curve, along with and import and export option.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</xdr:colOff>
      <xdr:row>13</xdr:row>
      <xdr:rowOff>9525</xdr:rowOff>
    </xdr:from>
    <xdr:to>
      <xdr:col>13</xdr:col>
      <xdr:colOff>2695515</xdr:colOff>
      <xdr:row>19</xdr:row>
      <xdr:rowOff>85725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7A7CEF7-5E1A-4F73-8917-E44FE9D8FC7C}"/>
            </a:ext>
          </a:extLst>
        </xdr:cNvPr>
        <xdr:cNvSpPr txBox="1"/>
      </xdr:nvSpPr>
      <xdr:spPr>
        <a:xfrm>
          <a:off x="6362700" y="2952750"/>
          <a:ext cx="4781550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reneable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renewable commodity.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16</xdr:row>
      <xdr:rowOff>0</xdr:rowOff>
    </xdr:from>
    <xdr:to>
      <xdr:col>13</xdr:col>
      <xdr:colOff>2482215</xdr:colOff>
      <xdr:row>21</xdr:row>
      <xdr:rowOff>150512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C00CF51-169B-4899-A08D-A72C03849054}"/>
            </a:ext>
          </a:extLst>
        </xdr:cNvPr>
        <xdr:cNvSpPr txBox="1"/>
      </xdr:nvSpPr>
      <xdr:spPr>
        <a:xfrm>
          <a:off x="6353175" y="3124200"/>
          <a:ext cx="4791075" cy="1047750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nuclear an energy commodity (FI_COMM table) and define each supply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technology to make available the nuclear commodity.</a:t>
          </a:r>
          <a:endParaRPr lang="en-GB">
            <a:effectLst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</xdr:colOff>
      <xdr:row>24</xdr:row>
      <xdr:rowOff>19050</xdr:rowOff>
    </xdr:from>
    <xdr:to>
      <xdr:col>11</xdr:col>
      <xdr:colOff>4293870</xdr:colOff>
      <xdr:row>30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39091DA-3837-4586-97D8-98AC7413A0E1}"/>
            </a:ext>
          </a:extLst>
        </xdr:cNvPr>
        <xdr:cNvSpPr txBox="1"/>
      </xdr:nvSpPr>
      <xdr:spPr>
        <a:xfrm>
          <a:off x="5871210" y="4724400"/>
          <a:ext cx="6557010" cy="9810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sectoral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energy commodities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(FI_COMM table) and define each ssectoral fuel technology option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fuel technology to convert the fuel commodity name from the supply sector to a sectoral specific fuel commodity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(e.g. from GAS to RSDGAS)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23916</xdr:colOff>
      <xdr:row>21</xdr:row>
      <xdr:rowOff>11854</xdr:rowOff>
    </xdr:from>
    <xdr:to>
      <xdr:col>25</xdr:col>
      <xdr:colOff>38079</xdr:colOff>
      <xdr:row>27</xdr:row>
      <xdr:rowOff>12732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5E2B285-BF10-4268-BE15-FD8DCCBDBF54}"/>
            </a:ext>
          </a:extLst>
        </xdr:cNvPr>
        <xdr:cNvSpPr txBox="1"/>
      </xdr:nvSpPr>
      <xdr:spPr>
        <a:xfrm>
          <a:off x="12942991" y="4524587"/>
          <a:ext cx="7025622" cy="1016878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Declare  electricity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energy commodity and  electricity plants carbon dioxide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 environmental commodity (FI_COMM table) and define power plant options (FI_Process table).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Construct a power plant option for each fuel commodity.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51"/>
  <sheetViews>
    <sheetView tabSelected="1" zoomScale="90" zoomScaleNormal="90" workbookViewId="0"/>
  </sheetViews>
  <sheetFormatPr defaultRowHeight="12.75" x14ac:dyDescent="0.35"/>
  <cols>
    <col min="1" max="1" width="3" bestFit="1" customWidth="1"/>
    <col min="2" max="2" width="18.3984375" bestFit="1" customWidth="1"/>
    <col min="3" max="3" width="41.1328125" bestFit="1" customWidth="1"/>
    <col min="4" max="5" width="12.73046875" customWidth="1"/>
    <col min="6" max="6" width="13.73046875" bestFit="1" customWidth="1"/>
    <col min="7" max="11" width="12.73046875" customWidth="1"/>
    <col min="12" max="13" width="10.86328125" customWidth="1"/>
    <col min="14" max="14" width="12.59765625" bestFit="1" customWidth="1"/>
    <col min="15" max="15" width="2" bestFit="1" customWidth="1"/>
    <col min="16" max="16" width="12.265625" bestFit="1" customWidth="1"/>
    <col min="18" max="18" width="6.73046875" bestFit="1" customWidth="1"/>
    <col min="19" max="19" width="9.265625" bestFit="1" customWidth="1"/>
    <col min="20" max="20" width="2" bestFit="1" customWidth="1"/>
  </cols>
  <sheetData>
    <row r="1" spans="2:19" ht="13.15" x14ac:dyDescent="0.4">
      <c r="P1" s="24" t="s">
        <v>117</v>
      </c>
      <c r="Q1" s="1" t="s">
        <v>118</v>
      </c>
      <c r="R1" s="1" t="s">
        <v>119</v>
      </c>
      <c r="S1" s="1" t="s">
        <v>133</v>
      </c>
    </row>
    <row r="2" spans="2:19" ht="15.75" x14ac:dyDescent="0.5">
      <c r="D2" s="51" t="s">
        <v>47</v>
      </c>
      <c r="E2" s="51" t="s">
        <v>48</v>
      </c>
      <c r="F2" s="51" t="s">
        <v>49</v>
      </c>
      <c r="G2" s="51" t="s">
        <v>50</v>
      </c>
      <c r="H2" s="51" t="s">
        <v>51</v>
      </c>
      <c r="I2" s="51" t="s">
        <v>52</v>
      </c>
      <c r="J2" s="51" t="s">
        <v>53</v>
      </c>
      <c r="K2" s="51" t="s">
        <v>54</v>
      </c>
      <c r="L2" s="33"/>
      <c r="Q2" s="49" t="s">
        <v>178</v>
      </c>
      <c r="R2" s="13" t="s">
        <v>97</v>
      </c>
      <c r="S2" s="13" t="s">
        <v>134</v>
      </c>
    </row>
    <row r="3" spans="2:19" ht="40.9" customHeight="1" x14ac:dyDescent="0.4">
      <c r="C3" s="8"/>
      <c r="D3" s="52" t="s">
        <v>55</v>
      </c>
      <c r="E3" s="52" t="s">
        <v>56</v>
      </c>
      <c r="F3" s="52" t="s">
        <v>198</v>
      </c>
      <c r="G3" s="52" t="s">
        <v>57</v>
      </c>
      <c r="H3" s="52" t="s">
        <v>58</v>
      </c>
      <c r="I3" s="52" t="s">
        <v>59</v>
      </c>
      <c r="J3" s="52" t="s">
        <v>60</v>
      </c>
      <c r="K3" s="52" t="s">
        <v>110</v>
      </c>
      <c r="L3" s="47" t="s">
        <v>61</v>
      </c>
    </row>
    <row r="4" spans="2:19" x14ac:dyDescent="0.35">
      <c r="C4" s="129" t="s">
        <v>62</v>
      </c>
      <c r="D4" s="130"/>
      <c r="E4" s="130"/>
      <c r="F4" s="130"/>
      <c r="G4" s="131"/>
      <c r="H4" s="131"/>
      <c r="I4" s="131"/>
      <c r="J4" s="131"/>
      <c r="K4" s="131"/>
      <c r="L4" s="132"/>
    </row>
    <row r="5" spans="2:19" ht="14.25" x14ac:dyDescent="0.45">
      <c r="B5" s="53" t="s">
        <v>63</v>
      </c>
      <c r="C5" s="133" t="s">
        <v>64</v>
      </c>
      <c r="D5" s="62">
        <v>8098.3580000000002</v>
      </c>
      <c r="E5" s="61">
        <v>7899.4970000000003</v>
      </c>
      <c r="F5" s="61">
        <v>5378.5119999999997</v>
      </c>
      <c r="G5" s="50">
        <v>10775.148999999999</v>
      </c>
      <c r="H5" s="50">
        <v>5026.6000000000004</v>
      </c>
      <c r="I5" s="50">
        <v>0</v>
      </c>
      <c r="J5" s="50">
        <v>0</v>
      </c>
      <c r="K5" s="50">
        <v>0</v>
      </c>
      <c r="L5" s="134">
        <f>SUM(D5:K5)</f>
        <v>37178.115999999995</v>
      </c>
      <c r="P5" s="9"/>
    </row>
    <row r="6" spans="2:19" ht="14.25" x14ac:dyDescent="0.45">
      <c r="B6" s="53" t="s">
        <v>65</v>
      </c>
      <c r="C6" s="133" t="s">
        <v>66</v>
      </c>
      <c r="D6" s="63">
        <v>6462.6710000000003</v>
      </c>
      <c r="E6" s="59">
        <v>13291.728999999999</v>
      </c>
      <c r="F6" s="59">
        <v>39959.980000000003</v>
      </c>
      <c r="G6" s="50">
        <v>0</v>
      </c>
      <c r="H6" s="50">
        <v>113.01900000000001</v>
      </c>
      <c r="I6" s="50">
        <v>7.0000000000000001E-3</v>
      </c>
      <c r="J6" s="50">
        <v>0.153</v>
      </c>
      <c r="K6" s="50">
        <v>1167.52</v>
      </c>
      <c r="L6" s="134">
        <f>SUM(D6:K6)</f>
        <v>60995.078999999998</v>
      </c>
    </row>
    <row r="7" spans="2:19" ht="14.25" x14ac:dyDescent="0.45">
      <c r="B7" s="53" t="s">
        <v>67</v>
      </c>
      <c r="C7" s="133" t="s">
        <v>68</v>
      </c>
      <c r="D7" s="63">
        <v>-1147.069</v>
      </c>
      <c r="E7" s="59">
        <v>-2516.3310000000001</v>
      </c>
      <c r="F7" s="59">
        <v>-14830.662</v>
      </c>
      <c r="G7" s="50">
        <v>0</v>
      </c>
      <c r="H7" s="50">
        <v>-72.403999999999996</v>
      </c>
      <c r="I7" s="50">
        <v>0</v>
      </c>
      <c r="J7" s="50">
        <v>-0.129</v>
      </c>
      <c r="K7" s="50">
        <v>-1126.8040000000001</v>
      </c>
      <c r="L7" s="134">
        <f>SUM(D7:K7)</f>
        <v>-19693.399000000001</v>
      </c>
      <c r="P7" s="9"/>
    </row>
    <row r="8" spans="2:19" ht="14.25" x14ac:dyDescent="0.45">
      <c r="B8" s="125" t="s">
        <v>191</v>
      </c>
      <c r="C8" s="67" t="s">
        <v>192</v>
      </c>
      <c r="D8" s="68">
        <f t="shared" ref="D8:L8" si="0">SUM(D5:D7)</f>
        <v>13413.960000000001</v>
      </c>
      <c r="E8" s="69">
        <f t="shared" si="0"/>
        <v>18674.894999999997</v>
      </c>
      <c r="F8" s="69">
        <f t="shared" si="0"/>
        <v>30507.830000000005</v>
      </c>
      <c r="G8" s="69">
        <f t="shared" si="0"/>
        <v>10775.148999999999</v>
      </c>
      <c r="H8" s="69">
        <f t="shared" si="0"/>
        <v>5067.2150000000001</v>
      </c>
      <c r="I8" s="69">
        <f t="shared" si="0"/>
        <v>7.0000000000000001E-3</v>
      </c>
      <c r="J8" s="69">
        <f t="shared" si="0"/>
        <v>2.3999999999999994E-2</v>
      </c>
      <c r="K8" s="69">
        <f t="shared" si="0"/>
        <v>40.715999999999894</v>
      </c>
      <c r="L8" s="70">
        <f t="shared" si="0"/>
        <v>78479.795999999988</v>
      </c>
    </row>
    <row r="9" spans="2:19" ht="13.15" x14ac:dyDescent="0.4">
      <c r="B9" s="48"/>
      <c r="C9" s="135" t="s">
        <v>69</v>
      </c>
      <c r="D9" s="8"/>
      <c r="E9" s="8"/>
      <c r="F9" s="8"/>
      <c r="G9" s="8"/>
      <c r="H9" s="8"/>
      <c r="I9" s="8"/>
      <c r="J9" s="8"/>
      <c r="K9" s="8"/>
      <c r="L9" s="136"/>
    </row>
    <row r="10" spans="2:19" ht="13.15" x14ac:dyDescent="0.4">
      <c r="B10" s="53" t="s">
        <v>70</v>
      </c>
      <c r="C10" s="72" t="s">
        <v>71</v>
      </c>
      <c r="D10" s="55">
        <v>-57.637999999999998</v>
      </c>
      <c r="E10" s="55">
        <v>-792.98</v>
      </c>
      <c r="F10" s="55">
        <v>-1848.605</v>
      </c>
      <c r="G10" s="55">
        <v>0</v>
      </c>
      <c r="H10" s="55">
        <v>-4.2830000000000004</v>
      </c>
      <c r="I10" s="55">
        <v>-1.52</v>
      </c>
      <c r="J10" s="56">
        <v>0</v>
      </c>
      <c r="K10" s="56">
        <v>0</v>
      </c>
      <c r="L10" s="137">
        <f>SUM(D10:K10)</f>
        <v>-2705.0259999999998</v>
      </c>
    </row>
    <row r="11" spans="2:19" ht="14.25" x14ac:dyDescent="0.45">
      <c r="B11" s="53" t="s">
        <v>54</v>
      </c>
      <c r="C11" s="73" t="s">
        <v>72</v>
      </c>
      <c r="D11" s="59">
        <v>-9598.1200000000008</v>
      </c>
      <c r="E11" s="59">
        <v>-5635.5439999999999</v>
      </c>
      <c r="F11" s="59">
        <v>-1224.6089999999999</v>
      </c>
      <c r="G11" s="59">
        <v>-10775.148999999999</v>
      </c>
      <c r="H11" s="59">
        <v>-1255.692</v>
      </c>
      <c r="I11" s="55">
        <v>-32.948999999999998</v>
      </c>
      <c r="J11" s="55">
        <v>1737.559</v>
      </c>
      <c r="K11" s="59">
        <v>11581.038888888888</v>
      </c>
      <c r="L11" s="137">
        <f>SUM(D11:K11)</f>
        <v>-15203.465111111109</v>
      </c>
    </row>
    <row r="12" spans="2:19" ht="13.15" x14ac:dyDescent="0.4">
      <c r="B12" s="53" t="s">
        <v>73</v>
      </c>
      <c r="C12" s="73" t="s">
        <v>74</v>
      </c>
      <c r="D12" s="55">
        <v>-161.39599999999999</v>
      </c>
      <c r="E12" s="55">
        <v>-301.30099999999999</v>
      </c>
      <c r="F12" s="55">
        <v>-49.649000000000001</v>
      </c>
      <c r="G12" s="55">
        <v>0</v>
      </c>
      <c r="H12" s="55">
        <v>-140.20699999999999</v>
      </c>
      <c r="I12" s="55">
        <v>-1.569</v>
      </c>
      <c r="J12" s="55">
        <v>658.74300000000005</v>
      </c>
      <c r="K12" s="55">
        <v>0</v>
      </c>
      <c r="L12" s="137">
        <f>SUM(D12:K12)</f>
        <v>4.6210000000000946</v>
      </c>
    </row>
    <row r="13" spans="2:19" ht="13.15" x14ac:dyDescent="0.4">
      <c r="B13" s="53" t="s">
        <v>75</v>
      </c>
      <c r="C13" s="73" t="s">
        <v>76</v>
      </c>
      <c r="D13" s="56"/>
      <c r="E13" s="56"/>
      <c r="F13" s="55">
        <v>-31736.460999999999</v>
      </c>
      <c r="G13" s="56"/>
      <c r="H13" s="56"/>
      <c r="I13" s="56"/>
      <c r="J13" s="56"/>
      <c r="K13" s="56"/>
      <c r="L13" s="137">
        <f>SUM(D13:K13)</f>
        <v>-31736.460999999999</v>
      </c>
    </row>
    <row r="14" spans="2:19" ht="14.25" x14ac:dyDescent="0.45">
      <c r="B14" s="48"/>
      <c r="C14" s="67" t="s">
        <v>77</v>
      </c>
      <c r="D14" s="71">
        <f t="shared" ref="D14:L14" si="1">SUM(D10:D13)</f>
        <v>-9817.1540000000023</v>
      </c>
      <c r="E14" s="69">
        <f t="shared" si="1"/>
        <v>-6729.8249999999998</v>
      </c>
      <c r="F14" s="69">
        <f t="shared" si="1"/>
        <v>-34859.324000000001</v>
      </c>
      <c r="G14" s="69">
        <f t="shared" si="1"/>
        <v>-10775.148999999999</v>
      </c>
      <c r="H14" s="69">
        <f t="shared" si="1"/>
        <v>-1400.1819999999998</v>
      </c>
      <c r="I14" s="69">
        <f t="shared" si="1"/>
        <v>-36.038000000000004</v>
      </c>
      <c r="J14" s="69">
        <f t="shared" si="1"/>
        <v>2396.3020000000001</v>
      </c>
      <c r="K14" s="69">
        <f t="shared" si="1"/>
        <v>11581.038888888888</v>
      </c>
      <c r="L14" s="70">
        <f t="shared" si="1"/>
        <v>-49640.331111111111</v>
      </c>
    </row>
    <row r="15" spans="2:19" ht="13.15" x14ac:dyDescent="0.4">
      <c r="B15" s="48"/>
      <c r="C15" s="135" t="s">
        <v>78</v>
      </c>
      <c r="D15" s="8"/>
      <c r="E15" s="8"/>
      <c r="F15" s="8"/>
      <c r="G15" s="8"/>
      <c r="H15" s="8"/>
      <c r="I15" s="8"/>
      <c r="J15" s="8"/>
      <c r="K15" s="8"/>
      <c r="L15" s="136"/>
    </row>
    <row r="16" spans="2:19" ht="14.25" x14ac:dyDescent="0.45">
      <c r="B16" s="53" t="s">
        <v>79</v>
      </c>
      <c r="C16" s="74" t="s">
        <v>80</v>
      </c>
      <c r="D16" s="138">
        <v>356.55500000000001</v>
      </c>
      <c r="E16" s="59">
        <v>5159.7929999999997</v>
      </c>
      <c r="F16" s="138">
        <v>2289.2930000000001</v>
      </c>
      <c r="G16" s="139">
        <v>0</v>
      </c>
      <c r="H16" s="138">
        <v>1293.9269999999999</v>
      </c>
      <c r="I16" s="138">
        <v>0</v>
      </c>
      <c r="J16" s="138">
        <v>865.48500000000001</v>
      </c>
      <c r="K16" s="138">
        <v>2871.7420000000002</v>
      </c>
      <c r="L16" s="140">
        <f t="shared" ref="L16:L23" si="2">SUM(D16:K16)</f>
        <v>12836.795</v>
      </c>
    </row>
    <row r="17" spans="2:13" ht="13.15" x14ac:dyDescent="0.4">
      <c r="B17" s="53" t="s">
        <v>81</v>
      </c>
      <c r="C17" s="75" t="s">
        <v>82</v>
      </c>
      <c r="D17" s="138">
        <v>56.924999999999997</v>
      </c>
      <c r="E17" s="138">
        <v>1751.73</v>
      </c>
      <c r="F17" s="138">
        <v>854.81</v>
      </c>
      <c r="G17" s="139">
        <v>0</v>
      </c>
      <c r="H17" s="138">
        <v>67.406000000000006</v>
      </c>
      <c r="I17" s="138">
        <v>1.2170000000000001</v>
      </c>
      <c r="J17" s="138">
        <v>254.64599999999999</v>
      </c>
      <c r="K17" s="138">
        <v>2527.3910000000001</v>
      </c>
      <c r="L17" s="140">
        <f t="shared" si="2"/>
        <v>5514.125</v>
      </c>
    </row>
    <row r="18" spans="2:13" ht="13.15" x14ac:dyDescent="0.4">
      <c r="B18" s="53" t="s">
        <v>83</v>
      </c>
      <c r="C18" s="75" t="s">
        <v>84</v>
      </c>
      <c r="D18" s="138">
        <v>1896.9860000000001</v>
      </c>
      <c r="E18" s="138">
        <v>4437.1610000000001</v>
      </c>
      <c r="F18" s="138">
        <v>2016.1110000000001</v>
      </c>
      <c r="G18" s="139">
        <v>0</v>
      </c>
      <c r="H18" s="138">
        <v>721.67100000000005</v>
      </c>
      <c r="I18" s="138">
        <v>117.19199999999999</v>
      </c>
      <c r="J18" s="138">
        <v>633.58299999999997</v>
      </c>
      <c r="K18" s="138">
        <v>4088.444</v>
      </c>
      <c r="L18" s="140">
        <f t="shared" si="2"/>
        <v>13911.147999999999</v>
      </c>
    </row>
    <row r="19" spans="2:13" ht="13.15" x14ac:dyDescent="0.4">
      <c r="B19" s="53" t="s">
        <v>85</v>
      </c>
      <c r="C19" s="75" t="s">
        <v>86</v>
      </c>
      <c r="D19" s="138">
        <v>44.1</v>
      </c>
      <c r="E19" s="138">
        <v>201.20599999999999</v>
      </c>
      <c r="F19" s="138">
        <v>797.37199999999996</v>
      </c>
      <c r="G19" s="139">
        <v>0</v>
      </c>
      <c r="H19" s="138">
        <v>63.085999999999999</v>
      </c>
      <c r="I19" s="138">
        <v>1E-3</v>
      </c>
      <c r="J19" s="138">
        <v>15.574</v>
      </c>
      <c r="K19" s="138">
        <v>19.386000000000003</v>
      </c>
      <c r="L19" s="140">
        <f t="shared" si="2"/>
        <v>1140.7249999999999</v>
      </c>
    </row>
    <row r="20" spans="2:13" ht="14.25" x14ac:dyDescent="0.45">
      <c r="B20" s="53" t="s">
        <v>87</v>
      </c>
      <c r="C20" s="75" t="s">
        <v>88</v>
      </c>
      <c r="D20" s="138">
        <v>0.55600000000000005</v>
      </c>
      <c r="E20" s="138">
        <v>21.248999999999999</v>
      </c>
      <c r="F20" s="59">
        <v>14851.249</v>
      </c>
      <c r="G20" s="139">
        <v>0</v>
      </c>
      <c r="H20" s="138">
        <v>130.685</v>
      </c>
      <c r="I20" s="138">
        <v>0</v>
      </c>
      <c r="J20" s="138">
        <v>0</v>
      </c>
      <c r="K20" s="138">
        <v>265.97199999999998</v>
      </c>
      <c r="L20" s="140">
        <f t="shared" si="2"/>
        <v>15269.710999999999</v>
      </c>
    </row>
    <row r="21" spans="2:13" ht="13.15" x14ac:dyDescent="0.4">
      <c r="B21" s="53" t="s">
        <v>89</v>
      </c>
      <c r="C21" s="76" t="s">
        <v>90</v>
      </c>
      <c r="D21" s="58">
        <f>IF((SUM(D16:D20,D22:D23)-SUM(D10:D12))&gt;D8,0,(D8-SUM(D16:D20,D22:D23)+SUM(D10:D12)))</f>
        <v>1189.2309999999979</v>
      </c>
      <c r="E21" s="58">
        <f>IF((SUM(E16:E20,E22:E23)-SUM(E10:E12))&gt;E8,0,(E8-SUM(E16:E20,E22:E23)+SUM(E10:E12)))</f>
        <v>0</v>
      </c>
      <c r="F21" s="58">
        <v>392.53200000000402</v>
      </c>
      <c r="G21" s="58">
        <f>IF((SUM(G16:G20,G22:G23)-SUM(G10:G12))&gt;G8,0,(G8-SUM(G16:G20,G22:G23)+SUM(G10:G12)))</f>
        <v>0</v>
      </c>
      <c r="H21" s="58">
        <f>IF((SUM(H16:H20,H22:H23)-SUM(H10:H12))&gt;H8,0,(H8-SUM(H16:H20,H22:H23)+SUM(H10:H12)))</f>
        <v>1390.2580000000007</v>
      </c>
      <c r="I21" s="58">
        <f>IF((SUM(I16:I20,I22:I23)-SUM(I10:I12))&gt;I8,0,(I8-SUM(I16:I20,I22:I23)+SUM(I10:I12)))</f>
        <v>0</v>
      </c>
      <c r="J21" s="58">
        <f>IF((SUM(J16:J20,J22:J23)-SUM(J10:J12))&gt;J8,0,(J8-SUM(J16:J20,J22:J23)+SUM(J10:J12)))</f>
        <v>627.03800000000001</v>
      </c>
      <c r="K21" s="58">
        <v>650</v>
      </c>
      <c r="L21" s="141">
        <f t="shared" si="2"/>
        <v>4249.0590000000029</v>
      </c>
    </row>
    <row r="22" spans="2:13" ht="13.15" x14ac:dyDescent="0.4">
      <c r="B22" s="53" t="s">
        <v>108</v>
      </c>
      <c r="C22" s="75" t="s">
        <v>91</v>
      </c>
      <c r="D22" s="138">
        <v>52.453000000000003</v>
      </c>
      <c r="E22" s="138">
        <v>633.82299999999998</v>
      </c>
      <c r="F22" s="138">
        <v>4072.5079999999998</v>
      </c>
      <c r="G22" s="139"/>
      <c r="H22" s="138">
        <v>0</v>
      </c>
      <c r="I22" s="138">
        <v>0</v>
      </c>
      <c r="J22" s="138">
        <v>0</v>
      </c>
      <c r="K22" s="138">
        <v>0</v>
      </c>
      <c r="L22" s="140">
        <f t="shared" si="2"/>
        <v>4758.7839999999997</v>
      </c>
    </row>
    <row r="23" spans="2:13" ht="13.15" x14ac:dyDescent="0.4">
      <c r="B23" s="53" t="s">
        <v>109</v>
      </c>
      <c r="C23" s="75" t="s">
        <v>92</v>
      </c>
      <c r="D23" s="138">
        <v>0</v>
      </c>
      <c r="E23" s="138">
        <v>0</v>
      </c>
      <c r="F23" s="138">
        <v>2111.0920000000001</v>
      </c>
      <c r="G23" s="139"/>
      <c r="H23" s="138">
        <v>0</v>
      </c>
      <c r="I23" s="138">
        <v>0</v>
      </c>
      <c r="J23" s="138">
        <v>0</v>
      </c>
      <c r="K23" s="138">
        <v>0</v>
      </c>
      <c r="L23" s="140">
        <f t="shared" si="2"/>
        <v>2111.0920000000001</v>
      </c>
    </row>
    <row r="24" spans="2:13" ht="14.25" x14ac:dyDescent="0.45">
      <c r="B24" s="125" t="s">
        <v>111</v>
      </c>
      <c r="C24" s="67" t="s">
        <v>193</v>
      </c>
      <c r="D24" s="65">
        <f t="shared" ref="D24:L24" si="3">SUM(D16:D23)</f>
        <v>3596.8059999999982</v>
      </c>
      <c r="E24" s="64">
        <f t="shared" si="3"/>
        <v>12204.962</v>
      </c>
      <c r="F24" s="64">
        <f t="shared" si="3"/>
        <v>27384.967000000001</v>
      </c>
      <c r="G24" s="64">
        <f t="shared" si="3"/>
        <v>0</v>
      </c>
      <c r="H24" s="64">
        <f t="shared" si="3"/>
        <v>3667.0330000000004</v>
      </c>
      <c r="I24" s="64">
        <f t="shared" si="3"/>
        <v>118.41</v>
      </c>
      <c r="J24" s="64">
        <f t="shared" si="3"/>
        <v>2396.326</v>
      </c>
      <c r="K24" s="65">
        <f>SUM(K16:K23)</f>
        <v>10422.934999999999</v>
      </c>
      <c r="L24" s="66">
        <f t="shared" si="3"/>
        <v>59791.438999999998</v>
      </c>
    </row>
    <row r="25" spans="2:13" x14ac:dyDescent="0.35">
      <c r="D25" s="9"/>
      <c r="F25" s="9"/>
      <c r="G25" s="9"/>
      <c r="H25" s="9"/>
      <c r="I25" s="9"/>
      <c r="J25" s="9"/>
      <c r="K25" s="9"/>
      <c r="L25" s="9"/>
    </row>
    <row r="26" spans="2:13" x14ac:dyDescent="0.35">
      <c r="D26" s="9"/>
      <c r="F26" s="9"/>
      <c r="G26" s="9"/>
      <c r="H26" s="9"/>
      <c r="I26" s="9"/>
      <c r="J26" s="9"/>
      <c r="K26" s="9"/>
      <c r="L26" s="9"/>
      <c r="M26" s="9"/>
    </row>
    <row r="27" spans="2:13" ht="14.25" x14ac:dyDescent="0.45">
      <c r="C27" s="59" t="s">
        <v>179</v>
      </c>
      <c r="D27" s="59"/>
      <c r="E27" s="59"/>
      <c r="F27" s="9"/>
      <c r="G27" s="9"/>
      <c r="H27" s="9"/>
      <c r="I27" s="9"/>
      <c r="J27" s="9"/>
      <c r="K27" s="9"/>
      <c r="L27" s="9"/>
      <c r="M27" s="9"/>
    </row>
    <row r="28" spans="2:13" x14ac:dyDescent="0.35">
      <c r="D28" s="9"/>
      <c r="F28" s="9"/>
      <c r="G28" s="9"/>
      <c r="H28" s="9"/>
      <c r="I28" s="9"/>
      <c r="J28" s="9"/>
      <c r="K28" s="9"/>
      <c r="L28" s="9"/>
      <c r="M28" s="9"/>
    </row>
    <row r="29" spans="2:13" x14ac:dyDescent="0.35">
      <c r="D29" s="9"/>
      <c r="F29" s="9"/>
      <c r="G29" s="9"/>
      <c r="H29" s="9"/>
      <c r="I29" s="9"/>
      <c r="J29" s="9"/>
      <c r="K29" s="9"/>
      <c r="L29" s="9"/>
      <c r="M29" s="9"/>
    </row>
    <row r="30" spans="2:13" x14ac:dyDescent="0.35">
      <c r="D30" s="9"/>
      <c r="F30" s="9"/>
      <c r="G30" s="9"/>
      <c r="H30" s="9"/>
      <c r="I30" s="9"/>
      <c r="J30" s="9"/>
      <c r="K30" s="9"/>
      <c r="L30" s="9"/>
      <c r="M30" s="9"/>
    </row>
    <row r="31" spans="2:13" x14ac:dyDescent="0.35">
      <c r="D31" s="9"/>
      <c r="F31" s="9"/>
      <c r="G31" s="9"/>
      <c r="H31" s="9"/>
      <c r="I31" s="9"/>
      <c r="J31" s="9"/>
      <c r="K31" s="9"/>
      <c r="L31" s="9"/>
      <c r="M31" s="9"/>
    </row>
    <row r="32" spans="2:13" x14ac:dyDescent="0.35">
      <c r="D32" s="9"/>
      <c r="F32" s="9"/>
      <c r="G32" s="9"/>
      <c r="H32" s="9"/>
      <c r="I32" s="9"/>
      <c r="J32" s="9"/>
      <c r="K32" s="9"/>
      <c r="L32" s="9"/>
      <c r="M32" s="9"/>
    </row>
    <row r="33" spans="2:14" x14ac:dyDescent="0.35">
      <c r="D33" s="9"/>
      <c r="F33" s="9"/>
      <c r="G33" s="9"/>
      <c r="H33" s="9"/>
      <c r="I33" s="9"/>
      <c r="J33" s="9"/>
      <c r="K33" s="9"/>
      <c r="L33" s="9"/>
      <c r="M33" s="9"/>
    </row>
    <row r="34" spans="2:14" x14ac:dyDescent="0.35">
      <c r="D34" s="9"/>
      <c r="F34" s="9"/>
      <c r="G34" s="9"/>
      <c r="H34" s="9"/>
      <c r="I34" s="9"/>
      <c r="J34" s="9"/>
      <c r="K34" s="9"/>
      <c r="L34" s="9"/>
      <c r="M34" s="9"/>
    </row>
    <row r="35" spans="2:14" x14ac:dyDescent="0.35">
      <c r="D35" s="9"/>
      <c r="F35" s="9"/>
      <c r="G35" s="9"/>
      <c r="H35" s="9"/>
      <c r="I35" s="9"/>
      <c r="J35" s="9"/>
      <c r="K35" s="9"/>
      <c r="L35" s="9"/>
      <c r="M35" s="9"/>
    </row>
    <row r="36" spans="2:14" x14ac:dyDescent="0.35">
      <c r="D36" s="25" t="s">
        <v>47</v>
      </c>
      <c r="E36" s="25" t="s">
        <v>48</v>
      </c>
      <c r="F36" s="25" t="s">
        <v>49</v>
      </c>
      <c r="G36" s="1"/>
      <c r="H36" s="1"/>
      <c r="I36" s="1"/>
      <c r="J36" s="1"/>
      <c r="K36" s="1"/>
      <c r="L36" s="1"/>
      <c r="M36" s="1"/>
    </row>
    <row r="37" spans="2:14" x14ac:dyDescent="0.35">
      <c r="C37" s="26" t="s">
        <v>147</v>
      </c>
      <c r="D37" s="27">
        <v>0.75</v>
      </c>
      <c r="E37" s="27">
        <v>0.5</v>
      </c>
      <c r="F37" s="27">
        <v>0.8</v>
      </c>
      <c r="G37" s="30"/>
      <c r="H37" s="30"/>
      <c r="I37" s="30"/>
      <c r="J37" s="30"/>
      <c r="K37" s="30"/>
      <c r="L37" s="30"/>
      <c r="M37" s="30"/>
    </row>
    <row r="38" spans="2:14" x14ac:dyDescent="0.35">
      <c r="C38" s="28" t="s">
        <v>148</v>
      </c>
      <c r="D38" s="29">
        <v>0.25</v>
      </c>
      <c r="E38" s="29">
        <v>0.5</v>
      </c>
      <c r="F38" s="29">
        <v>0.2</v>
      </c>
      <c r="G38" s="30"/>
      <c r="H38" s="30"/>
      <c r="I38" s="30"/>
      <c r="J38" s="30"/>
      <c r="K38" s="30"/>
      <c r="L38" s="30"/>
      <c r="M38" s="30"/>
    </row>
    <row r="39" spans="2:14" x14ac:dyDescent="0.35">
      <c r="C39" s="1"/>
      <c r="D39" s="30"/>
    </row>
    <row r="40" spans="2:14" x14ac:dyDescent="0.35">
      <c r="C40" s="1"/>
      <c r="D40" s="30"/>
    </row>
    <row r="41" spans="2:14" ht="26.25" x14ac:dyDescent="0.4">
      <c r="B41" s="33" t="s">
        <v>129</v>
      </c>
      <c r="C41" s="82" t="s">
        <v>150</v>
      </c>
      <c r="D41" s="52" t="s">
        <v>55</v>
      </c>
      <c r="E41" s="52" t="s">
        <v>56</v>
      </c>
      <c r="F41" s="52" t="s">
        <v>173</v>
      </c>
      <c r="G41" s="52" t="s">
        <v>57</v>
      </c>
      <c r="H41" s="52" t="s">
        <v>58</v>
      </c>
      <c r="I41" s="52" t="s">
        <v>59</v>
      </c>
      <c r="J41" s="52" t="s">
        <v>60</v>
      </c>
      <c r="K41" s="52" t="s">
        <v>110</v>
      </c>
      <c r="L41" s="34"/>
    </row>
    <row r="42" spans="2:14" ht="14.25" x14ac:dyDescent="0.45">
      <c r="B42" s="53" t="s">
        <v>79</v>
      </c>
      <c r="C42" s="75" t="s">
        <v>130</v>
      </c>
      <c r="D42" s="77"/>
      <c r="E42" s="59">
        <v>1</v>
      </c>
      <c r="F42" s="54"/>
      <c r="G42" s="54"/>
      <c r="H42" s="54"/>
      <c r="I42" s="54"/>
      <c r="J42" s="54"/>
      <c r="K42" s="78"/>
      <c r="N42" s="74" t="s">
        <v>90</v>
      </c>
    </row>
    <row r="43" spans="2:14" ht="14.25" x14ac:dyDescent="0.45">
      <c r="B43" s="53" t="s">
        <v>87</v>
      </c>
      <c r="C43" s="76" t="s">
        <v>131</v>
      </c>
      <c r="D43" s="79"/>
      <c r="E43" s="57"/>
      <c r="F43" s="60">
        <v>1</v>
      </c>
      <c r="G43" s="57"/>
      <c r="H43" s="57"/>
      <c r="I43" s="57"/>
      <c r="J43" s="57"/>
      <c r="K43" s="80"/>
      <c r="N43" s="76" t="s">
        <v>132</v>
      </c>
    </row>
    <row r="46" spans="2:14" ht="13.15" x14ac:dyDescent="0.4">
      <c r="C46" s="86" t="s">
        <v>137</v>
      </c>
      <c r="D46" s="88" t="s">
        <v>138</v>
      </c>
      <c r="E46" s="87" t="s">
        <v>139</v>
      </c>
    </row>
    <row r="47" spans="2:14" ht="13.15" x14ac:dyDescent="0.4">
      <c r="B47" s="24" t="s">
        <v>151</v>
      </c>
      <c r="C47" s="81" t="s">
        <v>140</v>
      </c>
      <c r="D47" s="81" t="s">
        <v>141</v>
      </c>
      <c r="E47" s="84" t="s">
        <v>139</v>
      </c>
    </row>
    <row r="48" spans="2:14" ht="13.15" x14ac:dyDescent="0.4">
      <c r="B48" s="53" t="s">
        <v>79</v>
      </c>
      <c r="C48" s="83">
        <v>1</v>
      </c>
      <c r="D48" s="83"/>
      <c r="E48" s="83"/>
    </row>
    <row r="49" spans="2:5" ht="13.15" x14ac:dyDescent="0.4">
      <c r="B49" s="53" t="s">
        <v>87</v>
      </c>
      <c r="C49" s="83">
        <v>1</v>
      </c>
      <c r="D49" s="83"/>
      <c r="E49" s="83"/>
    </row>
    <row r="50" spans="2:5" ht="13.15" x14ac:dyDescent="0.4">
      <c r="B50" s="53" t="s">
        <v>89</v>
      </c>
      <c r="C50" s="83">
        <v>1</v>
      </c>
      <c r="D50" s="83"/>
      <c r="E50" s="83"/>
    </row>
    <row r="51" spans="2:5" ht="13.15" x14ac:dyDescent="0.4">
      <c r="B51" s="53" t="s">
        <v>54</v>
      </c>
      <c r="C51" s="85">
        <v>1</v>
      </c>
      <c r="D51" s="85"/>
      <c r="E51" s="85"/>
    </row>
  </sheetData>
  <pageMargins left="0.7" right="0.7" top="0.75" bottom="0.75" header="0.3" footer="0.3"/>
  <drawing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T24"/>
  <sheetViews>
    <sheetView zoomScaleNormal="100" workbookViewId="0">
      <selection activeCell="F9" sqref="F9"/>
    </sheetView>
  </sheetViews>
  <sheetFormatPr defaultColWidth="8.86328125" defaultRowHeight="12.75" x14ac:dyDescent="0.35"/>
  <cols>
    <col min="1" max="1" width="3" style="35" customWidth="1"/>
    <col min="2" max="2" width="12.1328125" style="35" bestFit="1" customWidth="1"/>
    <col min="3" max="3" width="15" style="35" customWidth="1"/>
    <col min="4" max="4" width="13.86328125" style="35" bestFit="1" customWidth="1"/>
    <col min="5" max="5" width="13.73046875" style="35" customWidth="1"/>
    <col min="6" max="6" width="13.1328125" style="35" bestFit="1" customWidth="1"/>
    <col min="7" max="7" width="7.86328125" style="35" customWidth="1"/>
    <col min="8" max="8" width="9.1328125" style="35" bestFit="1" customWidth="1"/>
    <col min="9" max="9" width="9.3984375" style="35" customWidth="1"/>
    <col min="10" max="10" width="8.1328125" style="35" customWidth="1"/>
    <col min="11" max="11" width="2.73046875" style="35" customWidth="1"/>
    <col min="12" max="12" width="12.73046875" style="35" bestFit="1" customWidth="1"/>
    <col min="13" max="13" width="7.1328125" style="35" customWidth="1"/>
    <col min="14" max="14" width="11.3984375" style="35" bestFit="1" customWidth="1"/>
    <col min="15" max="15" width="41.59765625" style="35" bestFit="1" customWidth="1"/>
    <col min="16" max="16" width="6.59765625" style="35" customWidth="1"/>
    <col min="17" max="17" width="11.73046875" style="35" customWidth="1"/>
    <col min="18" max="18" width="13" style="35" customWidth="1"/>
    <col min="19" max="19" width="13.73046875" style="35" bestFit="1" customWidth="1"/>
    <col min="20" max="20" width="8.3984375" style="35" customWidth="1"/>
    <col min="21" max="16384" width="8.86328125" style="35"/>
  </cols>
  <sheetData>
    <row r="1" spans="2:20" ht="14.25" x14ac:dyDescent="0.45">
      <c r="B1" s="10" t="s">
        <v>94</v>
      </c>
      <c r="C1" s="10" t="s">
        <v>96</v>
      </c>
      <c r="D1" s="10" t="s">
        <v>145</v>
      </c>
      <c r="E1" s="10" t="s">
        <v>98</v>
      </c>
      <c r="F1" s="10" t="s">
        <v>99</v>
      </c>
      <c r="G1" s="127"/>
      <c r="H1" s="10" t="s">
        <v>125</v>
      </c>
    </row>
    <row r="2" spans="2:20" ht="31.5" x14ac:dyDescent="0.5">
      <c r="B2" s="23" t="str">
        <f>EnergyBalance!B8</f>
        <v>TPS</v>
      </c>
      <c r="C2" s="23" t="str">
        <f>EnergyBalance!C8</f>
        <v>Total Primary Supply</v>
      </c>
      <c r="D2" s="23" t="str">
        <f>"Demand Technology"</f>
        <v>Demand Technology</v>
      </c>
      <c r="E2" s="13" t="str">
        <f>EnergyBalance!R2</f>
        <v>PJ</v>
      </c>
      <c r="F2" s="13" t="str">
        <f>EnergyBalance!Q2</f>
        <v>M€2005</v>
      </c>
      <c r="G2" s="11"/>
      <c r="H2" s="13" t="s">
        <v>126</v>
      </c>
      <c r="L2" s="165" t="s">
        <v>14</v>
      </c>
      <c r="M2" s="165"/>
      <c r="N2" s="164"/>
      <c r="O2" s="164"/>
      <c r="P2" s="164"/>
      <c r="Q2" s="164"/>
      <c r="R2" s="164"/>
      <c r="S2" s="164"/>
      <c r="T2" s="164"/>
    </row>
    <row r="3" spans="2:20" ht="13.15" x14ac:dyDescent="0.4">
      <c r="L3" s="166" t="s">
        <v>7</v>
      </c>
      <c r="M3" s="167" t="s">
        <v>30</v>
      </c>
      <c r="N3" s="166" t="s">
        <v>0</v>
      </c>
      <c r="O3" s="166" t="s">
        <v>3</v>
      </c>
      <c r="P3" s="166" t="s">
        <v>4</v>
      </c>
      <c r="Q3" s="166" t="s">
        <v>8</v>
      </c>
      <c r="R3" s="166" t="s">
        <v>9</v>
      </c>
      <c r="S3" s="166" t="s">
        <v>10</v>
      </c>
      <c r="T3" s="166" t="s">
        <v>12</v>
      </c>
    </row>
    <row r="4" spans="2:20" ht="22.15" thickBot="1" x14ac:dyDescent="0.55000000000000004">
      <c r="B4" s="11"/>
      <c r="C4" s="11"/>
      <c r="D4" s="11"/>
      <c r="E4" s="11"/>
      <c r="F4" s="11"/>
      <c r="L4" s="160" t="s">
        <v>40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43</v>
      </c>
      <c r="R4" s="160" t="s">
        <v>44</v>
      </c>
      <c r="S4" s="160" t="s">
        <v>28</v>
      </c>
      <c r="T4" s="160" t="s">
        <v>29</v>
      </c>
    </row>
    <row r="5" spans="2:20" ht="15.75" x14ac:dyDescent="0.5">
      <c r="B5" s="11"/>
      <c r="C5" s="11"/>
      <c r="D5" s="11"/>
      <c r="E5" s="11"/>
      <c r="F5" s="11"/>
      <c r="L5" s="164" t="s">
        <v>105</v>
      </c>
      <c r="M5" s="164"/>
      <c r="N5" s="164" t="str">
        <f>B2&amp;EnergyBalance!D2</f>
        <v>TPSCOA</v>
      </c>
      <c r="O5" s="164" t="str">
        <f>LEFT($D$2,6)&amp;" "&amp;$C$2&amp;" - "&amp;EnergyBalance!D2</f>
        <v>Demand Total Primary Supply - COA</v>
      </c>
      <c r="P5" s="164" t="str">
        <f>$E$2</f>
        <v>PJ</v>
      </c>
      <c r="Q5" s="164"/>
      <c r="R5" s="164"/>
      <c r="S5" s="164"/>
      <c r="T5" s="164"/>
    </row>
    <row r="8" spans="2:20" ht="13.15" x14ac:dyDescent="0.4">
      <c r="D8" s="6" t="s">
        <v>13</v>
      </c>
      <c r="E8" s="6"/>
      <c r="F8" s="6"/>
      <c r="H8" s="6"/>
      <c r="I8" s="7"/>
      <c r="J8" s="5"/>
      <c r="L8" s="165" t="s">
        <v>15</v>
      </c>
      <c r="M8" s="165"/>
      <c r="N8" s="164"/>
      <c r="O8" s="164"/>
      <c r="P8" s="164"/>
      <c r="Q8" s="164"/>
      <c r="R8" s="164"/>
      <c r="S8" s="164"/>
      <c r="T8" s="164"/>
    </row>
    <row r="9" spans="2:20" ht="13.15" x14ac:dyDescent="0.4">
      <c r="B9" s="20" t="s">
        <v>1</v>
      </c>
      <c r="C9" s="20" t="s">
        <v>5</v>
      </c>
      <c r="D9" s="20" t="s">
        <v>6</v>
      </c>
      <c r="E9" s="115" t="s">
        <v>188</v>
      </c>
      <c r="F9" s="116" t="s">
        <v>201</v>
      </c>
      <c r="G9" s="116" t="s">
        <v>123</v>
      </c>
      <c r="H9" s="116" t="s">
        <v>106</v>
      </c>
      <c r="I9" s="116" t="s">
        <v>107</v>
      </c>
      <c r="J9" s="115" t="s">
        <v>101</v>
      </c>
      <c r="L9" s="166" t="s">
        <v>11</v>
      </c>
      <c r="M9" s="167" t="s">
        <v>30</v>
      </c>
      <c r="N9" s="166" t="s">
        <v>1</v>
      </c>
      <c r="O9" s="166" t="s">
        <v>2</v>
      </c>
      <c r="P9" s="166" t="s">
        <v>16</v>
      </c>
      <c r="Q9" s="166" t="s">
        <v>17</v>
      </c>
      <c r="R9" s="166" t="s">
        <v>18</v>
      </c>
      <c r="S9" s="166" t="s">
        <v>19</v>
      </c>
      <c r="T9" s="166" t="s">
        <v>20</v>
      </c>
    </row>
    <row r="10" spans="2:20" ht="21" thickBot="1" x14ac:dyDescent="0.4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112</v>
      </c>
      <c r="G10" s="128" t="s">
        <v>124</v>
      </c>
      <c r="H10" s="18" t="s">
        <v>121</v>
      </c>
      <c r="I10" s="18" t="s">
        <v>120</v>
      </c>
      <c r="J10" s="18" t="s">
        <v>194</v>
      </c>
      <c r="L10" s="160" t="s">
        <v>41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46</v>
      </c>
      <c r="S10" s="160" t="s">
        <v>45</v>
      </c>
      <c r="T10" s="160" t="s">
        <v>25</v>
      </c>
    </row>
    <row r="11" spans="2:20" ht="13.15" thickBot="1" x14ac:dyDescent="0.4">
      <c r="B11" s="17" t="s">
        <v>113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114</v>
      </c>
      <c r="L11" s="160" t="s">
        <v>103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35">
      <c r="B12" s="35" t="str">
        <f>N12</f>
        <v>DTPSCOA</v>
      </c>
      <c r="C12" s="35" t="str">
        <f>RIGHT(B12,3)</f>
        <v>COA</v>
      </c>
      <c r="D12" s="35" t="str">
        <f>$N$5</f>
        <v>TPSCOA</v>
      </c>
      <c r="F12" s="98">
        <v>1</v>
      </c>
      <c r="G12" s="98">
        <v>0.95</v>
      </c>
      <c r="H12" s="97">
        <v>10</v>
      </c>
      <c r="I12" s="98">
        <f>H12*0.02</f>
        <v>0.2</v>
      </c>
      <c r="J12" s="97">
        <v>20</v>
      </c>
      <c r="L12" s="164" t="s">
        <v>122</v>
      </c>
      <c r="M12" s="164"/>
      <c r="N12" s="164" t="str">
        <f>LEFT(L12,1)&amp;B2&amp;RIGHT(O12,3)</f>
        <v>DTPSCOA</v>
      </c>
      <c r="O12" s="164" t="str">
        <f>$D$2&amp;" "&amp;$C$2&amp;" - "&amp;EnergyBalance!D2</f>
        <v>Demand Technology Total Primary Supply - COA</v>
      </c>
      <c r="P12" s="164" t="str">
        <f>$E$2</f>
        <v>PJ</v>
      </c>
      <c r="Q12" s="164" t="str">
        <f>$E$2&amp;"a"</f>
        <v>PJa</v>
      </c>
      <c r="R12" s="164"/>
      <c r="S12" s="164"/>
      <c r="T12" s="164"/>
    </row>
    <row r="13" spans="2:20" x14ac:dyDescent="0.35">
      <c r="E13" s="37"/>
      <c r="F13" s="123"/>
      <c r="G13" s="123"/>
      <c r="I13" s="123"/>
    </row>
    <row r="14" spans="2:20" x14ac:dyDescent="0.35">
      <c r="E14" s="37"/>
      <c r="F14" s="123"/>
      <c r="G14" s="123"/>
      <c r="I14" s="123"/>
      <c r="O14" s="36"/>
    </row>
    <row r="15" spans="2:20" x14ac:dyDescent="0.35">
      <c r="E15" s="37"/>
      <c r="F15" s="123"/>
      <c r="G15" s="123"/>
      <c r="I15" s="123"/>
      <c r="O15" s="36"/>
    </row>
    <row r="18" spans="2:9" x14ac:dyDescent="0.35">
      <c r="I18" s="105"/>
    </row>
    <row r="19" spans="2:9" x14ac:dyDescent="0.35">
      <c r="I19" s="105"/>
    </row>
    <row r="23" spans="2:9" x14ac:dyDescent="0.35">
      <c r="B23" s="97"/>
      <c r="C23" s="35" t="s">
        <v>180</v>
      </c>
    </row>
    <row r="24" spans="2:9" x14ac:dyDescent="0.35">
      <c r="B24" s="124"/>
      <c r="C24" s="35" t="s">
        <v>181</v>
      </c>
    </row>
  </sheetData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T24"/>
  <sheetViews>
    <sheetView zoomScaleNormal="100" workbookViewId="0">
      <selection activeCell="F9" sqref="F9"/>
    </sheetView>
  </sheetViews>
  <sheetFormatPr defaultColWidth="8.86328125" defaultRowHeight="12.75" x14ac:dyDescent="0.35"/>
  <cols>
    <col min="1" max="1" width="3" style="35" customWidth="1"/>
    <col min="2" max="2" width="12.1328125" style="35" bestFit="1" customWidth="1"/>
    <col min="3" max="3" width="15" style="35" customWidth="1"/>
    <col min="4" max="4" width="13.86328125" style="35" bestFit="1" customWidth="1"/>
    <col min="5" max="5" width="12.265625" style="35" customWidth="1"/>
    <col min="6" max="6" width="12.1328125" style="35" bestFit="1" customWidth="1"/>
    <col min="7" max="7" width="7.59765625" style="35" customWidth="1"/>
    <col min="8" max="8" width="9.1328125" style="35" bestFit="1" customWidth="1"/>
    <col min="9" max="9" width="9.3984375" style="35" customWidth="1"/>
    <col min="10" max="10" width="8.1328125" style="35" customWidth="1"/>
    <col min="11" max="11" width="2.73046875" style="35" customWidth="1"/>
    <col min="12" max="12" width="12.73046875" style="35" bestFit="1" customWidth="1"/>
    <col min="13" max="13" width="7.1328125" style="35" customWidth="1"/>
    <col min="14" max="14" width="11.3984375" style="35" bestFit="1" customWidth="1"/>
    <col min="15" max="15" width="41.59765625" style="35" bestFit="1" customWidth="1"/>
    <col min="16" max="16" width="6.3984375" style="35" customWidth="1"/>
    <col min="17" max="17" width="11.73046875" style="35" customWidth="1"/>
    <col min="18" max="18" width="14.265625" style="35" customWidth="1"/>
    <col min="19" max="19" width="13.73046875" style="35" bestFit="1" customWidth="1"/>
    <col min="20" max="20" width="8.3984375" style="35" customWidth="1"/>
    <col min="21" max="16384" width="8.86328125" style="35"/>
  </cols>
  <sheetData>
    <row r="1" spans="2:20" ht="14.25" x14ac:dyDescent="0.45">
      <c r="B1" s="10" t="s">
        <v>94</v>
      </c>
      <c r="C1" s="10" t="s">
        <v>96</v>
      </c>
      <c r="D1" s="10" t="s">
        <v>145</v>
      </c>
      <c r="E1" s="10" t="s">
        <v>98</v>
      </c>
      <c r="F1" s="10" t="s">
        <v>99</v>
      </c>
      <c r="H1" s="10" t="s">
        <v>125</v>
      </c>
    </row>
    <row r="2" spans="2:20" ht="31.5" x14ac:dyDescent="0.5">
      <c r="B2" s="13" t="str">
        <f>EnergyBalance!B8</f>
        <v>TPS</v>
      </c>
      <c r="C2" s="23" t="str">
        <f>EnergyBalance!C8</f>
        <v>Total Primary Supply</v>
      </c>
      <c r="D2" s="23" t="str">
        <f>"Demand Technology"</f>
        <v>Demand Technology</v>
      </c>
      <c r="E2" s="13" t="str">
        <f>EnergyBalance!R2</f>
        <v>PJ</v>
      </c>
      <c r="F2" s="13" t="str">
        <f>EnergyBalance!Q2</f>
        <v>M€2005</v>
      </c>
      <c r="H2" s="13" t="s">
        <v>126</v>
      </c>
      <c r="L2" s="165" t="s">
        <v>14</v>
      </c>
      <c r="M2" s="165"/>
      <c r="N2" s="164"/>
      <c r="O2" s="164"/>
      <c r="P2" s="164"/>
      <c r="Q2" s="164"/>
      <c r="R2" s="164"/>
      <c r="S2" s="164"/>
      <c r="T2" s="164"/>
    </row>
    <row r="3" spans="2:20" ht="13.15" x14ac:dyDescent="0.4">
      <c r="L3" s="166" t="s">
        <v>7</v>
      </c>
      <c r="M3" s="167" t="s">
        <v>30</v>
      </c>
      <c r="N3" s="166" t="s">
        <v>0</v>
      </c>
      <c r="O3" s="166" t="s">
        <v>3</v>
      </c>
      <c r="P3" s="166" t="s">
        <v>4</v>
      </c>
      <c r="Q3" s="166" t="s">
        <v>8</v>
      </c>
      <c r="R3" s="166" t="s">
        <v>9</v>
      </c>
      <c r="S3" s="166" t="s">
        <v>10</v>
      </c>
      <c r="T3" s="166" t="s">
        <v>12</v>
      </c>
    </row>
    <row r="4" spans="2:20" ht="22.15" thickBot="1" x14ac:dyDescent="0.55000000000000004">
      <c r="B4" s="11"/>
      <c r="C4" s="11"/>
      <c r="D4" s="11"/>
      <c r="E4" s="11"/>
      <c r="F4" s="11"/>
      <c r="L4" s="160" t="s">
        <v>40</v>
      </c>
      <c r="M4" s="160" t="s">
        <v>31</v>
      </c>
      <c r="N4" s="160" t="s">
        <v>26</v>
      </c>
      <c r="O4" s="160" t="s">
        <v>27</v>
      </c>
      <c r="P4" s="160" t="s">
        <v>4</v>
      </c>
      <c r="Q4" s="160" t="s">
        <v>43</v>
      </c>
      <c r="R4" s="160" t="s">
        <v>44</v>
      </c>
      <c r="S4" s="160" t="s">
        <v>28</v>
      </c>
      <c r="T4" s="160" t="s">
        <v>29</v>
      </c>
    </row>
    <row r="5" spans="2:20" ht="15.75" x14ac:dyDescent="0.5">
      <c r="B5" s="11"/>
      <c r="C5" s="11"/>
      <c r="D5" s="11"/>
      <c r="E5" s="11"/>
      <c r="F5" s="11"/>
      <c r="L5" s="164" t="s">
        <v>105</v>
      </c>
      <c r="M5" s="164"/>
      <c r="N5" s="164" t="str">
        <f>B2&amp;EnergyBalance!K2</f>
        <v>TPSELC</v>
      </c>
      <c r="O5" s="164" t="str">
        <f>LEFT($D$2,6)&amp;" "&amp;$C$2&amp;" - "&amp;EnergyBalance!K2</f>
        <v>Demand Total Primary Supply - ELC</v>
      </c>
      <c r="P5" s="164" t="str">
        <f>$E$2</f>
        <v>PJ</v>
      </c>
      <c r="Q5" s="164"/>
      <c r="R5" s="164"/>
      <c r="S5" s="164"/>
      <c r="T5" s="164"/>
    </row>
    <row r="8" spans="2:20" ht="13.15" x14ac:dyDescent="0.4">
      <c r="D8" s="6" t="s">
        <v>13</v>
      </c>
      <c r="E8" s="6"/>
      <c r="F8" s="6"/>
      <c r="H8" s="6"/>
      <c r="I8" s="7"/>
      <c r="J8" s="5"/>
      <c r="L8" s="165" t="s">
        <v>15</v>
      </c>
      <c r="M8" s="165"/>
      <c r="N8" s="164"/>
      <c r="O8" s="164"/>
      <c r="P8" s="164"/>
      <c r="Q8" s="164"/>
      <c r="R8" s="164"/>
      <c r="S8" s="164"/>
      <c r="T8" s="164"/>
    </row>
    <row r="9" spans="2:20" ht="13.15" x14ac:dyDescent="0.4">
      <c r="B9" s="20" t="s">
        <v>1</v>
      </c>
      <c r="C9" s="20" t="s">
        <v>5</v>
      </c>
      <c r="D9" s="20" t="s">
        <v>6</v>
      </c>
      <c r="E9" s="115" t="s">
        <v>188</v>
      </c>
      <c r="F9" s="116" t="s">
        <v>201</v>
      </c>
      <c r="G9" s="116" t="s">
        <v>123</v>
      </c>
      <c r="H9" s="116" t="s">
        <v>106</v>
      </c>
      <c r="I9" s="116" t="s">
        <v>107</v>
      </c>
      <c r="J9" s="115" t="s">
        <v>101</v>
      </c>
      <c r="L9" s="166" t="s">
        <v>11</v>
      </c>
      <c r="M9" s="167" t="s">
        <v>30</v>
      </c>
      <c r="N9" s="166" t="s">
        <v>1</v>
      </c>
      <c r="O9" s="166" t="s">
        <v>2</v>
      </c>
      <c r="P9" s="166" t="s">
        <v>16</v>
      </c>
      <c r="Q9" s="166" t="s">
        <v>17</v>
      </c>
      <c r="R9" s="166" t="s">
        <v>18</v>
      </c>
      <c r="S9" s="166" t="s">
        <v>19</v>
      </c>
      <c r="T9" s="166" t="s">
        <v>20</v>
      </c>
    </row>
    <row r="10" spans="2:20" ht="21" thickBot="1" x14ac:dyDescent="0.4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112</v>
      </c>
      <c r="G10" s="128" t="s">
        <v>124</v>
      </c>
      <c r="H10" s="18" t="s">
        <v>121</v>
      </c>
      <c r="I10" s="18" t="s">
        <v>120</v>
      </c>
      <c r="J10" s="18" t="s">
        <v>194</v>
      </c>
      <c r="L10" s="160" t="s">
        <v>41</v>
      </c>
      <c r="M10" s="160" t="s">
        <v>31</v>
      </c>
      <c r="N10" s="160" t="s">
        <v>21</v>
      </c>
      <c r="O10" s="160" t="s">
        <v>22</v>
      </c>
      <c r="P10" s="160" t="s">
        <v>23</v>
      </c>
      <c r="Q10" s="160" t="s">
        <v>24</v>
      </c>
      <c r="R10" s="160" t="s">
        <v>46</v>
      </c>
      <c r="S10" s="160" t="s">
        <v>45</v>
      </c>
      <c r="T10" s="160" t="s">
        <v>25</v>
      </c>
    </row>
    <row r="11" spans="2:20" ht="13.15" thickBot="1" x14ac:dyDescent="0.4">
      <c r="B11" s="17" t="s">
        <v>113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114</v>
      </c>
      <c r="L11" s="160" t="s">
        <v>103</v>
      </c>
      <c r="M11" s="160"/>
      <c r="N11" s="160"/>
      <c r="O11" s="160"/>
      <c r="P11" s="160"/>
      <c r="Q11" s="160"/>
      <c r="R11" s="160"/>
      <c r="S11" s="160"/>
      <c r="T11" s="160"/>
    </row>
    <row r="12" spans="2:20" x14ac:dyDescent="0.35">
      <c r="B12" s="35" t="str">
        <f>N12</f>
        <v>DTPSELC</v>
      </c>
      <c r="C12" s="35" t="str">
        <f>RIGHT(B12,3)</f>
        <v>ELC</v>
      </c>
      <c r="D12" s="35" t="str">
        <f>$N$5</f>
        <v>TPSELC</v>
      </c>
      <c r="F12" s="98">
        <v>1</v>
      </c>
      <c r="G12" s="98">
        <v>0.95</v>
      </c>
      <c r="H12" s="97">
        <v>10</v>
      </c>
      <c r="I12" s="98">
        <f>H12*0.02</f>
        <v>0.2</v>
      </c>
      <c r="J12" s="97">
        <v>20</v>
      </c>
      <c r="L12" s="164" t="s">
        <v>122</v>
      </c>
      <c r="M12" s="164"/>
      <c r="N12" s="164" t="str">
        <f>LEFT(L12,1)&amp;B2&amp;RIGHT(O12,3)</f>
        <v>DTPSELC</v>
      </c>
      <c r="O12" s="164" t="str">
        <f>$D$2&amp;" "&amp;$C$2&amp;" - "&amp;EnergyBalance!K2</f>
        <v>Demand Technology Total Primary Supply - ELC</v>
      </c>
      <c r="P12" s="164" t="str">
        <f>$E$2</f>
        <v>PJ</v>
      </c>
      <c r="Q12" s="164" t="str">
        <f>$E$2&amp;"a"</f>
        <v>PJa</v>
      </c>
      <c r="R12" s="164"/>
      <c r="S12" s="164"/>
      <c r="T12" s="164"/>
    </row>
    <row r="13" spans="2:20" x14ac:dyDescent="0.35">
      <c r="E13" s="37"/>
      <c r="F13" s="123"/>
      <c r="G13" s="123"/>
      <c r="I13" s="123"/>
    </row>
    <row r="14" spans="2:20" x14ac:dyDescent="0.35">
      <c r="E14" s="37"/>
      <c r="F14" s="123"/>
      <c r="G14" s="123"/>
      <c r="I14" s="123"/>
      <c r="O14" s="36"/>
    </row>
    <row r="15" spans="2:20" x14ac:dyDescent="0.35">
      <c r="E15" s="37"/>
      <c r="F15" s="123"/>
      <c r="G15" s="123"/>
      <c r="I15" s="123"/>
      <c r="O15" s="36"/>
    </row>
    <row r="18" spans="2:9" x14ac:dyDescent="0.35">
      <c r="I18" s="105"/>
    </row>
    <row r="19" spans="2:9" x14ac:dyDescent="0.35">
      <c r="I19" s="105"/>
    </row>
    <row r="23" spans="2:9" x14ac:dyDescent="0.35">
      <c r="B23" s="97"/>
      <c r="C23" s="35" t="s">
        <v>180</v>
      </c>
    </row>
    <row r="24" spans="2:9" x14ac:dyDescent="0.35">
      <c r="B24" s="124"/>
      <c r="C24" s="35" t="s">
        <v>181</v>
      </c>
    </row>
  </sheetData>
  <pageMargins left="0.7" right="0.7" top="0.75" bottom="0.75" header="0.3" footer="0.3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1:V28"/>
  <sheetViews>
    <sheetView zoomScale="90" zoomScaleNormal="90" workbookViewId="0">
      <selection activeCell="F9" sqref="F9"/>
    </sheetView>
  </sheetViews>
  <sheetFormatPr defaultRowHeight="12.75" x14ac:dyDescent="0.35"/>
  <cols>
    <col min="1" max="1" width="3" customWidth="1"/>
    <col min="2" max="2" width="12.1328125" bestFit="1" customWidth="1"/>
    <col min="3" max="3" width="12" customWidth="1"/>
    <col min="4" max="4" width="13.86328125" customWidth="1"/>
    <col min="5" max="5" width="13.1328125" customWidth="1"/>
    <col min="6" max="6" width="13.1328125" bestFit="1" customWidth="1"/>
    <col min="7" max="7" width="11.3984375" bestFit="1" customWidth="1"/>
    <col min="8" max="8" width="11.86328125" bestFit="1" customWidth="1"/>
    <col min="9" max="9" width="11.59765625" bestFit="1" customWidth="1"/>
    <col min="10" max="10" width="8.86328125" customWidth="1"/>
    <col min="11" max="11" width="7" bestFit="1" customWidth="1"/>
    <col min="12" max="12" width="14" customWidth="1"/>
    <col min="13" max="13" width="2" customWidth="1"/>
    <col min="14" max="14" width="12.3984375" customWidth="1"/>
    <col min="15" max="15" width="7.1328125" customWidth="1"/>
    <col min="16" max="16" width="11" customWidth="1"/>
    <col min="17" max="17" width="79.1328125" bestFit="1" customWidth="1"/>
    <col min="18" max="18" width="6.1328125" customWidth="1"/>
    <col min="19" max="19" width="12" customWidth="1"/>
    <col min="20" max="20" width="12.86328125" bestFit="1" customWidth="1"/>
    <col min="21" max="21" width="13.265625" customWidth="1"/>
    <col min="22" max="22" width="8" bestFit="1" customWidth="1"/>
  </cols>
  <sheetData>
    <row r="1" spans="2:22" ht="14.25" x14ac:dyDescent="0.45">
      <c r="B1" s="10" t="s">
        <v>94</v>
      </c>
      <c r="C1" s="10" t="s">
        <v>96</v>
      </c>
      <c r="D1" s="10" t="s">
        <v>145</v>
      </c>
      <c r="E1" s="10" t="s">
        <v>98</v>
      </c>
      <c r="F1" s="10" t="s">
        <v>99</v>
      </c>
      <c r="G1" s="10" t="s">
        <v>174</v>
      </c>
      <c r="H1" s="10" t="s">
        <v>125</v>
      </c>
      <c r="I1" s="10" t="s">
        <v>187</v>
      </c>
    </row>
    <row r="2" spans="2:22" ht="31.5" x14ac:dyDescent="0.5">
      <c r="B2" s="13" t="str">
        <f>EnergyBalance!B20</f>
        <v>TRA</v>
      </c>
      <c r="C2" s="13" t="str">
        <f>EnergyBalance!C20</f>
        <v>Transport</v>
      </c>
      <c r="D2" s="23" t="s">
        <v>146</v>
      </c>
      <c r="E2" s="13" t="str">
        <f>EnergyBalance!R2</f>
        <v>PJ</v>
      </c>
      <c r="F2" s="13" t="str">
        <f>EnergyBalance!Q2</f>
        <v>M€2005</v>
      </c>
      <c r="G2" s="46" t="s">
        <v>175</v>
      </c>
      <c r="H2" s="13" t="s">
        <v>126</v>
      </c>
      <c r="I2" s="13" t="s">
        <v>127</v>
      </c>
      <c r="N2" s="156" t="s">
        <v>14</v>
      </c>
      <c r="O2" s="156"/>
      <c r="P2" s="157"/>
      <c r="Q2" s="157"/>
      <c r="R2" s="157"/>
      <c r="S2" s="157"/>
      <c r="T2" s="157"/>
      <c r="U2" s="157"/>
      <c r="V2" s="157"/>
    </row>
    <row r="3" spans="2:22" ht="13.15" x14ac:dyDescent="0.4">
      <c r="N3" s="158" t="s">
        <v>7</v>
      </c>
      <c r="O3" s="159" t="s">
        <v>30</v>
      </c>
      <c r="P3" s="158" t="s">
        <v>0</v>
      </c>
      <c r="Q3" s="158" t="s">
        <v>3</v>
      </c>
      <c r="R3" s="158" t="s">
        <v>4</v>
      </c>
      <c r="S3" s="158" t="s">
        <v>8</v>
      </c>
      <c r="T3" s="158" t="s">
        <v>9</v>
      </c>
      <c r="U3" s="158" t="s">
        <v>10</v>
      </c>
      <c r="V3" s="158" t="s">
        <v>12</v>
      </c>
    </row>
    <row r="4" spans="2:22" ht="22.15" thickBot="1" x14ac:dyDescent="0.55000000000000004">
      <c r="B4" s="11"/>
      <c r="C4" s="11"/>
      <c r="D4" s="11"/>
      <c r="E4" s="11"/>
      <c r="F4" s="11"/>
      <c r="N4" s="160" t="s">
        <v>40</v>
      </c>
      <c r="O4" s="160" t="s">
        <v>31</v>
      </c>
      <c r="P4" s="160" t="s">
        <v>26</v>
      </c>
      <c r="Q4" s="160" t="s">
        <v>27</v>
      </c>
      <c r="R4" s="160" t="s">
        <v>4</v>
      </c>
      <c r="S4" s="160" t="s">
        <v>43</v>
      </c>
      <c r="T4" s="160" t="s">
        <v>44</v>
      </c>
      <c r="U4" s="160" t="s">
        <v>28</v>
      </c>
      <c r="V4" s="160" t="s">
        <v>29</v>
      </c>
    </row>
    <row r="5" spans="2:22" ht="15.75" x14ac:dyDescent="0.5">
      <c r="B5" s="11"/>
      <c r="C5" s="11"/>
      <c r="D5" s="11"/>
      <c r="E5" s="11"/>
      <c r="F5" s="11"/>
      <c r="N5" s="157" t="s">
        <v>105</v>
      </c>
      <c r="O5" s="161"/>
      <c r="P5" s="157" t="str">
        <f>LEFT($N$5,1)&amp;LEFT($B$2,1)&amp;EnergyBalance!$C$43</f>
        <v>DTD1</v>
      </c>
      <c r="Q5" s="157" t="str">
        <f>LEFT($D$2,6)&amp;" "&amp;$C$2&amp; " Sector - "&amp;EnergyBalance!$N$43</f>
        <v>Demand Transport Sector - Demand 1</v>
      </c>
      <c r="R5" s="157" t="str">
        <f>$E$2</f>
        <v>PJ</v>
      </c>
      <c r="S5" s="157"/>
      <c r="T5" s="157"/>
      <c r="U5" s="157"/>
      <c r="V5" s="157"/>
    </row>
    <row r="6" spans="2:22" x14ac:dyDescent="0.35">
      <c r="N6" s="161" t="s">
        <v>136</v>
      </c>
      <c r="O6" s="161"/>
      <c r="P6" s="161" t="str">
        <f>$B$2&amp;EnergyBalance!$C$46</f>
        <v>TRACO2</v>
      </c>
      <c r="Q6" s="161" t="str">
        <f>$C$2&amp;" "&amp;EnergyBalance!$C$47</f>
        <v>Transport Carbon dioxide</v>
      </c>
      <c r="R6" s="161" t="str">
        <f>EnergyBalance!$S$2</f>
        <v>kt</v>
      </c>
      <c r="S6" s="161"/>
      <c r="T6" s="161"/>
      <c r="U6" s="161"/>
      <c r="V6" s="161"/>
    </row>
    <row r="8" spans="2:22" ht="13.15" x14ac:dyDescent="0.4">
      <c r="D8" s="6" t="s">
        <v>13</v>
      </c>
      <c r="E8" s="6"/>
      <c r="F8" s="6"/>
      <c r="H8" s="6"/>
      <c r="I8" s="7"/>
      <c r="J8" s="5"/>
      <c r="K8" s="12"/>
      <c r="N8" s="156" t="s">
        <v>15</v>
      </c>
      <c r="O8" s="156"/>
      <c r="P8" s="161"/>
      <c r="Q8" s="161"/>
      <c r="R8" s="161"/>
      <c r="S8" s="161"/>
      <c r="T8" s="161"/>
      <c r="U8" s="161"/>
      <c r="V8" s="161"/>
    </row>
    <row r="9" spans="2:22" ht="13.15" x14ac:dyDescent="0.4">
      <c r="B9" s="20" t="s">
        <v>1</v>
      </c>
      <c r="C9" s="20" t="s">
        <v>5</v>
      </c>
      <c r="D9" s="20" t="s">
        <v>6</v>
      </c>
      <c r="E9" s="115" t="s">
        <v>188</v>
      </c>
      <c r="F9" s="116" t="s">
        <v>201</v>
      </c>
      <c r="G9" s="116" t="s">
        <v>123</v>
      </c>
      <c r="H9" s="116" t="s">
        <v>106</v>
      </c>
      <c r="I9" s="116" t="s">
        <v>107</v>
      </c>
      <c r="J9" s="115" t="s">
        <v>101</v>
      </c>
      <c r="K9" s="115" t="s">
        <v>186</v>
      </c>
      <c r="L9" s="115" t="s">
        <v>128</v>
      </c>
      <c r="N9" s="158" t="s">
        <v>11</v>
      </c>
      <c r="O9" s="159" t="s">
        <v>30</v>
      </c>
      <c r="P9" s="158" t="s">
        <v>1</v>
      </c>
      <c r="Q9" s="158" t="s">
        <v>2</v>
      </c>
      <c r="R9" s="158" t="s">
        <v>16</v>
      </c>
      <c r="S9" s="158" t="s">
        <v>17</v>
      </c>
      <c r="T9" s="158" t="s">
        <v>18</v>
      </c>
      <c r="U9" s="158" t="s">
        <v>19</v>
      </c>
      <c r="V9" s="158" t="s">
        <v>20</v>
      </c>
    </row>
    <row r="10" spans="2:22" ht="21" thickBot="1" x14ac:dyDescent="0.4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112</v>
      </c>
      <c r="G10" s="128" t="s">
        <v>124</v>
      </c>
      <c r="H10" s="18" t="s">
        <v>121</v>
      </c>
      <c r="I10" s="18" t="s">
        <v>120</v>
      </c>
      <c r="J10" s="18" t="s">
        <v>194</v>
      </c>
      <c r="K10" s="18"/>
      <c r="L10" s="18" t="s">
        <v>135</v>
      </c>
      <c r="N10" s="160" t="s">
        <v>41</v>
      </c>
      <c r="O10" s="160" t="s">
        <v>31</v>
      </c>
      <c r="P10" s="160" t="s">
        <v>21</v>
      </c>
      <c r="Q10" s="160" t="s">
        <v>22</v>
      </c>
      <c r="R10" s="160" t="s">
        <v>23</v>
      </c>
      <c r="S10" s="160" t="s">
        <v>24</v>
      </c>
      <c r="T10" s="160" t="s">
        <v>46</v>
      </c>
      <c r="U10" s="160" t="s">
        <v>45</v>
      </c>
      <c r="V10" s="160" t="s">
        <v>25</v>
      </c>
    </row>
    <row r="11" spans="2:22" ht="13.15" thickBot="1" x14ac:dyDescent="0.4">
      <c r="B11" s="17" t="s">
        <v>113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114</v>
      </c>
      <c r="K11" s="16"/>
      <c r="L11" s="16" t="str">
        <f>EnergyBalance!$S$2</f>
        <v>kt</v>
      </c>
      <c r="N11" s="157" t="s">
        <v>122</v>
      </c>
      <c r="O11" s="161"/>
      <c r="P11" s="161" t="str">
        <f>LEFT($B$2)&amp;EnergyBalance!$C$42&amp;$H$2&amp;EnergyBalance!F2</f>
        <v>TOTEOIL</v>
      </c>
      <c r="Q11" s="161" t="str">
        <f>$D$2&amp;" "&amp;$C$2&amp; " Sector - "&amp;" "&amp;$H$1&amp;" "&amp;EnergyBalance!$N$40&amp;" - "&amp;EnergyBalance!$F$3</f>
        <v>Demand Technologies Transport Sector -  Existing  - Crude Oil</v>
      </c>
      <c r="R11" s="161" t="str">
        <f>$E$2</f>
        <v>PJ</v>
      </c>
      <c r="S11" s="161" t="str">
        <f>$E$2&amp;"a"</f>
        <v>PJa</v>
      </c>
      <c r="T11" s="161"/>
      <c r="U11" s="161"/>
      <c r="V11" s="161"/>
    </row>
    <row r="12" spans="2:22" x14ac:dyDescent="0.35">
      <c r="B12" t="str">
        <f>P11</f>
        <v>TOTEOIL</v>
      </c>
      <c r="C12" t="str">
        <f>$B$2&amp;RIGHT(B12,3)</f>
        <v>TRAOIL</v>
      </c>
      <c r="D12" t="str">
        <f>$P$5</f>
        <v>DTD1</v>
      </c>
      <c r="E12" s="90">
        <f>EnergyBalance!F20/G12*1.01</f>
        <v>16666.401655555557</v>
      </c>
      <c r="F12" s="94">
        <v>1</v>
      </c>
      <c r="G12" s="94">
        <v>0.9</v>
      </c>
      <c r="H12" s="56"/>
      <c r="I12" s="94">
        <v>0.2</v>
      </c>
      <c r="J12" s="56">
        <v>10</v>
      </c>
      <c r="N12" s="161"/>
      <c r="O12" s="161"/>
      <c r="P12" s="161" t="str">
        <f>LEFT($B$2)&amp;EnergyBalance!$C$42&amp;$I$2&amp;EnergyBalance!F2</f>
        <v>TOTNOIL</v>
      </c>
      <c r="Q12" s="161" t="str">
        <f>$D$2&amp;" "&amp;$C$2&amp; " Sector - "&amp;" "&amp;$I$1&amp;" "&amp;EnergyBalance!$N$40&amp;" - "&amp;EnergyBalance!$F$3</f>
        <v>Demand Technologies Transport Sector -  New  - Crude Oil</v>
      </c>
      <c r="R12" s="161" t="str">
        <f>$E$2</f>
        <v>PJ</v>
      </c>
      <c r="S12" s="161" t="str">
        <f>$E$2&amp;"a"</f>
        <v>PJa</v>
      </c>
      <c r="T12" s="161"/>
      <c r="U12" s="161"/>
      <c r="V12" s="161"/>
    </row>
    <row r="13" spans="2:22" x14ac:dyDescent="0.35">
      <c r="D13" t="str">
        <f>$P$6</f>
        <v>TRACO2</v>
      </c>
      <c r="E13" s="9"/>
      <c r="F13" s="19"/>
      <c r="G13" s="19"/>
      <c r="I13" s="19"/>
      <c r="L13" s="152">
        <f>65/F12</f>
        <v>65</v>
      </c>
      <c r="Q13" s="22"/>
      <c r="R13" s="1"/>
      <c r="S13" s="1"/>
      <c r="U13" s="1"/>
    </row>
    <row r="14" spans="2:22" x14ac:dyDescent="0.35">
      <c r="B14" t="str">
        <f>P12</f>
        <v>TOTNOIL</v>
      </c>
      <c r="C14" t="str">
        <f>$B$2&amp;RIGHT(B14,3)</f>
        <v>TRAOIL</v>
      </c>
      <c r="D14" t="str">
        <f>$P$5</f>
        <v>DTD1</v>
      </c>
      <c r="E14" s="9"/>
      <c r="F14" s="94">
        <v>1.1000000000000001</v>
      </c>
      <c r="G14" s="94">
        <v>0.9</v>
      </c>
      <c r="H14" s="56">
        <v>10</v>
      </c>
      <c r="I14" s="94">
        <f>H14*0.02</f>
        <v>0.2</v>
      </c>
      <c r="J14" s="56">
        <v>15</v>
      </c>
      <c r="K14" s="55">
        <v>2006</v>
      </c>
      <c r="L14" s="153"/>
      <c r="Q14" s="22"/>
      <c r="R14" s="1"/>
      <c r="S14" s="1"/>
      <c r="U14" s="1"/>
    </row>
    <row r="15" spans="2:22" x14ac:dyDescent="0.35">
      <c r="D15" t="str">
        <f>$P$6</f>
        <v>TRACO2</v>
      </c>
      <c r="E15" s="9"/>
      <c r="F15" s="19"/>
      <c r="G15" s="19"/>
      <c r="I15" s="19"/>
      <c r="K15" s="9"/>
      <c r="L15" s="152">
        <f>65/F14</f>
        <v>59.090909090909086</v>
      </c>
      <c r="Q15" s="22"/>
      <c r="R15" s="1"/>
      <c r="S15" s="1"/>
      <c r="U15" s="1"/>
    </row>
    <row r="23" spans="2:13" x14ac:dyDescent="0.35">
      <c r="B23" s="56"/>
      <c r="C23" s="1" t="s">
        <v>180</v>
      </c>
      <c r="K23" s="1"/>
      <c r="L23" s="1"/>
    </row>
    <row r="24" spans="2:13" x14ac:dyDescent="0.35">
      <c r="B24" s="91"/>
      <c r="C24" s="1" t="s">
        <v>181</v>
      </c>
      <c r="K24" s="1"/>
      <c r="L24" s="1"/>
      <c r="M24" s="1"/>
    </row>
    <row r="25" spans="2:13" x14ac:dyDescent="0.35">
      <c r="K25" s="1"/>
      <c r="L25" s="1"/>
      <c r="M25" s="1"/>
    </row>
    <row r="26" spans="2:13" x14ac:dyDescent="0.35">
      <c r="K26" s="1"/>
      <c r="L26" s="1"/>
      <c r="M26" s="1"/>
    </row>
    <row r="27" spans="2:13" x14ac:dyDescent="0.35">
      <c r="E27" s="1"/>
      <c r="M27" s="1"/>
    </row>
    <row r="28" spans="2:13" x14ac:dyDescent="0.35">
      <c r="E28" s="1"/>
    </row>
  </sheetData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V28"/>
  <sheetViews>
    <sheetView topLeftCell="B1" zoomScaleNormal="100" workbookViewId="0">
      <selection activeCell="F9" sqref="F9"/>
    </sheetView>
  </sheetViews>
  <sheetFormatPr defaultRowHeight="12.75" x14ac:dyDescent="0.35"/>
  <cols>
    <col min="1" max="1" width="3" customWidth="1"/>
    <col min="2" max="2" width="12.1328125" bestFit="1" customWidth="1"/>
    <col min="3" max="3" width="11.86328125" bestFit="1" customWidth="1"/>
    <col min="4" max="4" width="13.86328125" bestFit="1" customWidth="1"/>
    <col min="5" max="5" width="13" customWidth="1"/>
    <col min="6" max="6" width="13.1328125" bestFit="1" customWidth="1"/>
    <col min="7" max="7" width="7.3984375" customWidth="1"/>
    <col min="8" max="8" width="9.1328125" bestFit="1" customWidth="1"/>
    <col min="9" max="9" width="9.59765625" customWidth="1"/>
    <col min="10" max="10" width="7.59765625" bestFit="1" customWidth="1"/>
    <col min="11" max="11" width="8.265625" customWidth="1"/>
    <col min="12" max="12" width="12.73046875" customWidth="1"/>
    <col min="13" max="13" width="2.73046875" customWidth="1"/>
    <col min="14" max="14" width="12.73046875" bestFit="1" customWidth="1"/>
    <col min="15" max="15" width="7.1328125" customWidth="1"/>
    <col min="16" max="16" width="11.3984375" bestFit="1" customWidth="1"/>
    <col min="17" max="17" width="62.3984375" bestFit="1" customWidth="1"/>
    <col min="18" max="18" width="6.1328125" customWidth="1"/>
    <col min="19" max="19" width="11.73046875" customWidth="1"/>
    <col min="20" max="20" width="13.3984375" customWidth="1"/>
    <col min="21" max="21" width="13.86328125" customWidth="1"/>
    <col min="22" max="22" width="8.3984375" customWidth="1"/>
  </cols>
  <sheetData>
    <row r="1" spans="2:22" ht="14.25" x14ac:dyDescent="0.45">
      <c r="B1" s="10" t="s">
        <v>94</v>
      </c>
      <c r="C1" s="10" t="s">
        <v>96</v>
      </c>
      <c r="D1" s="10" t="s">
        <v>145</v>
      </c>
      <c r="E1" s="10" t="s">
        <v>98</v>
      </c>
      <c r="F1" s="10" t="s">
        <v>99</v>
      </c>
      <c r="H1" s="10" t="s">
        <v>125</v>
      </c>
      <c r="I1" s="10" t="s">
        <v>187</v>
      </c>
    </row>
    <row r="2" spans="2:22" ht="31.5" x14ac:dyDescent="0.5">
      <c r="B2" s="13" t="str">
        <f>EnergyBalance!B16</f>
        <v>RSD</v>
      </c>
      <c r="C2" s="13" t="str">
        <f>EnergyBalance!C16</f>
        <v>Residential</v>
      </c>
      <c r="D2" s="23" t="str">
        <f>"Demand Technologies"</f>
        <v>Demand Technologies</v>
      </c>
      <c r="E2" s="13" t="str">
        <f>EnergyBalance!R2</f>
        <v>PJ</v>
      </c>
      <c r="F2" s="13" t="str">
        <f>EnergyBalance!Q2</f>
        <v>M€2005</v>
      </c>
      <c r="H2" s="13" t="s">
        <v>126</v>
      </c>
      <c r="I2" s="13" t="s">
        <v>127</v>
      </c>
      <c r="N2" s="156" t="s">
        <v>14</v>
      </c>
      <c r="O2" s="156"/>
      <c r="P2" s="157"/>
      <c r="Q2" s="157"/>
      <c r="R2" s="157"/>
      <c r="S2" s="157"/>
      <c r="T2" s="157"/>
      <c r="U2" s="157"/>
      <c r="V2" s="157"/>
    </row>
    <row r="3" spans="2:22" ht="13.15" x14ac:dyDescent="0.4">
      <c r="N3" s="158" t="s">
        <v>7</v>
      </c>
      <c r="O3" s="159" t="s">
        <v>30</v>
      </c>
      <c r="P3" s="158" t="s">
        <v>0</v>
      </c>
      <c r="Q3" s="158" t="s">
        <v>3</v>
      </c>
      <c r="R3" s="158" t="s">
        <v>4</v>
      </c>
      <c r="S3" s="158" t="s">
        <v>8</v>
      </c>
      <c r="T3" s="158" t="s">
        <v>9</v>
      </c>
      <c r="U3" s="158" t="s">
        <v>10</v>
      </c>
      <c r="V3" s="158" t="s">
        <v>12</v>
      </c>
    </row>
    <row r="4" spans="2:22" ht="22.15" thickBot="1" x14ac:dyDescent="0.55000000000000004">
      <c r="B4" s="11"/>
      <c r="C4" s="11"/>
      <c r="D4" s="11"/>
      <c r="E4" s="11"/>
      <c r="F4" s="11"/>
      <c r="N4" s="160" t="s">
        <v>40</v>
      </c>
      <c r="O4" s="160" t="s">
        <v>31</v>
      </c>
      <c r="P4" s="160" t="s">
        <v>26</v>
      </c>
      <c r="Q4" s="160" t="s">
        <v>27</v>
      </c>
      <c r="R4" s="160" t="s">
        <v>4</v>
      </c>
      <c r="S4" s="160" t="s">
        <v>43</v>
      </c>
      <c r="T4" s="160" t="s">
        <v>44</v>
      </c>
      <c r="U4" s="160" t="s">
        <v>28</v>
      </c>
      <c r="V4" s="160" t="s">
        <v>29</v>
      </c>
    </row>
    <row r="5" spans="2:22" ht="15.75" x14ac:dyDescent="0.5">
      <c r="B5" s="11"/>
      <c r="C5" s="11"/>
      <c r="D5" s="11"/>
      <c r="E5" s="11"/>
      <c r="F5" s="11"/>
      <c r="N5" s="157" t="s">
        <v>105</v>
      </c>
      <c r="O5" s="161"/>
      <c r="P5" s="157" t="str">
        <f>LEFT($N$5,1)&amp;LEFT(B2,1)&amp;EnergyBalance!$C$42</f>
        <v>DROT</v>
      </c>
      <c r="Q5" s="157" t="str">
        <f>LEFT($D$2,6)&amp;" "&amp;$C$2&amp; " Sector - "&amp;EnergyBalance!$N$42</f>
        <v>Demand Residential Sector - Other</v>
      </c>
      <c r="R5" s="157" t="str">
        <f>$E$2</f>
        <v>PJ</v>
      </c>
      <c r="S5" s="157"/>
      <c r="T5" s="157"/>
      <c r="U5" s="157"/>
      <c r="V5" s="157"/>
    </row>
    <row r="6" spans="2:22" x14ac:dyDescent="0.35">
      <c r="N6" s="161" t="s">
        <v>136</v>
      </c>
      <c r="O6" s="161"/>
      <c r="P6" s="161" t="str">
        <f>$B$2&amp;EnergyBalance!$C$46</f>
        <v>RSDCO2</v>
      </c>
      <c r="Q6" s="161" t="str">
        <f>$C$2&amp;" "&amp;EnergyBalance!$C$47</f>
        <v>Residential Carbon dioxide</v>
      </c>
      <c r="R6" s="161" t="str">
        <f>EnergyBalance!$S$2</f>
        <v>kt</v>
      </c>
      <c r="S6" s="161"/>
      <c r="T6" s="161"/>
      <c r="U6" s="161"/>
      <c r="V6" s="161"/>
    </row>
    <row r="8" spans="2:22" ht="13.15" x14ac:dyDescent="0.4">
      <c r="D8" s="6" t="s">
        <v>13</v>
      </c>
      <c r="E8" s="6"/>
      <c r="F8" s="6"/>
      <c r="H8" s="6"/>
      <c r="I8" s="7"/>
      <c r="J8" s="5"/>
      <c r="K8" s="12"/>
      <c r="N8" s="156" t="s">
        <v>15</v>
      </c>
      <c r="O8" s="156"/>
      <c r="P8" s="161"/>
      <c r="Q8" s="161"/>
      <c r="R8" s="161"/>
      <c r="S8" s="161"/>
      <c r="T8" s="161"/>
      <c r="U8" s="161"/>
      <c r="V8" s="161"/>
    </row>
    <row r="9" spans="2:22" ht="13.15" x14ac:dyDescent="0.4">
      <c r="B9" s="20" t="s">
        <v>1</v>
      </c>
      <c r="C9" s="20" t="s">
        <v>5</v>
      </c>
      <c r="D9" s="20" t="s">
        <v>6</v>
      </c>
      <c r="E9" s="115" t="s">
        <v>188</v>
      </c>
      <c r="F9" s="116" t="s">
        <v>201</v>
      </c>
      <c r="G9" s="116" t="s">
        <v>123</v>
      </c>
      <c r="H9" s="116" t="s">
        <v>106</v>
      </c>
      <c r="I9" s="116" t="s">
        <v>107</v>
      </c>
      <c r="J9" s="115" t="s">
        <v>101</v>
      </c>
      <c r="K9" s="115" t="s">
        <v>186</v>
      </c>
      <c r="L9" s="115" t="s">
        <v>128</v>
      </c>
      <c r="N9" s="158" t="s">
        <v>11</v>
      </c>
      <c r="O9" s="159" t="s">
        <v>30</v>
      </c>
      <c r="P9" s="158" t="s">
        <v>1</v>
      </c>
      <c r="Q9" s="158" t="s">
        <v>2</v>
      </c>
      <c r="R9" s="158" t="s">
        <v>16</v>
      </c>
      <c r="S9" s="158" t="s">
        <v>17</v>
      </c>
      <c r="T9" s="158" t="s">
        <v>18</v>
      </c>
      <c r="U9" s="158" t="s">
        <v>19</v>
      </c>
      <c r="V9" s="158" t="s">
        <v>20</v>
      </c>
    </row>
    <row r="10" spans="2:22" ht="21" thickBot="1" x14ac:dyDescent="0.4">
      <c r="B10" s="18" t="s">
        <v>42</v>
      </c>
      <c r="C10" s="18" t="s">
        <v>32</v>
      </c>
      <c r="D10" s="18" t="s">
        <v>33</v>
      </c>
      <c r="E10" s="18" t="s">
        <v>34</v>
      </c>
      <c r="F10" s="18" t="s">
        <v>112</v>
      </c>
      <c r="G10" s="128" t="s">
        <v>124</v>
      </c>
      <c r="H10" s="18" t="s">
        <v>121</v>
      </c>
      <c r="I10" s="18" t="s">
        <v>120</v>
      </c>
      <c r="J10" s="18" t="s">
        <v>194</v>
      </c>
      <c r="K10" s="18"/>
      <c r="L10" s="18" t="s">
        <v>135</v>
      </c>
      <c r="N10" s="160" t="s">
        <v>41</v>
      </c>
      <c r="O10" s="160" t="s">
        <v>31</v>
      </c>
      <c r="P10" s="160" t="s">
        <v>21</v>
      </c>
      <c r="Q10" s="160" t="s">
        <v>22</v>
      </c>
      <c r="R10" s="160" t="s">
        <v>23</v>
      </c>
      <c r="S10" s="160" t="s">
        <v>24</v>
      </c>
      <c r="T10" s="160" t="s">
        <v>46</v>
      </c>
      <c r="U10" s="160" t="s">
        <v>45</v>
      </c>
      <c r="V10" s="160" t="s">
        <v>25</v>
      </c>
    </row>
    <row r="11" spans="2:22" ht="13.15" thickBot="1" x14ac:dyDescent="0.4">
      <c r="B11" s="17" t="s">
        <v>113</v>
      </c>
      <c r="C11" s="17"/>
      <c r="D11" s="17"/>
      <c r="E11" s="16" t="str">
        <f>E2&amp;"a"</f>
        <v>PJa</v>
      </c>
      <c r="F11" s="16"/>
      <c r="G11" s="118"/>
      <c r="H11" s="16" t="str">
        <f>$F$2&amp;"/"&amp;$E$2</f>
        <v>M€2005/PJ</v>
      </c>
      <c r="I11" s="16" t="str">
        <f>$F$2&amp;"/"&amp;$E$2&amp;"a"</f>
        <v>M€2005/PJa</v>
      </c>
      <c r="J11" s="16" t="s">
        <v>114</v>
      </c>
      <c r="K11" s="16"/>
      <c r="L11" s="16" t="str">
        <f>EnergyBalance!$S$2</f>
        <v>kt</v>
      </c>
      <c r="N11" s="160" t="s">
        <v>103</v>
      </c>
      <c r="O11" s="160"/>
      <c r="P11" s="160"/>
      <c r="Q11" s="160"/>
      <c r="R11" s="160"/>
      <c r="S11" s="160"/>
      <c r="T11" s="160"/>
      <c r="U11" s="160"/>
      <c r="V11" s="160"/>
    </row>
    <row r="12" spans="2:22" x14ac:dyDescent="0.35">
      <c r="B12" t="str">
        <f>P12</f>
        <v>ROTEGAS</v>
      </c>
      <c r="C12" t="str">
        <f>$B$2&amp;RIGHT(B12,3)</f>
        <v>RSDGAS</v>
      </c>
      <c r="D12" t="str">
        <f>$P$5</f>
        <v>DROT</v>
      </c>
      <c r="E12" s="90">
        <f>EnergyBalance!E16/$G$12*1.01</f>
        <v>5485.6746631578944</v>
      </c>
      <c r="F12" s="94">
        <v>1</v>
      </c>
      <c r="G12" s="94">
        <v>0.95</v>
      </c>
      <c r="H12" s="56"/>
      <c r="I12" s="94">
        <v>0.24</v>
      </c>
      <c r="J12" s="56">
        <v>10</v>
      </c>
      <c r="N12" s="157" t="s">
        <v>122</v>
      </c>
      <c r="O12" s="161"/>
      <c r="P12" s="161" t="str">
        <f>LEFT(EnergyBalance!$B$16)&amp;EnergyBalance!$C$42&amp;$H$2&amp;EnergyBalance!E2</f>
        <v>ROTEGAS</v>
      </c>
      <c r="Q12" s="161" t="str">
        <f>$D$2&amp;" "&amp;$C$2&amp; " Sector - "&amp;" "&amp;$H$1&amp;" "&amp;EnergyBalance!$N$42&amp;" - "&amp;EnergyBalance!$E$3</f>
        <v>Demand Technologies Residential Sector -  Existing Other - Natural Gas</v>
      </c>
      <c r="R12" s="161" t="str">
        <f>$E$2</f>
        <v>PJ</v>
      </c>
      <c r="S12" s="161" t="str">
        <f>$E$2&amp;"a"</f>
        <v>PJa</v>
      </c>
      <c r="T12" s="161"/>
      <c r="U12" s="161"/>
      <c r="V12" s="161"/>
    </row>
    <row r="13" spans="2:22" x14ac:dyDescent="0.35">
      <c r="D13" t="str">
        <f>$P$6</f>
        <v>RSDCO2</v>
      </c>
      <c r="E13" s="9"/>
      <c r="F13" s="19"/>
      <c r="G13" s="19"/>
      <c r="I13" s="19"/>
      <c r="L13" s="56">
        <f>56.1/F12</f>
        <v>56.1</v>
      </c>
      <c r="N13" s="157"/>
      <c r="O13" s="161"/>
      <c r="P13" s="161" t="str">
        <f>LEFT(EnergyBalance!$B$16)&amp;EnergyBalance!$C$42&amp;$I$2&amp;EnergyBalance!E2</f>
        <v>ROTNGAS</v>
      </c>
      <c r="Q13" s="161" t="str">
        <f>$D$2&amp;" "&amp;$C$2&amp; " Sector - "&amp;" "&amp;$I$1&amp;" "&amp;EnergyBalance!$N$42&amp;" - "&amp;EnergyBalance!$E$3</f>
        <v>Demand Technologies Residential Sector -  New Other - Natural Gas</v>
      </c>
      <c r="R13" s="161" t="str">
        <f>$E$2</f>
        <v>PJ</v>
      </c>
      <c r="S13" s="161" t="str">
        <f>$E$2&amp;"a"</f>
        <v>PJa</v>
      </c>
      <c r="T13" s="161"/>
      <c r="U13" s="161"/>
      <c r="V13" s="161"/>
    </row>
    <row r="14" spans="2:22" x14ac:dyDescent="0.35">
      <c r="B14" t="str">
        <f>P13</f>
        <v>ROTNGAS</v>
      </c>
      <c r="C14" t="str">
        <f>$B$2&amp;RIGHT(B14,3)</f>
        <v>RSDGAS</v>
      </c>
      <c r="D14" t="str">
        <f>$P$5</f>
        <v>DROT</v>
      </c>
      <c r="E14" s="9"/>
      <c r="F14" s="94">
        <v>1.2</v>
      </c>
      <c r="G14" s="94">
        <v>0.95</v>
      </c>
      <c r="H14" s="56">
        <v>12</v>
      </c>
      <c r="I14" s="94">
        <f>H14*0.02</f>
        <v>0.24</v>
      </c>
      <c r="J14" s="56">
        <v>20</v>
      </c>
      <c r="K14" s="55">
        <v>2006</v>
      </c>
      <c r="Q14" s="22"/>
    </row>
    <row r="15" spans="2:22" x14ac:dyDescent="0.35">
      <c r="D15" t="str">
        <f>$P$6</f>
        <v>RSDCO2</v>
      </c>
      <c r="E15" s="9"/>
      <c r="F15" s="19"/>
      <c r="G15" s="19"/>
      <c r="I15" s="19"/>
      <c r="K15" s="9"/>
      <c r="L15" s="152">
        <f>56.1/F14</f>
        <v>46.75</v>
      </c>
      <c r="Q15" s="22"/>
    </row>
    <row r="18" spans="2:13" x14ac:dyDescent="0.35">
      <c r="I18" s="12"/>
    </row>
    <row r="19" spans="2:13" x14ac:dyDescent="0.35">
      <c r="I19" s="12"/>
    </row>
    <row r="23" spans="2:13" x14ac:dyDescent="0.35">
      <c r="B23" s="56"/>
      <c r="C23" s="1" t="s">
        <v>180</v>
      </c>
    </row>
    <row r="24" spans="2:13" x14ac:dyDescent="0.35">
      <c r="B24" s="91"/>
      <c r="C24" s="1" t="s">
        <v>181</v>
      </c>
      <c r="K24" s="1"/>
    </row>
    <row r="25" spans="2:13" x14ac:dyDescent="0.35">
      <c r="K25" s="1"/>
      <c r="L25" s="1"/>
      <c r="M25" s="1"/>
    </row>
    <row r="26" spans="2:13" x14ac:dyDescent="0.35">
      <c r="K26" s="1"/>
      <c r="L26" s="1"/>
      <c r="M26" s="1"/>
    </row>
    <row r="27" spans="2:13" x14ac:dyDescent="0.35">
      <c r="K27" s="1"/>
      <c r="L27" s="1"/>
      <c r="M27" s="1"/>
    </row>
    <row r="28" spans="2:13" x14ac:dyDescent="0.35">
      <c r="L28" s="1"/>
      <c r="M28" s="1"/>
    </row>
  </sheetData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1:K23"/>
  <sheetViews>
    <sheetView workbookViewId="0">
      <selection activeCell="K34" sqref="K34"/>
    </sheetView>
  </sheetViews>
  <sheetFormatPr defaultRowHeight="12.75" x14ac:dyDescent="0.35"/>
  <cols>
    <col min="1" max="1" width="2" bestFit="1" customWidth="1"/>
    <col min="2" max="2" width="12.59765625" customWidth="1"/>
    <col min="3" max="3" width="13.1328125" customWidth="1"/>
    <col min="4" max="4" width="11.59765625" customWidth="1"/>
    <col min="5" max="5" width="11.73046875" bestFit="1" customWidth="1"/>
    <col min="6" max="9" width="11.265625" customWidth="1"/>
    <col min="10" max="10" width="2" bestFit="1" customWidth="1"/>
    <col min="11" max="11" width="12.3984375" customWidth="1"/>
    <col min="12" max="12" width="11.3984375" bestFit="1" customWidth="1"/>
  </cols>
  <sheetData>
    <row r="1" spans="2:11" ht="14.25" x14ac:dyDescent="0.45">
      <c r="B1" s="10" t="s">
        <v>94</v>
      </c>
      <c r="C1" s="10" t="s">
        <v>95</v>
      </c>
      <c r="D1" s="10" t="s">
        <v>96</v>
      </c>
      <c r="E1" s="10" t="s">
        <v>98</v>
      </c>
      <c r="G1" s="10" t="s">
        <v>99</v>
      </c>
    </row>
    <row r="2" spans="2:11" ht="15.75" x14ac:dyDescent="0.5">
      <c r="B2" s="13" t="s">
        <v>105</v>
      </c>
      <c r="C2" s="13"/>
      <c r="D2" s="13"/>
      <c r="E2" s="13" t="str">
        <f>EnergyBalance!R2</f>
        <v>PJ</v>
      </c>
      <c r="G2" s="13" t="str">
        <f>EnergyBalance!Q2</f>
        <v>M€2005</v>
      </c>
    </row>
    <row r="5" spans="2:11" ht="13.15" x14ac:dyDescent="0.4">
      <c r="C5" s="2" t="s">
        <v>13</v>
      </c>
      <c r="D5" s="2"/>
      <c r="E5" s="1"/>
    </row>
    <row r="6" spans="2:11" ht="13.15" x14ac:dyDescent="0.35">
      <c r="B6" s="4" t="s">
        <v>102</v>
      </c>
      <c r="C6" s="4" t="s">
        <v>0</v>
      </c>
      <c r="D6" s="4" t="s">
        <v>176</v>
      </c>
      <c r="E6" s="119">
        <v>2005</v>
      </c>
      <c r="F6" s="119">
        <v>2006</v>
      </c>
      <c r="G6" s="119">
        <v>2010</v>
      </c>
      <c r="H6" s="119">
        <v>2015</v>
      </c>
      <c r="I6" s="119">
        <v>2020</v>
      </c>
    </row>
    <row r="7" spans="2:11" ht="20.65" x14ac:dyDescent="0.35">
      <c r="B7" s="18" t="s">
        <v>103</v>
      </c>
      <c r="C7" s="18" t="s">
        <v>104</v>
      </c>
      <c r="D7" s="18" t="s">
        <v>177</v>
      </c>
      <c r="E7" s="114" t="s">
        <v>36</v>
      </c>
      <c r="F7" s="114"/>
      <c r="G7" s="114"/>
      <c r="H7" s="114"/>
      <c r="I7" s="114"/>
      <c r="K7" s="99" t="s">
        <v>169</v>
      </c>
    </row>
    <row r="8" spans="2:11" ht="13.15" thickBot="1" x14ac:dyDescent="0.4">
      <c r="B8" s="17" t="s">
        <v>113</v>
      </c>
      <c r="C8" s="17"/>
      <c r="D8" s="17"/>
      <c r="E8" s="16" t="str">
        <f>E2</f>
        <v>PJ</v>
      </c>
      <c r="F8" s="16"/>
      <c r="G8" s="16"/>
      <c r="H8" s="16"/>
      <c r="I8" s="16"/>
      <c r="K8" s="100"/>
    </row>
    <row r="9" spans="2:11" x14ac:dyDescent="0.35">
      <c r="B9" s="40" t="s">
        <v>35</v>
      </c>
      <c r="C9" s="40" t="str">
        <f>DemTechs_TPS!N5</f>
        <v>TPSCOA</v>
      </c>
      <c r="D9" s="40" t="s">
        <v>97</v>
      </c>
      <c r="E9" s="120">
        <f>EnergyBalance!D24</f>
        <v>3596.8059999999982</v>
      </c>
      <c r="F9" s="121"/>
      <c r="G9" s="121"/>
      <c r="H9" s="121"/>
      <c r="I9" s="121"/>
      <c r="K9" s="96"/>
    </row>
    <row r="10" spans="2:11" x14ac:dyDescent="0.35">
      <c r="B10" t="s">
        <v>35</v>
      </c>
      <c r="C10" t="str">
        <f>DemTechs_RSD!$P$5</f>
        <v>DROT</v>
      </c>
      <c r="D10" s="1" t="s">
        <v>97</v>
      </c>
      <c r="E10" s="90">
        <f>EnergyBalance!E16</f>
        <v>5159.7929999999997</v>
      </c>
      <c r="F10" s="91"/>
      <c r="G10" s="91"/>
      <c r="H10" s="91"/>
      <c r="I10" s="91"/>
      <c r="K10" s="55"/>
    </row>
    <row r="11" spans="2:11" x14ac:dyDescent="0.35">
      <c r="B11" t="s">
        <v>35</v>
      </c>
      <c r="C11" t="str">
        <f>DemTechs_TRA!$P$5</f>
        <v>DTD1</v>
      </c>
      <c r="D11" s="1" t="s">
        <v>97</v>
      </c>
      <c r="E11" s="90">
        <f>EnergyBalance!F20</f>
        <v>14851.249</v>
      </c>
      <c r="F11" s="90"/>
      <c r="G11" s="90"/>
      <c r="H11" s="90"/>
      <c r="I11" s="90"/>
      <c r="K11" s="101"/>
    </row>
    <row r="12" spans="2:11" x14ac:dyDescent="0.35">
      <c r="B12" s="8" t="s">
        <v>35</v>
      </c>
      <c r="C12" s="8" t="str">
        <f>DemTechs_ELC!N5</f>
        <v>TPSELC</v>
      </c>
      <c r="D12" s="41" t="s">
        <v>97</v>
      </c>
      <c r="E12" s="122">
        <f>EnergyBalance!K24</f>
        <v>10422.934999999999</v>
      </c>
      <c r="F12" s="122">
        <f>$E$12*(1+$K$12)^(F6-$E$6)</f>
        <v>10527.164349999999</v>
      </c>
      <c r="G12" s="122">
        <f>$E$12*(1+$K$12)^(G6-$E$6)</f>
        <v>10954.609436539042</v>
      </c>
      <c r="H12" s="122">
        <f>$E$12*(1+$K$12)^(H6-$E$6)</f>
        <v>11513.404612722834</v>
      </c>
      <c r="I12" s="122">
        <f>$E$12*(1+$K$12)^(I6-$E$6)</f>
        <v>12100.703958839395</v>
      </c>
      <c r="K12" s="102">
        <v>0.01</v>
      </c>
    </row>
    <row r="14" spans="2:11" x14ac:dyDescent="0.35">
      <c r="E14" s="37"/>
    </row>
    <row r="15" spans="2:11" x14ac:dyDescent="0.35">
      <c r="E15" s="9"/>
    </row>
    <row r="16" spans="2:11" x14ac:dyDescent="0.35">
      <c r="E16" s="9"/>
    </row>
    <row r="22" spans="2:3" x14ac:dyDescent="0.35">
      <c r="B22" s="56"/>
      <c r="C22" s="1" t="s">
        <v>180</v>
      </c>
    </row>
    <row r="23" spans="2:3" x14ac:dyDescent="0.35">
      <c r="B23" s="91"/>
      <c r="C23" s="1" t="s">
        <v>181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W34"/>
  <sheetViews>
    <sheetView zoomScale="60" zoomScaleNormal="60" workbookViewId="0"/>
  </sheetViews>
  <sheetFormatPr defaultRowHeight="12.75" x14ac:dyDescent="0.35"/>
  <cols>
    <col min="1" max="1" width="1.86328125" customWidth="1"/>
    <col min="2" max="2" width="7.73046875" customWidth="1"/>
    <col min="3" max="3" width="6.86328125" customWidth="1"/>
    <col min="12" max="12" width="6.73046875" customWidth="1"/>
    <col min="13" max="13" width="7.1328125" customWidth="1"/>
    <col min="21" max="21" width="5.3984375" customWidth="1"/>
  </cols>
  <sheetData>
    <row r="2" spans="2:14" ht="17.649999999999999" x14ac:dyDescent="0.5">
      <c r="B2" s="103" t="s">
        <v>199</v>
      </c>
      <c r="K2" s="103"/>
    </row>
    <row r="3" spans="2:14" ht="17.649999999999999" x14ac:dyDescent="0.5">
      <c r="K3" s="103"/>
    </row>
    <row r="4" spans="2:14" ht="17.649999999999999" x14ac:dyDescent="0.5">
      <c r="B4" s="103" t="s">
        <v>182</v>
      </c>
    </row>
    <row r="6" spans="2:14" ht="13.15" x14ac:dyDescent="0.4">
      <c r="B6" s="33" t="s">
        <v>196</v>
      </c>
    </row>
    <row r="11" spans="2:14" ht="13.15" x14ac:dyDescent="0.4">
      <c r="M11" s="33"/>
      <c r="N11" s="33"/>
    </row>
    <row r="12" spans="2:14" x14ac:dyDescent="0.35">
      <c r="N12" s="1"/>
    </row>
    <row r="13" spans="2:14" x14ac:dyDescent="0.35">
      <c r="N13" s="1"/>
    </row>
    <row r="14" spans="2:14" x14ac:dyDescent="0.35">
      <c r="N14" s="1"/>
    </row>
    <row r="15" spans="2:14" ht="17.649999999999999" x14ac:dyDescent="0.5">
      <c r="B15" s="103" t="s">
        <v>200</v>
      </c>
    </row>
    <row r="17" spans="4:23" ht="13.15" x14ac:dyDescent="0.4">
      <c r="D17" s="104" t="s">
        <v>183</v>
      </c>
      <c r="E17" s="104"/>
      <c r="F17" s="104"/>
      <c r="G17" s="104"/>
      <c r="H17" s="104"/>
      <c r="I17" s="104"/>
      <c r="L17" s="104" t="s">
        <v>184</v>
      </c>
      <c r="M17" s="104"/>
      <c r="N17" s="104"/>
      <c r="O17" s="104"/>
      <c r="T17" s="104" t="s">
        <v>185</v>
      </c>
      <c r="U17" s="104"/>
      <c r="V17" s="104"/>
      <c r="W17" s="104"/>
    </row>
    <row r="33" spans="2:2" x14ac:dyDescent="0.35">
      <c r="B33" s="148"/>
    </row>
    <row r="34" spans="2:2" x14ac:dyDescent="0.35">
      <c r="B34" t="s">
        <v>197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27"/>
  <sheetViews>
    <sheetView zoomScaleNormal="100" workbookViewId="0"/>
  </sheetViews>
  <sheetFormatPr defaultRowHeight="12.75" x14ac:dyDescent="0.35"/>
  <cols>
    <col min="1" max="1" width="2" bestFit="1" customWidth="1"/>
    <col min="2" max="2" width="11.59765625" bestFit="1" customWidth="1"/>
    <col min="3" max="3" width="11.265625" bestFit="1" customWidth="1"/>
    <col min="4" max="4" width="11.73046875" customWidth="1"/>
    <col min="5" max="5" width="11.3984375" bestFit="1" customWidth="1"/>
    <col min="6" max="6" width="8.265625" bestFit="1" customWidth="1"/>
    <col min="7" max="7" width="13.73046875" customWidth="1"/>
    <col min="8" max="8" width="7.73046875" bestFit="1" customWidth="1"/>
    <col min="9" max="9" width="13.73046875" bestFit="1" customWidth="1"/>
    <col min="10" max="10" width="2" customWidth="1"/>
    <col min="11" max="11" width="13.73046875" customWidth="1"/>
    <col min="12" max="12" width="7.1328125" customWidth="1"/>
    <col min="13" max="13" width="11.3984375" bestFit="1" customWidth="1"/>
    <col min="14" max="14" width="35" bestFit="1" customWidth="1"/>
    <col min="15" max="15" width="6.59765625" customWidth="1"/>
    <col min="16" max="16" width="11.59765625" customWidth="1"/>
    <col min="17" max="17" width="13" customWidth="1"/>
    <col min="18" max="18" width="15.1328125" customWidth="1"/>
    <col min="19" max="19" width="7.59765625" bestFit="1" customWidth="1"/>
  </cols>
  <sheetData>
    <row r="1" spans="2:19" ht="14.25" x14ac:dyDescent="0.4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5.75" x14ac:dyDescent="0.5">
      <c r="B2" s="13"/>
      <c r="C2" s="13" t="str">
        <f>EnergyBalance!D2</f>
        <v>COA</v>
      </c>
      <c r="D2" s="13" t="str">
        <f>EnergyBalance!D3</f>
        <v>Solid Fuels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ht="13.15" x14ac:dyDescent="0.4"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1" thickBot="1" x14ac:dyDescent="0.4">
      <c r="C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35">
      <c r="K5" s="157" t="s">
        <v>93</v>
      </c>
      <c r="L5" s="161"/>
      <c r="M5" s="157" t="str">
        <f>C2</f>
        <v>COA</v>
      </c>
      <c r="N5" s="157" t="str">
        <f>D2</f>
        <v>Solid Fuels</v>
      </c>
      <c r="O5" s="157" t="str">
        <f>$E$2</f>
        <v>PJ</v>
      </c>
      <c r="P5" s="157"/>
      <c r="Q5" s="157"/>
      <c r="R5" s="157"/>
      <c r="S5" s="157"/>
    </row>
    <row r="6" spans="2:19" x14ac:dyDescent="0.35">
      <c r="K6" s="1"/>
      <c r="M6" s="1"/>
      <c r="N6" s="1"/>
      <c r="O6" s="1"/>
      <c r="P6" s="1"/>
      <c r="Q6" s="1"/>
      <c r="R6" s="1"/>
      <c r="S6" s="1"/>
    </row>
    <row r="7" spans="2:19" ht="13.15" x14ac:dyDescent="0.4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ht="13.15" x14ac:dyDescent="0.4">
      <c r="B8" s="3" t="s">
        <v>1</v>
      </c>
      <c r="C8" s="21" t="s">
        <v>5</v>
      </c>
      <c r="D8" s="3" t="s">
        <v>6</v>
      </c>
      <c r="E8" s="3" t="s">
        <v>149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1" thickBot="1" x14ac:dyDescent="0.4">
      <c r="B9" s="17" t="s">
        <v>42</v>
      </c>
      <c r="C9" s="17" t="s">
        <v>32</v>
      </c>
      <c r="D9" s="17" t="s">
        <v>33</v>
      </c>
      <c r="E9" s="17"/>
      <c r="F9" s="126"/>
      <c r="G9" s="126" t="s">
        <v>39</v>
      </c>
      <c r="H9" s="126" t="s">
        <v>116</v>
      </c>
      <c r="I9" s="126" t="s">
        <v>115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15" thickBot="1" x14ac:dyDescent="0.4">
      <c r="B10" s="17" t="s">
        <v>113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35">
      <c r="B11" s="1" t="str">
        <f>M11</f>
        <v>MINCOA1</v>
      </c>
      <c r="C11" s="1"/>
      <c r="D11" s="1" t="str">
        <f>$M$5</f>
        <v>COA</v>
      </c>
      <c r="E11" s="1">
        <v>2005</v>
      </c>
      <c r="F11" s="1"/>
      <c r="G11" s="93">
        <v>80000</v>
      </c>
      <c r="H11" s="95">
        <v>2</v>
      </c>
      <c r="I11" s="89">
        <f>EnergyBalance!$D$5*EnergyBalance!D37</f>
        <v>6073.7685000000001</v>
      </c>
      <c r="K11" s="157" t="str">
        <f>EnergyBalance!$B$5</f>
        <v>MIN</v>
      </c>
      <c r="L11" s="161"/>
      <c r="M11" s="161" t="str">
        <f>$K$11&amp;$C$2&amp;1</f>
        <v>MINCOA1</v>
      </c>
      <c r="N11" s="163" t="str">
        <f>"Domestic Supply of "&amp;$D$2&amp; " Step "&amp;RIGHT(M11,1)</f>
        <v>Domestic Supply of Solid Fuels Step 1</v>
      </c>
      <c r="O11" s="161" t="str">
        <f>$E$2</f>
        <v>PJ</v>
      </c>
      <c r="P11" s="161"/>
      <c r="Q11" s="161"/>
      <c r="R11" s="161"/>
      <c r="S11" s="161"/>
    </row>
    <row r="12" spans="2:19" x14ac:dyDescent="0.35">
      <c r="B12" s="1"/>
      <c r="C12" s="1"/>
      <c r="D12" s="1"/>
      <c r="E12">
        <v>0</v>
      </c>
      <c r="F12" s="1"/>
      <c r="G12" s="14"/>
      <c r="H12" s="32"/>
      <c r="I12" s="142">
        <v>5</v>
      </c>
      <c r="K12" s="161"/>
      <c r="L12" s="161"/>
      <c r="M12" s="161" t="str">
        <f>$K$11&amp;$C$2&amp;2</f>
        <v>MINCOA2</v>
      </c>
      <c r="N12" s="163" t="str">
        <f>"Domestic Supply of "&amp;$D$2&amp; " Step "&amp;RIGHT(M12,1)</f>
        <v>Domestic Supply of Solid Fuels Step 2</v>
      </c>
      <c r="O12" s="161" t="str">
        <f>$E$2</f>
        <v>PJ</v>
      </c>
      <c r="P12" s="161"/>
      <c r="Q12" s="161"/>
      <c r="R12" s="161"/>
      <c r="S12" s="161"/>
    </row>
    <row r="13" spans="2:19" x14ac:dyDescent="0.35">
      <c r="B13" s="1" t="str">
        <f>M12</f>
        <v>MINCOA2</v>
      </c>
      <c r="C13" s="1"/>
      <c r="D13" s="1" t="str">
        <f>$M$5</f>
        <v>COA</v>
      </c>
      <c r="E13" s="1">
        <v>2005</v>
      </c>
      <c r="F13" s="1"/>
      <c r="G13" s="93">
        <v>160000</v>
      </c>
      <c r="H13" s="95">
        <v>2.5</v>
      </c>
      <c r="I13" s="89">
        <f>EnergyBalance!$D$5*EnergyBalance!D38</f>
        <v>2024.5895</v>
      </c>
      <c r="K13" s="161"/>
      <c r="L13" s="161"/>
      <c r="M13" s="161" t="str">
        <f>$K$11&amp;$C$2&amp;3</f>
        <v>MINCOA3</v>
      </c>
      <c r="N13" s="163" t="str">
        <f>"Domestic Supply of "&amp;$D$2&amp; " Step "&amp;RIGHT(M13,1)</f>
        <v>Domestic Supply of Solid Fuels Step 3</v>
      </c>
      <c r="O13" s="161" t="str">
        <f>$E$2</f>
        <v>PJ</v>
      </c>
      <c r="P13" s="161"/>
      <c r="Q13" s="161"/>
      <c r="R13" s="161"/>
      <c r="S13" s="161"/>
    </row>
    <row r="14" spans="2:19" x14ac:dyDescent="0.35">
      <c r="B14" s="1"/>
      <c r="C14" s="1"/>
      <c r="D14" s="1"/>
      <c r="E14">
        <v>0</v>
      </c>
      <c r="F14" s="1"/>
      <c r="G14" s="14"/>
      <c r="H14" s="32"/>
      <c r="I14" s="142">
        <v>5</v>
      </c>
      <c r="K14" s="161" t="str">
        <f>EnergyBalance!$B$6</f>
        <v>IMP</v>
      </c>
      <c r="L14" s="161"/>
      <c r="M14" s="161" t="str">
        <f>$K$14&amp;$C$2&amp;1</f>
        <v>IMPCOA1</v>
      </c>
      <c r="N14" s="163" t="str">
        <f>"Import of "&amp;$D$2&amp; " Step "&amp;RIGHT(M14,1)</f>
        <v>Import of Solid Fuels Step 1</v>
      </c>
      <c r="O14" s="161" t="str">
        <f>$E$2</f>
        <v>PJ</v>
      </c>
      <c r="P14" s="161"/>
      <c r="Q14" s="161"/>
      <c r="R14" s="161"/>
      <c r="S14" s="161"/>
    </row>
    <row r="15" spans="2:19" x14ac:dyDescent="0.35">
      <c r="B15" s="1" t="str">
        <f>M13</f>
        <v>MINCOA3</v>
      </c>
      <c r="C15" s="1"/>
      <c r="D15" s="1" t="str">
        <f>$M$5</f>
        <v>COA</v>
      </c>
      <c r="E15" s="1"/>
      <c r="F15" s="1"/>
      <c r="G15" s="93">
        <v>320000</v>
      </c>
      <c r="H15" s="95">
        <v>3</v>
      </c>
      <c r="I15" s="142"/>
      <c r="K15" s="161" t="str">
        <f>EnergyBalance!B7</f>
        <v>EXP</v>
      </c>
      <c r="L15" s="161"/>
      <c r="M15" s="161" t="str">
        <f>$K$15&amp;$C$2&amp;1</f>
        <v>EXPCOA1</v>
      </c>
      <c r="N15" s="163" t="str">
        <f>"Export of "&amp;$D$2&amp; " Step "&amp;RIGHT(M15,1)</f>
        <v>Export of Solid Fuels Step 1</v>
      </c>
      <c r="O15" s="161" t="str">
        <f>$E$2</f>
        <v>PJ</v>
      </c>
      <c r="P15" s="161"/>
      <c r="Q15" s="161"/>
      <c r="R15" s="161"/>
      <c r="S15" s="161"/>
    </row>
    <row r="16" spans="2:19" x14ac:dyDescent="0.35">
      <c r="B16" s="1" t="str">
        <f>M14</f>
        <v>IMPCOA1</v>
      </c>
      <c r="C16" s="1"/>
      <c r="D16" s="1" t="str">
        <f>$M$5</f>
        <v>COA</v>
      </c>
      <c r="E16" s="1"/>
      <c r="F16" s="1"/>
      <c r="G16" s="1"/>
      <c r="H16" s="95">
        <v>2.75</v>
      </c>
    </row>
    <row r="17" spans="1:20" x14ac:dyDescent="0.35">
      <c r="B17" s="1" t="str">
        <f>M15</f>
        <v>EXPCOA1</v>
      </c>
      <c r="C17" s="1" t="str">
        <f>$M$5</f>
        <v>COA</v>
      </c>
      <c r="D17" s="1"/>
      <c r="E17" s="1">
        <v>2005</v>
      </c>
      <c r="F17" s="1" t="s">
        <v>190</v>
      </c>
      <c r="H17" s="95">
        <v>2.75</v>
      </c>
      <c r="I17" s="90">
        <f>-EnergyBalance!D7</f>
        <v>1147.069</v>
      </c>
    </row>
    <row r="18" spans="1:20" x14ac:dyDescent="0.35">
      <c r="B18" s="1"/>
      <c r="C18" s="1"/>
      <c r="E18">
        <v>0</v>
      </c>
      <c r="F18" s="1" t="s">
        <v>190</v>
      </c>
      <c r="I18" s="142">
        <v>5</v>
      </c>
    </row>
    <row r="22" spans="1:20" x14ac:dyDescent="0.35">
      <c r="B22" s="93"/>
      <c r="C22" s="1" t="s">
        <v>180</v>
      </c>
    </row>
    <row r="23" spans="1:20" x14ac:dyDescent="0.35">
      <c r="B23" s="91"/>
      <c r="C23" s="1" t="s">
        <v>181</v>
      </c>
    </row>
    <row r="25" spans="1:20" s="1" customFormat="1" x14ac:dyDescent="0.35">
      <c r="A25"/>
      <c r="B25"/>
      <c r="C25"/>
      <c r="D25"/>
      <c r="E25"/>
      <c r="F25"/>
      <c r="G25"/>
      <c r="H25"/>
      <c r="I25"/>
      <c r="J25"/>
      <c r="K25"/>
      <c r="L25"/>
      <c r="M25"/>
      <c r="N25"/>
      <c r="O25"/>
      <c r="P25"/>
      <c r="Q25"/>
      <c r="R25"/>
      <c r="S25"/>
      <c r="T25"/>
    </row>
    <row r="26" spans="1:20" x14ac:dyDescent="0.35">
      <c r="T26" s="1"/>
    </row>
    <row r="27" spans="1:20" x14ac:dyDescent="0.35">
      <c r="A27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26"/>
  <sheetViews>
    <sheetView zoomScaleNormal="100" workbookViewId="0"/>
  </sheetViews>
  <sheetFormatPr defaultRowHeight="12.75" x14ac:dyDescent="0.35"/>
  <cols>
    <col min="1" max="1" width="2" bestFit="1" customWidth="1"/>
    <col min="2" max="2" width="11.59765625" bestFit="1" customWidth="1"/>
    <col min="3" max="3" width="13.59765625" customWidth="1"/>
    <col min="4" max="4" width="12" bestFit="1" customWidth="1"/>
    <col min="5" max="5" width="7.59765625" bestFit="1" customWidth="1"/>
    <col min="6" max="6" width="8.265625" bestFit="1" customWidth="1"/>
    <col min="7" max="7" width="14.1328125" customWidth="1"/>
    <col min="8" max="8" width="8.73046875" customWidth="1"/>
    <col min="9" max="9" width="14.59765625" customWidth="1"/>
    <col min="10" max="10" width="2" customWidth="1"/>
    <col min="11" max="11" width="13.73046875" customWidth="1"/>
    <col min="12" max="12" width="7.1328125" customWidth="1"/>
    <col min="13" max="13" width="11.3984375" bestFit="1" customWidth="1"/>
    <col min="14" max="14" width="35" bestFit="1" customWidth="1"/>
    <col min="15" max="15" width="6.73046875" customWidth="1"/>
    <col min="16" max="16" width="11.59765625" customWidth="1"/>
    <col min="17" max="17" width="13" customWidth="1"/>
    <col min="18" max="18" width="15.1328125" customWidth="1"/>
    <col min="19" max="19" width="7.59765625" bestFit="1" customWidth="1"/>
  </cols>
  <sheetData>
    <row r="1" spans="2:19" ht="28.5" x14ac:dyDescent="0.4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5.75" x14ac:dyDescent="0.5">
      <c r="B2" s="13"/>
      <c r="C2" s="13" t="str">
        <f>EnergyBalance!E2</f>
        <v>GAS</v>
      </c>
      <c r="D2" s="13" t="str">
        <f>EnergyBalance!E3</f>
        <v>Natural Gas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ht="13.15" x14ac:dyDescent="0.4"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1" thickBot="1" x14ac:dyDescent="0.4">
      <c r="C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35">
      <c r="K5" s="157" t="s">
        <v>93</v>
      </c>
      <c r="L5" s="161"/>
      <c r="M5" s="157" t="str">
        <f>C2</f>
        <v>GAS</v>
      </c>
      <c r="N5" s="157" t="str">
        <f>D2</f>
        <v>Natural Gas</v>
      </c>
      <c r="O5" s="157" t="str">
        <f>$E$2</f>
        <v>PJ</v>
      </c>
      <c r="P5" s="157"/>
      <c r="Q5" s="157"/>
      <c r="R5" s="157"/>
      <c r="S5" s="157"/>
    </row>
    <row r="7" spans="2:19" ht="13.15" x14ac:dyDescent="0.4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ht="13.15" x14ac:dyDescent="0.4">
      <c r="B8" s="3" t="s">
        <v>1</v>
      </c>
      <c r="C8" s="21" t="s">
        <v>5</v>
      </c>
      <c r="D8" s="3" t="s">
        <v>6</v>
      </c>
      <c r="E8" s="3" t="s">
        <v>149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1" thickBot="1" x14ac:dyDescent="0.4">
      <c r="B9" s="17" t="s">
        <v>42</v>
      </c>
      <c r="C9" s="17" t="s">
        <v>32</v>
      </c>
      <c r="D9" s="17" t="s">
        <v>33</v>
      </c>
      <c r="E9" s="17"/>
      <c r="F9" s="17"/>
      <c r="G9" s="17" t="s">
        <v>39</v>
      </c>
      <c r="H9" s="17" t="s">
        <v>116</v>
      </c>
      <c r="I9" s="17" t="s">
        <v>115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15" thickBot="1" x14ac:dyDescent="0.4">
      <c r="B10" s="17" t="s">
        <v>113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35">
      <c r="B11" s="1" t="str">
        <f>M11</f>
        <v>MINGAS1</v>
      </c>
      <c r="C11" s="1"/>
      <c r="D11" s="1" t="str">
        <f>$M$5</f>
        <v>GAS</v>
      </c>
      <c r="E11" s="1">
        <v>2005</v>
      </c>
      <c r="F11" s="1"/>
      <c r="G11" s="93">
        <v>15000</v>
      </c>
      <c r="H11" s="95">
        <v>3.6</v>
      </c>
      <c r="I11" s="89">
        <f>EnergyBalance!$E$5*EnergyBalance!E37</f>
        <v>3949.7485000000001</v>
      </c>
      <c r="K11" s="157" t="str">
        <f>EnergyBalance!$B$5</f>
        <v>MIN</v>
      </c>
      <c r="L11" s="161"/>
      <c r="M11" s="161" t="str">
        <f>$K$11&amp;$C$2&amp;1</f>
        <v>MINGAS1</v>
      </c>
      <c r="N11" s="163" t="str">
        <f>"Domestic Supply of "&amp;$D$2&amp; " Step "&amp;RIGHT(M11,1)</f>
        <v>Domestic Supply of Natural Gas Step 1</v>
      </c>
      <c r="O11" s="161" t="str">
        <f>$E$2</f>
        <v>PJ</v>
      </c>
      <c r="P11" s="161"/>
      <c r="Q11" s="161"/>
      <c r="R11" s="161"/>
      <c r="S11" s="161"/>
    </row>
    <row r="12" spans="2:19" x14ac:dyDescent="0.35">
      <c r="B12" s="1"/>
      <c r="C12" s="1"/>
      <c r="D12" s="1"/>
      <c r="E12">
        <v>0</v>
      </c>
      <c r="F12" s="1"/>
      <c r="G12" s="14"/>
      <c r="H12" s="32"/>
      <c r="I12" s="142">
        <v>5</v>
      </c>
      <c r="K12" s="161"/>
      <c r="L12" s="161"/>
      <c r="M12" s="161" t="str">
        <f>$K$11&amp;$C$2&amp;2</f>
        <v>MINGAS2</v>
      </c>
      <c r="N12" s="163" t="str">
        <f>"Domestic Supply of "&amp;$D$2&amp; " Step "&amp;RIGHT(M12,1)</f>
        <v>Domestic Supply of Natural Gas Step 2</v>
      </c>
      <c r="O12" s="161" t="str">
        <f>$E$2</f>
        <v>PJ</v>
      </c>
      <c r="P12" s="161"/>
      <c r="Q12" s="161"/>
      <c r="R12" s="161"/>
      <c r="S12" s="161"/>
    </row>
    <row r="13" spans="2:19" x14ac:dyDescent="0.35">
      <c r="B13" s="1" t="str">
        <f>M12</f>
        <v>MINGAS2</v>
      </c>
      <c r="C13" s="1"/>
      <c r="D13" s="1" t="str">
        <f>$M$5</f>
        <v>GAS</v>
      </c>
      <c r="E13" s="1">
        <v>2005</v>
      </c>
      <c r="F13" s="1"/>
      <c r="G13" s="93">
        <v>20000</v>
      </c>
      <c r="H13" s="95">
        <v>4.1399999999999997</v>
      </c>
      <c r="I13" s="89">
        <f>EnergyBalance!$E$5*EnergyBalance!E38</f>
        <v>3949.7485000000001</v>
      </c>
      <c r="K13" s="161"/>
      <c r="L13" s="161"/>
      <c r="M13" s="161" t="str">
        <f>$K$11&amp;$C$2&amp;3</f>
        <v>MINGAS3</v>
      </c>
      <c r="N13" s="163" t="str">
        <f>"Domestic Supply of "&amp;$D$2&amp; " Step "&amp;RIGHT(M13,1)</f>
        <v>Domestic Supply of Natural Gas Step 3</v>
      </c>
      <c r="O13" s="161" t="str">
        <f>$E$2</f>
        <v>PJ</v>
      </c>
      <c r="P13" s="161"/>
      <c r="Q13" s="161"/>
      <c r="R13" s="161"/>
      <c r="S13" s="161"/>
    </row>
    <row r="14" spans="2:19" x14ac:dyDescent="0.35">
      <c r="B14" s="1"/>
      <c r="C14" s="1"/>
      <c r="D14" s="1"/>
      <c r="E14">
        <v>0</v>
      </c>
      <c r="F14" s="1"/>
      <c r="G14" s="14"/>
      <c r="H14" s="32"/>
      <c r="I14" s="142">
        <v>5</v>
      </c>
      <c r="K14" s="161" t="str">
        <f>EnergyBalance!$B$6</f>
        <v>IMP</v>
      </c>
      <c r="L14" s="161"/>
      <c r="M14" s="161" t="str">
        <f>$K$14&amp;$C$2&amp;1</f>
        <v>IMPGAS1</v>
      </c>
      <c r="N14" s="163" t="str">
        <f>"Import of "&amp;$D$2&amp; " Step "&amp;RIGHT(M14,1)</f>
        <v>Import of Natural Gas Step 1</v>
      </c>
      <c r="O14" s="161" t="str">
        <f>$E$2</f>
        <v>PJ</v>
      </c>
      <c r="P14" s="161"/>
      <c r="Q14" s="161"/>
      <c r="R14" s="161"/>
      <c r="S14" s="161"/>
    </row>
    <row r="15" spans="2:19" x14ac:dyDescent="0.35">
      <c r="B15" s="1" t="str">
        <f>M13</f>
        <v>MINGAS3</v>
      </c>
      <c r="C15" s="1"/>
      <c r="D15" s="1" t="str">
        <f>$M$5</f>
        <v>GAS</v>
      </c>
      <c r="E15" s="1"/>
      <c r="F15" s="1"/>
      <c r="G15" s="93"/>
      <c r="H15" s="95">
        <v>5.4</v>
      </c>
      <c r="I15" s="142"/>
      <c r="K15" s="161" t="str">
        <f>EnergyBalance!B7</f>
        <v>EXP</v>
      </c>
      <c r="L15" s="161"/>
      <c r="M15" s="161" t="str">
        <f>$K$15&amp;$C$2&amp;1</f>
        <v>EXPGAS1</v>
      </c>
      <c r="N15" s="163" t="str">
        <f>"Export of "&amp;$D$2&amp; " Step "&amp;RIGHT(M15,1)</f>
        <v>Export of Natural Gas Step 1</v>
      </c>
      <c r="O15" s="161" t="str">
        <f>$E$2</f>
        <v>PJ</v>
      </c>
      <c r="P15" s="161"/>
      <c r="Q15" s="161"/>
      <c r="R15" s="161"/>
      <c r="S15" s="161"/>
    </row>
    <row r="16" spans="2:19" x14ac:dyDescent="0.35">
      <c r="B16" s="1" t="str">
        <f>M14</f>
        <v>IMPGAS1</v>
      </c>
      <c r="C16" s="1"/>
      <c r="D16" s="1" t="str">
        <f>$M$5</f>
        <v>GAS</v>
      </c>
      <c r="E16" s="1"/>
      <c r="F16" s="1"/>
      <c r="G16" s="1"/>
      <c r="H16" s="95">
        <v>4.5</v>
      </c>
    </row>
    <row r="17" spans="1:20" x14ac:dyDescent="0.35">
      <c r="B17" s="1" t="str">
        <f>M15</f>
        <v>EXPGAS1</v>
      </c>
      <c r="C17" s="1" t="str">
        <f>$M$5</f>
        <v>GAS</v>
      </c>
      <c r="D17" s="1"/>
      <c r="E17" s="1">
        <v>2005</v>
      </c>
      <c r="F17" s="1" t="s">
        <v>190</v>
      </c>
      <c r="H17" s="95">
        <v>4.5</v>
      </c>
      <c r="I17" s="90">
        <f>-EnergyBalance!E7</f>
        <v>2516.3310000000001</v>
      </c>
    </row>
    <row r="18" spans="1:20" x14ac:dyDescent="0.35">
      <c r="B18" s="1"/>
      <c r="C18" s="1"/>
      <c r="E18">
        <v>0</v>
      </c>
      <c r="F18" s="1" t="s">
        <v>190</v>
      </c>
      <c r="I18" s="142">
        <v>5</v>
      </c>
    </row>
    <row r="23" spans="1:20" s="1" customFormat="1" x14ac:dyDescent="0.35">
      <c r="A23"/>
      <c r="B23"/>
      <c r="C23"/>
      <c r="D23"/>
      <c r="E23"/>
      <c r="F23"/>
      <c r="G23"/>
      <c r="H23"/>
      <c r="I23"/>
      <c r="J23"/>
      <c r="K23"/>
      <c r="L23"/>
      <c r="M23"/>
      <c r="N23"/>
      <c r="O23"/>
      <c r="P23"/>
      <c r="Q23"/>
      <c r="R23"/>
      <c r="S23"/>
      <c r="T23"/>
    </row>
    <row r="24" spans="1:20" x14ac:dyDescent="0.35">
      <c r="B24" s="93"/>
      <c r="C24" s="1" t="s">
        <v>180</v>
      </c>
      <c r="T24" s="1"/>
    </row>
    <row r="25" spans="1:20" x14ac:dyDescent="0.35">
      <c r="A25" s="1"/>
      <c r="B25" s="91"/>
      <c r="C25" s="1" t="s">
        <v>181</v>
      </c>
    </row>
    <row r="26" spans="1:20" x14ac:dyDescent="0.35">
      <c r="J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Y26"/>
  <sheetViews>
    <sheetView zoomScaleNormal="100" workbookViewId="0"/>
  </sheetViews>
  <sheetFormatPr defaultRowHeight="12.75" x14ac:dyDescent="0.35"/>
  <cols>
    <col min="1" max="1" width="2" bestFit="1" customWidth="1"/>
    <col min="2" max="2" width="13.265625" bestFit="1" customWidth="1"/>
    <col min="3" max="3" width="11.265625" bestFit="1" customWidth="1"/>
    <col min="4" max="4" width="11.73046875" customWidth="1"/>
    <col min="5" max="5" width="7.59765625" bestFit="1" customWidth="1"/>
    <col min="6" max="6" width="8.265625" bestFit="1" customWidth="1"/>
    <col min="7" max="7" width="14.59765625" bestFit="1" customWidth="1"/>
    <col min="8" max="8" width="8.1328125" customWidth="1"/>
    <col min="9" max="9" width="13.3984375" customWidth="1"/>
    <col min="10" max="10" width="2" bestFit="1" customWidth="1"/>
    <col min="11" max="11" width="13.73046875" customWidth="1"/>
    <col min="12" max="12" width="7.1328125" customWidth="1"/>
    <col min="13" max="13" width="11.3984375" bestFit="1" customWidth="1"/>
    <col min="14" max="14" width="51.86328125" bestFit="1" customWidth="1"/>
    <col min="15" max="15" width="6.59765625" customWidth="1"/>
    <col min="16" max="16" width="11.59765625" customWidth="1"/>
    <col min="17" max="17" width="13" customWidth="1"/>
    <col min="18" max="18" width="15.1328125" customWidth="1"/>
    <col min="19" max="19" width="7.59765625" bestFit="1" customWidth="1"/>
  </cols>
  <sheetData>
    <row r="1" spans="2:19" ht="28.5" x14ac:dyDescent="0.4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5.75" x14ac:dyDescent="0.5">
      <c r="B2" s="13"/>
      <c r="C2" s="13" t="str">
        <f>EnergyBalance!F2</f>
        <v>OIL</v>
      </c>
      <c r="D2" s="13" t="str">
        <f>EnergyBalance!F3</f>
        <v>Crude Oil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ht="13.15" x14ac:dyDescent="0.4"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1" thickBot="1" x14ac:dyDescent="0.4">
      <c r="C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35">
      <c r="K5" s="157" t="s">
        <v>93</v>
      </c>
      <c r="L5" s="161"/>
      <c r="M5" s="157" t="str">
        <f>C2</f>
        <v>OIL</v>
      </c>
      <c r="N5" s="157" t="str">
        <f>D2</f>
        <v>Crude Oil</v>
      </c>
      <c r="O5" s="157" t="str">
        <f>$E$2</f>
        <v>PJ</v>
      </c>
      <c r="P5" s="157"/>
      <c r="Q5" s="157"/>
      <c r="R5" s="157"/>
      <c r="S5" s="157"/>
    </row>
    <row r="7" spans="2:19" ht="13.15" x14ac:dyDescent="0.4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ht="13.15" x14ac:dyDescent="0.4">
      <c r="B8" s="3" t="s">
        <v>1</v>
      </c>
      <c r="C8" s="21" t="s">
        <v>5</v>
      </c>
      <c r="D8" s="3" t="s">
        <v>6</v>
      </c>
      <c r="E8" s="3" t="s">
        <v>149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1" thickBot="1" x14ac:dyDescent="0.4">
      <c r="B9" s="17" t="s">
        <v>42</v>
      </c>
      <c r="C9" s="17" t="s">
        <v>32</v>
      </c>
      <c r="D9" s="17" t="s">
        <v>33</v>
      </c>
      <c r="E9" s="17"/>
      <c r="F9" s="17"/>
      <c r="G9" s="17" t="s">
        <v>39</v>
      </c>
      <c r="H9" s="17" t="s">
        <v>116</v>
      </c>
      <c r="I9" s="17" t="s">
        <v>115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15" thickBot="1" x14ac:dyDescent="0.4">
      <c r="B10" s="17" t="s">
        <v>113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35">
      <c r="B11" s="1" t="str">
        <f>M11</f>
        <v>MINOIL1</v>
      </c>
      <c r="C11" s="1"/>
      <c r="D11" s="1" t="str">
        <f>$M$5</f>
        <v>OIL</v>
      </c>
      <c r="E11">
        <v>2005</v>
      </c>
      <c r="F11" s="1"/>
      <c r="G11" s="93">
        <v>24000</v>
      </c>
      <c r="H11" s="95">
        <v>6.4</v>
      </c>
      <c r="I11" s="89">
        <f>EnergyBalance!$F$5*EnergyBalance!F37</f>
        <v>4302.8095999999996</v>
      </c>
      <c r="K11" s="157" t="str">
        <f>EnergyBalance!$B$5</f>
        <v>MIN</v>
      </c>
      <c r="L11" s="161"/>
      <c r="M11" s="161" t="str">
        <f>$K$11&amp;$C$2&amp;1</f>
        <v>MINOIL1</v>
      </c>
      <c r="N11" s="161" t="str">
        <f>"Domestic Supply of "&amp;$D$2&amp; " Step "&amp;RIGHT(M11,1)</f>
        <v>Domestic Supply of Crude Oil Step 1</v>
      </c>
      <c r="O11" s="161" t="str">
        <f>$E$2</f>
        <v>PJ</v>
      </c>
      <c r="P11" s="161"/>
      <c r="Q11" s="161"/>
      <c r="R11" s="161"/>
      <c r="S11" s="161"/>
    </row>
    <row r="12" spans="2:19" x14ac:dyDescent="0.35">
      <c r="B12" s="1"/>
      <c r="C12" s="1"/>
      <c r="D12" s="1"/>
      <c r="E12">
        <v>0</v>
      </c>
      <c r="F12" s="1"/>
      <c r="G12" s="14"/>
      <c r="H12" s="32"/>
      <c r="I12" s="142">
        <v>5</v>
      </c>
      <c r="K12" s="161"/>
      <c r="L12" s="161"/>
      <c r="M12" s="161" t="str">
        <f>$K$11&amp;$C$2&amp;2</f>
        <v>MINOIL2</v>
      </c>
      <c r="N12" s="161" t="str">
        <f>"Domestic Supply of "&amp;$D$2&amp; " Step "&amp;RIGHT(M12,1)</f>
        <v>Domestic Supply of Crude Oil Step 2</v>
      </c>
      <c r="O12" s="161" t="str">
        <f>$E$2</f>
        <v>PJ</v>
      </c>
      <c r="P12" s="161"/>
      <c r="Q12" s="161"/>
      <c r="R12" s="161"/>
      <c r="S12" s="161"/>
    </row>
    <row r="13" spans="2:19" x14ac:dyDescent="0.35">
      <c r="B13" s="1" t="str">
        <f>M12</f>
        <v>MINOIL2</v>
      </c>
      <c r="C13" s="1"/>
      <c r="D13" s="1" t="str">
        <f>$M$5</f>
        <v>OIL</v>
      </c>
      <c r="E13">
        <v>2005</v>
      </c>
      <c r="F13" s="1"/>
      <c r="G13" s="93">
        <v>6000</v>
      </c>
      <c r="H13" s="95">
        <v>7.3599999999999994</v>
      </c>
      <c r="I13" s="89">
        <f>EnergyBalance!$F$5*EnergyBalance!F38</f>
        <v>1075.7023999999999</v>
      </c>
      <c r="K13" s="161"/>
      <c r="L13" s="161"/>
      <c r="M13" s="161" t="str">
        <f>$K$11&amp;$C$2&amp;3</f>
        <v>MINOIL3</v>
      </c>
      <c r="N13" s="161" t="str">
        <f>"Domestic Supply of "&amp;$D$2&amp; " Step "&amp;RIGHT(M13,1)</f>
        <v>Domestic Supply of Crude Oil Step 3</v>
      </c>
      <c r="O13" s="161" t="str">
        <f>$E$2</f>
        <v>PJ</v>
      </c>
      <c r="P13" s="161"/>
      <c r="Q13" s="161"/>
      <c r="R13" s="161"/>
      <c r="S13" s="161"/>
    </row>
    <row r="14" spans="2:19" x14ac:dyDescent="0.35">
      <c r="B14" s="1"/>
      <c r="C14" s="1"/>
      <c r="D14" s="1"/>
      <c r="E14">
        <v>0</v>
      </c>
      <c r="F14" s="1"/>
      <c r="G14" s="14"/>
      <c r="H14" s="32"/>
      <c r="I14" s="142">
        <v>5</v>
      </c>
      <c r="K14" s="161" t="str">
        <f>EnergyBalance!$B$6</f>
        <v>IMP</v>
      </c>
      <c r="L14" s="161"/>
      <c r="M14" s="161" t="str">
        <f>$K$14&amp;$C$2&amp;1</f>
        <v>IMPOIL1</v>
      </c>
      <c r="N14" s="161" t="str">
        <f>"Import of "&amp;$D$2&amp; " Step "&amp;RIGHT(M14,1)</f>
        <v>Import of Crude Oil Step 1</v>
      </c>
      <c r="O14" s="161" t="str">
        <f>$E$2</f>
        <v>PJ</v>
      </c>
      <c r="P14" s="161"/>
      <c r="Q14" s="161"/>
      <c r="R14" s="161"/>
      <c r="S14" s="161"/>
    </row>
    <row r="15" spans="2:19" x14ac:dyDescent="0.35">
      <c r="B15" s="1" t="str">
        <f>M13</f>
        <v>MINOIL3</v>
      </c>
      <c r="C15" s="1"/>
      <c r="D15" s="1" t="str">
        <f>$M$5</f>
        <v>OIL</v>
      </c>
      <c r="E15" s="1"/>
      <c r="F15" s="1"/>
      <c r="G15" s="93">
        <v>40000</v>
      </c>
      <c r="H15" s="95">
        <v>9.6000000000000014</v>
      </c>
      <c r="I15" s="142"/>
      <c r="K15" s="161" t="str">
        <f>EnergyBalance!B7</f>
        <v>EXP</v>
      </c>
      <c r="L15" s="161"/>
      <c r="M15" s="161" t="str">
        <f>$K$15&amp;$C$2&amp;1</f>
        <v>EXPOIL1</v>
      </c>
      <c r="N15" s="161" t="str">
        <f>"Export of "&amp;$D$2&amp; " Step "&amp;RIGHT(M15,1)</f>
        <v>Export of Crude Oil Step 1</v>
      </c>
      <c r="O15" s="161" t="str">
        <f>$E$2</f>
        <v>PJ</v>
      </c>
      <c r="P15" s="161"/>
      <c r="Q15" s="161"/>
      <c r="R15" s="161"/>
      <c r="S15" s="161"/>
    </row>
    <row r="16" spans="2:19" x14ac:dyDescent="0.35">
      <c r="B16" s="1" t="str">
        <f>M14</f>
        <v>IMPOIL1</v>
      </c>
      <c r="C16" s="1"/>
      <c r="D16" s="1" t="str">
        <f>$M$5</f>
        <v>OIL</v>
      </c>
      <c r="E16" s="1"/>
      <c r="F16" s="1"/>
      <c r="G16" s="1"/>
      <c r="H16" s="95">
        <v>8</v>
      </c>
    </row>
    <row r="17" spans="2:25" x14ac:dyDescent="0.35">
      <c r="B17" s="1" t="str">
        <f>M15</f>
        <v>EXPOIL1</v>
      </c>
      <c r="C17" s="1" t="str">
        <f>$M$5</f>
        <v>OIL</v>
      </c>
      <c r="D17" s="1"/>
      <c r="E17">
        <v>2005</v>
      </c>
      <c r="F17" s="1" t="s">
        <v>190</v>
      </c>
      <c r="H17" s="95">
        <v>8</v>
      </c>
      <c r="I17" s="90">
        <f>-EnergyBalance!F7</f>
        <v>14830.662</v>
      </c>
    </row>
    <row r="18" spans="2:25" x14ac:dyDescent="0.35">
      <c r="E18">
        <v>0</v>
      </c>
      <c r="F18" s="1" t="s">
        <v>190</v>
      </c>
      <c r="G18" s="14"/>
      <c r="H18" s="32"/>
      <c r="I18" s="142">
        <v>5</v>
      </c>
      <c r="V18" s="1"/>
      <c r="W18" s="1"/>
    </row>
    <row r="19" spans="2:25" x14ac:dyDescent="0.35">
      <c r="U19" s="1"/>
      <c r="X19" s="1"/>
      <c r="Y19" s="1"/>
    </row>
    <row r="24" spans="2:25" x14ac:dyDescent="0.35">
      <c r="B24" s="93"/>
      <c r="C24" s="1" t="s">
        <v>180</v>
      </c>
    </row>
    <row r="25" spans="2:25" x14ac:dyDescent="0.35">
      <c r="B25" s="91"/>
      <c r="C25" s="1" t="s">
        <v>181</v>
      </c>
    </row>
    <row r="26" spans="2:25" x14ac:dyDescent="0.35">
      <c r="J26" s="1"/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S24"/>
  <sheetViews>
    <sheetView zoomScaleNormal="100" workbookViewId="0"/>
  </sheetViews>
  <sheetFormatPr defaultColWidth="8.86328125" defaultRowHeight="12.75" x14ac:dyDescent="0.35"/>
  <cols>
    <col min="1" max="1" width="2" style="35" bestFit="1" customWidth="1"/>
    <col min="2" max="2" width="13.86328125" customWidth="1"/>
    <col min="3" max="3" width="11.86328125" bestFit="1" customWidth="1"/>
    <col min="4" max="4" width="20.73046875" bestFit="1" customWidth="1"/>
    <col min="5" max="5" width="7.59765625" bestFit="1" customWidth="1"/>
    <col min="6" max="6" width="8.265625" bestFit="1" customWidth="1"/>
    <col min="7" max="7" width="13.86328125" customWidth="1"/>
    <col min="8" max="8" width="8.3984375" bestFit="1" customWidth="1"/>
    <col min="9" max="9" width="14.73046875" style="35" customWidth="1"/>
    <col min="10" max="10" width="2.59765625" style="35" customWidth="1"/>
    <col min="11" max="11" width="11.86328125" bestFit="1" customWidth="1"/>
    <col min="12" max="12" width="7.3984375" bestFit="1" customWidth="1"/>
    <col min="13" max="13" width="12.1328125" bestFit="1" customWidth="1"/>
    <col min="14" max="14" width="40.59765625" customWidth="1"/>
    <col min="15" max="15" width="6.1328125" bestFit="1" customWidth="1"/>
    <col min="16" max="16" width="10.3984375" bestFit="1" customWidth="1"/>
    <col min="17" max="17" width="12.86328125" bestFit="1" customWidth="1"/>
    <col min="18" max="18" width="14.1328125" bestFit="1" customWidth="1"/>
    <col min="19" max="19" width="8" bestFit="1" customWidth="1"/>
    <col min="20" max="16384" width="8.86328125" style="35"/>
  </cols>
  <sheetData>
    <row r="1" spans="2:19" ht="28.5" x14ac:dyDescent="0.4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5.75" x14ac:dyDescent="0.5">
      <c r="B2" s="13"/>
      <c r="C2" s="13" t="str">
        <f>EnergyBalance!H2</f>
        <v>RNW</v>
      </c>
      <c r="D2" s="13" t="str">
        <f>EnergyBalance!H3</f>
        <v>Renewable Energies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ht="13.15" x14ac:dyDescent="0.4">
      <c r="H3" s="12"/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1" thickBot="1" x14ac:dyDescent="0.4">
      <c r="B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35">
      <c r="K5" s="157" t="s">
        <v>93</v>
      </c>
      <c r="L5" s="161"/>
      <c r="M5" s="157" t="str">
        <f>C2</f>
        <v>RNW</v>
      </c>
      <c r="N5" s="157" t="str">
        <f>D2</f>
        <v>Renewable Energies</v>
      </c>
      <c r="O5" s="157" t="str">
        <f>$E$2</f>
        <v>PJ</v>
      </c>
      <c r="P5" s="157"/>
      <c r="Q5" s="157"/>
      <c r="R5" s="157"/>
      <c r="S5" s="157"/>
    </row>
    <row r="7" spans="2:19" ht="13.15" x14ac:dyDescent="0.4">
      <c r="F7" s="6" t="s">
        <v>13</v>
      </c>
      <c r="H7" s="6"/>
      <c r="I7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ht="13.15" x14ac:dyDescent="0.4">
      <c r="B8" s="3" t="s">
        <v>1</v>
      </c>
      <c r="C8" s="21" t="s">
        <v>5</v>
      </c>
      <c r="D8" s="3" t="s">
        <v>6</v>
      </c>
      <c r="E8" s="3" t="s">
        <v>149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1" thickBot="1" x14ac:dyDescent="0.4">
      <c r="B9" s="17" t="s">
        <v>42</v>
      </c>
      <c r="C9" s="17" t="s">
        <v>32</v>
      </c>
      <c r="D9" s="17" t="s">
        <v>33</v>
      </c>
      <c r="E9" s="17"/>
      <c r="F9" s="17"/>
      <c r="G9" s="17" t="s">
        <v>39</v>
      </c>
      <c r="H9" s="17" t="s">
        <v>116</v>
      </c>
      <c r="I9" s="17" t="s">
        <v>115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15" thickBot="1" x14ac:dyDescent="0.4">
      <c r="B10" s="17" t="s">
        <v>113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35">
      <c r="B11" s="1" t="str">
        <f>M11</f>
        <v>MINRNW1</v>
      </c>
      <c r="C11" s="1"/>
      <c r="D11" s="1" t="str">
        <f>$M$5</f>
        <v>RNW</v>
      </c>
      <c r="E11" s="1"/>
      <c r="F11" s="1"/>
      <c r="G11" s="14"/>
      <c r="H11" s="32"/>
      <c r="I11"/>
      <c r="K11" s="157" t="str">
        <f>EnergyBalance!$B$5</f>
        <v>MIN</v>
      </c>
      <c r="L11" s="161"/>
      <c r="M11" s="161" t="str">
        <f>$K$11&amp;$C$2&amp;1</f>
        <v>MINRNW1</v>
      </c>
      <c r="N11" s="163" t="str">
        <f>"Domestic Supply of "&amp;$D$2&amp; " Step "&amp;RIGHT(M11,1)</f>
        <v>Domestic Supply of Renewable Energies Step 1</v>
      </c>
      <c r="O11" s="161" t="str">
        <f>$E$2</f>
        <v>PJ</v>
      </c>
      <c r="P11" s="161"/>
      <c r="Q11" s="161"/>
      <c r="R11" s="161"/>
      <c r="S11" s="161"/>
    </row>
    <row r="12" spans="2:19" x14ac:dyDescent="0.35">
      <c r="B12" s="1"/>
      <c r="C12" s="1"/>
      <c r="D12" s="1"/>
      <c r="E12" s="1"/>
      <c r="F12" s="1"/>
      <c r="G12" s="14"/>
      <c r="H12" s="32"/>
      <c r="I12"/>
      <c r="N12" s="22"/>
    </row>
    <row r="13" spans="2:19" x14ac:dyDescent="0.35">
      <c r="B13" s="1"/>
      <c r="C13" s="1"/>
      <c r="D13" s="1"/>
      <c r="E13" s="1"/>
      <c r="F13" s="1"/>
      <c r="G13" s="14"/>
      <c r="H13" s="32"/>
      <c r="I13"/>
      <c r="N13" s="22"/>
    </row>
    <row r="14" spans="2:19" x14ac:dyDescent="0.35">
      <c r="B14" s="1"/>
      <c r="C14" s="1"/>
      <c r="D14" s="1"/>
      <c r="E14" s="1"/>
      <c r="F14" s="1"/>
      <c r="G14" s="1"/>
      <c r="H14" s="32"/>
      <c r="I14"/>
      <c r="N14" s="22"/>
    </row>
    <row r="15" spans="2:19" x14ac:dyDescent="0.35">
      <c r="B15" s="1"/>
      <c r="C15" s="1"/>
      <c r="D15" s="1"/>
      <c r="E15" s="1"/>
      <c r="F15" s="1"/>
      <c r="G15" s="1"/>
      <c r="H15" s="32"/>
      <c r="I15" s="9"/>
      <c r="N15" s="22"/>
    </row>
    <row r="16" spans="2:19" x14ac:dyDescent="0.35">
      <c r="B16" s="1"/>
      <c r="C16" s="1"/>
      <c r="F16" s="1"/>
      <c r="G16" s="1"/>
      <c r="H16" s="1"/>
    </row>
    <row r="20" spans="2:3" ht="19.5" customHeight="1" x14ac:dyDescent="0.35"/>
    <row r="23" spans="2:3" x14ac:dyDescent="0.35">
      <c r="B23" s="56"/>
      <c r="C23" s="1" t="s">
        <v>180</v>
      </c>
    </row>
    <row r="24" spans="2:3" x14ac:dyDescent="0.35">
      <c r="B24" s="91"/>
      <c r="C24" s="1" t="s">
        <v>181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S24"/>
  <sheetViews>
    <sheetView zoomScaleNormal="100" workbookViewId="0"/>
  </sheetViews>
  <sheetFormatPr defaultColWidth="8.86328125" defaultRowHeight="12.75" x14ac:dyDescent="0.35"/>
  <cols>
    <col min="1" max="1" width="2" style="35" bestFit="1" customWidth="1"/>
    <col min="2" max="2" width="13.86328125" customWidth="1"/>
    <col min="3" max="3" width="11.86328125" bestFit="1" customWidth="1"/>
    <col min="4" max="4" width="16" bestFit="1" customWidth="1"/>
    <col min="5" max="5" width="7.59765625" bestFit="1" customWidth="1"/>
    <col min="6" max="6" width="8.265625" bestFit="1" customWidth="1"/>
    <col min="7" max="7" width="13.1328125" bestFit="1" customWidth="1"/>
    <col min="8" max="8" width="8.3984375" bestFit="1" customWidth="1"/>
    <col min="9" max="9" width="13.86328125" customWidth="1"/>
    <col min="10" max="10" width="2" style="35" bestFit="1" customWidth="1"/>
    <col min="11" max="11" width="11.86328125" bestFit="1" customWidth="1"/>
    <col min="12" max="12" width="7.3984375" bestFit="1" customWidth="1"/>
    <col min="13" max="13" width="12.1328125" bestFit="1" customWidth="1"/>
    <col min="14" max="14" width="37.265625" bestFit="1" customWidth="1"/>
    <col min="15" max="15" width="6.1328125" bestFit="1" customWidth="1"/>
    <col min="16" max="16" width="10.3984375" bestFit="1" customWidth="1"/>
    <col min="17" max="17" width="12.86328125" bestFit="1" customWidth="1"/>
    <col min="18" max="18" width="14.1328125" bestFit="1" customWidth="1"/>
    <col min="19" max="19" width="8" bestFit="1" customWidth="1"/>
    <col min="20" max="16384" width="8.86328125" style="35"/>
  </cols>
  <sheetData>
    <row r="1" spans="2:19" ht="28.5" x14ac:dyDescent="0.45">
      <c r="B1" s="31" t="s">
        <v>94</v>
      </c>
      <c r="C1" s="31" t="s">
        <v>95</v>
      </c>
      <c r="D1" s="31" t="s">
        <v>96</v>
      </c>
      <c r="E1" s="31" t="s">
        <v>98</v>
      </c>
      <c r="F1" s="22"/>
      <c r="G1" s="31" t="s">
        <v>99</v>
      </c>
    </row>
    <row r="2" spans="2:19" ht="15.75" x14ac:dyDescent="0.5">
      <c r="B2" s="13"/>
      <c r="C2" s="13" t="str">
        <f>EnergyBalance!G2</f>
        <v>NUC</v>
      </c>
      <c r="D2" s="13" t="str">
        <f>EnergyBalance!G3</f>
        <v>Nuclear Energy</v>
      </c>
      <c r="E2" s="13" t="str">
        <f>EnergyBalance!R2</f>
        <v>PJ</v>
      </c>
      <c r="G2" s="13" t="str">
        <f>EnergyBalance!Q2</f>
        <v>M€2005</v>
      </c>
      <c r="K2" s="156" t="s">
        <v>14</v>
      </c>
      <c r="L2" s="156"/>
      <c r="M2" s="157"/>
      <c r="N2" s="157"/>
      <c r="O2" s="157"/>
      <c r="P2" s="157"/>
      <c r="Q2" s="157"/>
      <c r="R2" s="157"/>
      <c r="S2" s="157"/>
    </row>
    <row r="3" spans="2:19" ht="13.15" x14ac:dyDescent="0.4">
      <c r="H3" s="12"/>
      <c r="K3" s="158" t="s">
        <v>7</v>
      </c>
      <c r="L3" s="159" t="s">
        <v>30</v>
      </c>
      <c r="M3" s="158" t="s">
        <v>0</v>
      </c>
      <c r="N3" s="158" t="s">
        <v>3</v>
      </c>
      <c r="O3" s="158" t="s">
        <v>4</v>
      </c>
      <c r="P3" s="158" t="s">
        <v>8</v>
      </c>
      <c r="Q3" s="158" t="s">
        <v>9</v>
      </c>
      <c r="R3" s="158" t="s">
        <v>10</v>
      </c>
      <c r="S3" s="158" t="s">
        <v>12</v>
      </c>
    </row>
    <row r="4" spans="2:19" ht="21" thickBot="1" x14ac:dyDescent="0.4">
      <c r="B4" s="1"/>
      <c r="K4" s="160" t="s">
        <v>40</v>
      </c>
      <c r="L4" s="160" t="s">
        <v>31</v>
      </c>
      <c r="M4" s="160" t="s">
        <v>26</v>
      </c>
      <c r="N4" s="160" t="s">
        <v>27</v>
      </c>
      <c r="O4" s="160" t="s">
        <v>4</v>
      </c>
      <c r="P4" s="160" t="s">
        <v>43</v>
      </c>
      <c r="Q4" s="160" t="s">
        <v>44</v>
      </c>
      <c r="R4" s="160" t="s">
        <v>28</v>
      </c>
      <c r="S4" s="160" t="s">
        <v>29</v>
      </c>
    </row>
    <row r="5" spans="2:19" x14ac:dyDescent="0.35">
      <c r="K5" s="157" t="s">
        <v>93</v>
      </c>
      <c r="L5" s="161"/>
      <c r="M5" s="157" t="str">
        <f>C2</f>
        <v>NUC</v>
      </c>
      <c r="N5" s="157" t="str">
        <f>D2</f>
        <v>Nuclear Energy</v>
      </c>
      <c r="O5" s="157" t="str">
        <f>$E$2</f>
        <v>PJ</v>
      </c>
      <c r="P5" s="157"/>
      <c r="Q5" s="157"/>
      <c r="R5" s="157"/>
      <c r="S5" s="157"/>
    </row>
    <row r="7" spans="2:19" ht="13.15" x14ac:dyDescent="0.4">
      <c r="F7" s="6" t="s">
        <v>13</v>
      </c>
      <c r="H7" s="6"/>
      <c r="K7" s="156" t="s">
        <v>15</v>
      </c>
      <c r="L7" s="156"/>
      <c r="M7" s="161"/>
      <c r="N7" s="161"/>
      <c r="O7" s="161"/>
      <c r="P7" s="161"/>
      <c r="Q7" s="161"/>
      <c r="R7" s="161"/>
      <c r="S7" s="161"/>
    </row>
    <row r="8" spans="2:19" ht="13.15" x14ac:dyDescent="0.4">
      <c r="B8" s="3" t="s">
        <v>1</v>
      </c>
      <c r="C8" s="21" t="s">
        <v>5</v>
      </c>
      <c r="D8" s="3" t="s">
        <v>6</v>
      </c>
      <c r="E8" s="3" t="s">
        <v>149</v>
      </c>
      <c r="F8" s="3" t="s">
        <v>8</v>
      </c>
      <c r="G8" s="109" t="s">
        <v>37</v>
      </c>
      <c r="H8" s="109" t="s">
        <v>38</v>
      </c>
      <c r="I8" s="109" t="s">
        <v>100</v>
      </c>
      <c r="K8" s="158" t="s">
        <v>11</v>
      </c>
      <c r="L8" s="159" t="s">
        <v>30</v>
      </c>
      <c r="M8" s="158" t="s">
        <v>1</v>
      </c>
      <c r="N8" s="158" t="s">
        <v>2</v>
      </c>
      <c r="O8" s="158" t="s">
        <v>16</v>
      </c>
      <c r="P8" s="158" t="s">
        <v>17</v>
      </c>
      <c r="Q8" s="158" t="s">
        <v>18</v>
      </c>
      <c r="R8" s="158" t="s">
        <v>19</v>
      </c>
      <c r="S8" s="158" t="s">
        <v>20</v>
      </c>
    </row>
    <row r="9" spans="2:19" ht="21" thickBot="1" x14ac:dyDescent="0.4">
      <c r="B9" s="17" t="s">
        <v>42</v>
      </c>
      <c r="C9" s="17" t="s">
        <v>32</v>
      </c>
      <c r="D9" s="17" t="s">
        <v>33</v>
      </c>
      <c r="E9" s="17"/>
      <c r="F9" s="17"/>
      <c r="G9" s="16" t="s">
        <v>39</v>
      </c>
      <c r="H9" s="16" t="s">
        <v>116</v>
      </c>
      <c r="I9" s="16" t="s">
        <v>115</v>
      </c>
      <c r="K9" s="160" t="s">
        <v>41</v>
      </c>
      <c r="L9" s="160" t="s">
        <v>31</v>
      </c>
      <c r="M9" s="160" t="s">
        <v>21</v>
      </c>
      <c r="N9" s="160" t="s">
        <v>22</v>
      </c>
      <c r="O9" s="160" t="s">
        <v>23</v>
      </c>
      <c r="P9" s="160" t="s">
        <v>24</v>
      </c>
      <c r="Q9" s="160" t="s">
        <v>46</v>
      </c>
      <c r="R9" s="160" t="s">
        <v>45</v>
      </c>
      <c r="S9" s="160" t="s">
        <v>25</v>
      </c>
    </row>
    <row r="10" spans="2:19" ht="13.15" thickBot="1" x14ac:dyDescent="0.4">
      <c r="B10" s="17" t="s">
        <v>113</v>
      </c>
      <c r="C10" s="16"/>
      <c r="D10" s="16"/>
      <c r="E10" s="16"/>
      <c r="F10" s="16"/>
      <c r="G10" s="16" t="str">
        <f>$E$2</f>
        <v>PJ</v>
      </c>
      <c r="H10" s="16" t="str">
        <f>$G$2&amp;"/"&amp;$E$2</f>
        <v>M€2005/PJ</v>
      </c>
      <c r="I10" s="16" t="str">
        <f>$E$2</f>
        <v>PJ</v>
      </c>
      <c r="K10" s="160" t="s">
        <v>103</v>
      </c>
      <c r="L10" s="162"/>
      <c r="M10" s="162"/>
      <c r="N10" s="162"/>
      <c r="O10" s="162"/>
      <c r="P10" s="162"/>
      <c r="Q10" s="162"/>
      <c r="R10" s="162"/>
      <c r="S10" s="162"/>
    </row>
    <row r="11" spans="2:19" x14ac:dyDescent="0.35">
      <c r="B11" s="1" t="str">
        <f>M11</f>
        <v>MINNUC1</v>
      </c>
      <c r="C11" s="1"/>
      <c r="D11" s="1" t="str">
        <f>$M$5</f>
        <v>NUC</v>
      </c>
      <c r="E11" s="1"/>
      <c r="F11" s="1"/>
      <c r="G11" s="110"/>
      <c r="H11" s="111"/>
      <c r="I11" s="112"/>
      <c r="K11" s="157" t="str">
        <f>EnergyBalance!$B$5</f>
        <v>MIN</v>
      </c>
      <c r="L11" s="161"/>
      <c r="M11" s="161" t="str">
        <f>$K$11&amp;$C$2&amp;1</f>
        <v>MINNUC1</v>
      </c>
      <c r="N11" s="163" t="str">
        <f>"Domestic Supply of "&amp;$D$2&amp; " Step "&amp;RIGHT(M11,1)</f>
        <v>Domestic Supply of Nuclear Energy Step 1</v>
      </c>
      <c r="O11" s="161" t="str">
        <f>$E$2</f>
        <v>PJ</v>
      </c>
      <c r="P11" s="161"/>
      <c r="Q11" s="161"/>
      <c r="R11" s="161"/>
      <c r="S11" s="161"/>
    </row>
    <row r="12" spans="2:19" x14ac:dyDescent="0.35">
      <c r="B12" s="1"/>
      <c r="C12" s="1"/>
      <c r="D12" s="1"/>
      <c r="E12" s="1"/>
      <c r="F12" s="1"/>
      <c r="G12" s="14"/>
      <c r="H12" s="32"/>
      <c r="N12" s="22"/>
    </row>
    <row r="13" spans="2:19" x14ac:dyDescent="0.35">
      <c r="B13" s="1"/>
      <c r="C13" s="1"/>
      <c r="D13" s="1"/>
      <c r="E13" s="1"/>
      <c r="F13" s="1"/>
      <c r="G13" s="14"/>
      <c r="H13" s="32"/>
      <c r="N13" s="22"/>
    </row>
    <row r="14" spans="2:19" x14ac:dyDescent="0.35">
      <c r="B14" s="1"/>
      <c r="C14" s="1"/>
      <c r="D14" s="1"/>
      <c r="E14" s="1"/>
      <c r="F14" s="1"/>
      <c r="G14" s="1"/>
      <c r="H14" s="32"/>
      <c r="N14" s="22"/>
    </row>
    <row r="15" spans="2:19" x14ac:dyDescent="0.35">
      <c r="B15" s="1"/>
      <c r="C15" s="1"/>
      <c r="D15" s="1"/>
      <c r="E15" s="1"/>
      <c r="F15" s="1"/>
      <c r="G15" s="1"/>
      <c r="H15" s="32"/>
      <c r="I15" s="9"/>
      <c r="N15" s="22"/>
    </row>
    <row r="16" spans="2:19" x14ac:dyDescent="0.35">
      <c r="B16" s="1"/>
      <c r="C16" s="1"/>
      <c r="F16" s="1"/>
      <c r="G16" s="1"/>
      <c r="H16" s="1"/>
      <c r="I16" s="9"/>
    </row>
    <row r="20" spans="2:3" ht="19.5" customHeight="1" x14ac:dyDescent="0.35"/>
    <row r="23" spans="2:3" x14ac:dyDescent="0.35">
      <c r="B23" s="56"/>
      <c r="C23" s="1" t="s">
        <v>180</v>
      </c>
    </row>
    <row r="24" spans="2:3" x14ac:dyDescent="0.35">
      <c r="B24" s="91"/>
      <c r="C24" s="1" t="s">
        <v>181</v>
      </c>
    </row>
  </sheetData>
  <pageMargins left="0.75" right="0.75" top="1" bottom="1" header="0.5" footer="0.5"/>
  <pageSetup orientation="portrait" horizontalDpi="4294967292" r:id="rId1"/>
  <headerFooter alignWithMargins="0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Q27"/>
  <sheetViews>
    <sheetView zoomScaleNormal="100" workbookViewId="0">
      <selection activeCell="F15" sqref="F15"/>
    </sheetView>
  </sheetViews>
  <sheetFormatPr defaultRowHeight="12.75" x14ac:dyDescent="0.35"/>
  <cols>
    <col min="1" max="1" width="3" customWidth="1"/>
    <col min="2" max="2" width="13.59765625" bestFit="1" customWidth="1"/>
    <col min="3" max="3" width="12.265625" customWidth="1"/>
    <col min="4" max="4" width="11.86328125" bestFit="1" customWidth="1"/>
    <col min="5" max="5" width="12.86328125" customWidth="1"/>
    <col min="6" max="6" width="8.86328125" bestFit="1" customWidth="1"/>
    <col min="7" max="7" width="7.86328125" bestFit="1" customWidth="1"/>
    <col min="8" max="8" width="2.1328125" bestFit="1" customWidth="1"/>
    <col min="9" max="9" width="12.3984375" customWidth="1"/>
    <col min="10" max="10" width="7.1328125" customWidth="1"/>
    <col min="11" max="11" width="14.59765625" bestFit="1" customWidth="1"/>
    <col min="12" max="12" width="64.3984375" customWidth="1"/>
    <col min="13" max="13" width="6.1328125" customWidth="1"/>
    <col min="14" max="14" width="10.3984375" bestFit="1" customWidth="1"/>
    <col min="15" max="15" width="12.86328125" bestFit="1" customWidth="1"/>
    <col min="16" max="16" width="14.1328125" bestFit="1" customWidth="1"/>
    <col min="17" max="17" width="8.1328125" customWidth="1"/>
  </cols>
  <sheetData>
    <row r="1" spans="2:17" ht="14.25" x14ac:dyDescent="0.45">
      <c r="B1" s="10" t="s">
        <v>94</v>
      </c>
      <c r="C1" s="10" t="s">
        <v>95</v>
      </c>
      <c r="D1" s="10" t="s">
        <v>96</v>
      </c>
      <c r="E1" s="10" t="s">
        <v>144</v>
      </c>
      <c r="F1" s="10" t="s">
        <v>118</v>
      </c>
      <c r="G1" s="10" t="s">
        <v>125</v>
      </c>
    </row>
    <row r="2" spans="2:17" ht="15.75" x14ac:dyDescent="0.5">
      <c r="B2" s="13"/>
      <c r="C2" s="13"/>
      <c r="D2" s="13" t="s">
        <v>142</v>
      </c>
      <c r="E2" s="13" t="str">
        <f>EnergyBalance!R2</f>
        <v>PJ</v>
      </c>
      <c r="F2" s="13" t="str">
        <f>EnergyBalance!Q2</f>
        <v>M€2005</v>
      </c>
      <c r="G2" s="13" t="s">
        <v>126</v>
      </c>
      <c r="I2" s="156" t="s">
        <v>14</v>
      </c>
      <c r="J2" s="156"/>
      <c r="K2" s="157"/>
      <c r="L2" s="157"/>
      <c r="M2" s="157"/>
      <c r="N2" s="157"/>
      <c r="O2" s="157"/>
      <c r="P2" s="157"/>
      <c r="Q2" s="157"/>
    </row>
    <row r="3" spans="2:17" ht="13.15" x14ac:dyDescent="0.4">
      <c r="I3" s="158" t="s">
        <v>7</v>
      </c>
      <c r="J3" s="159" t="s">
        <v>30</v>
      </c>
      <c r="K3" s="158" t="s">
        <v>0</v>
      </c>
      <c r="L3" s="158" t="s">
        <v>3</v>
      </c>
      <c r="M3" s="158" t="s">
        <v>4</v>
      </c>
      <c r="N3" s="158" t="s">
        <v>8</v>
      </c>
      <c r="O3" s="158" t="s">
        <v>9</v>
      </c>
      <c r="P3" s="158" t="s">
        <v>10</v>
      </c>
      <c r="Q3" s="158" t="s">
        <v>12</v>
      </c>
    </row>
    <row r="4" spans="2:17" ht="22.15" thickBot="1" x14ac:dyDescent="0.55000000000000004">
      <c r="B4" s="11"/>
      <c r="C4" s="11"/>
      <c r="D4" s="11"/>
      <c r="E4" s="11"/>
      <c r="I4" s="160" t="s">
        <v>40</v>
      </c>
      <c r="J4" s="160" t="s">
        <v>31</v>
      </c>
      <c r="K4" s="160" t="s">
        <v>26</v>
      </c>
      <c r="L4" s="160" t="s">
        <v>27</v>
      </c>
      <c r="M4" s="160" t="s">
        <v>4</v>
      </c>
      <c r="N4" s="160" t="s">
        <v>43</v>
      </c>
      <c r="O4" s="160" t="s">
        <v>44</v>
      </c>
      <c r="P4" s="160" t="s">
        <v>28</v>
      </c>
      <c r="Q4" s="160" t="s">
        <v>29</v>
      </c>
    </row>
    <row r="5" spans="2:17" x14ac:dyDescent="0.35">
      <c r="E5" s="15"/>
      <c r="F5" s="15"/>
      <c r="I5" s="161" t="s">
        <v>93</v>
      </c>
      <c r="J5" s="161"/>
      <c r="K5" s="161" t="str">
        <f>EnergyBalance!$B$16&amp;EnergyBalance!$E$2</f>
        <v>RSDGAS</v>
      </c>
      <c r="L5" s="163" t="str">
        <f>EnergyBalance!$C$16&amp;" "&amp;EnergyBalance!$E$3</f>
        <v>Residential Natural Gas</v>
      </c>
      <c r="M5" s="161" t="str">
        <f t="shared" ref="M5:M11" si="0">$E$2</f>
        <v>PJ</v>
      </c>
      <c r="N5" s="161"/>
      <c r="O5" s="161"/>
      <c r="P5" s="161"/>
      <c r="Q5" s="161"/>
    </row>
    <row r="6" spans="2:17" x14ac:dyDescent="0.35">
      <c r="E6" s="15"/>
      <c r="F6" s="15"/>
      <c r="I6" s="161"/>
      <c r="J6" s="161"/>
      <c r="K6" s="161" t="str">
        <f>EnergyBalance!$B$20&amp;EnergyBalance!$F$2</f>
        <v>TRAOIL</v>
      </c>
      <c r="L6" s="161" t="str">
        <f>EnergyBalance!$C$20&amp;" "&amp;EnergyBalance!$F$3</f>
        <v>Transport Crude Oil</v>
      </c>
      <c r="M6" s="161" t="str">
        <f t="shared" si="0"/>
        <v>PJ</v>
      </c>
      <c r="N6" s="161"/>
      <c r="O6" s="161"/>
      <c r="P6" s="161"/>
      <c r="Q6" s="161"/>
    </row>
    <row r="7" spans="2:17" x14ac:dyDescent="0.35">
      <c r="E7" s="15"/>
      <c r="F7" s="15"/>
      <c r="I7" s="161"/>
      <c r="J7" s="161"/>
      <c r="K7" s="161" t="str">
        <f>Con_ELC!$B$2&amp;EnergyBalance!$D$2</f>
        <v>ELCCOA</v>
      </c>
      <c r="L7" s="163" t="str">
        <f>Con_ELC!$C$2&amp;" "&amp;EnergyBalance!$D$3</f>
        <v>Electricity Plants Solid Fuels</v>
      </c>
      <c r="M7" s="161" t="str">
        <f t="shared" si="0"/>
        <v>PJ</v>
      </c>
      <c r="N7" s="161"/>
      <c r="O7" s="161"/>
      <c r="P7" s="161"/>
      <c r="Q7" s="161"/>
    </row>
    <row r="8" spans="2:17" x14ac:dyDescent="0.35">
      <c r="E8" s="15"/>
      <c r="F8" s="15"/>
      <c r="I8" s="161"/>
      <c r="J8" s="161"/>
      <c r="K8" s="161" t="str">
        <f>Con_ELC!$B$2&amp;EnergyBalance!$E$2</f>
        <v>ELCGAS</v>
      </c>
      <c r="L8" s="163" t="str">
        <f>Con_ELC!$C$2&amp;" "&amp;EnergyBalance!$E$3</f>
        <v>Electricity Plants Natural Gas</v>
      </c>
      <c r="M8" s="161" t="str">
        <f t="shared" si="0"/>
        <v>PJ</v>
      </c>
      <c r="N8" s="161"/>
      <c r="O8" s="161"/>
      <c r="P8" s="161"/>
      <c r="Q8" s="161"/>
    </row>
    <row r="9" spans="2:17" x14ac:dyDescent="0.35">
      <c r="E9" s="15"/>
      <c r="F9" s="15"/>
      <c r="I9" s="161"/>
      <c r="J9" s="161"/>
      <c r="K9" s="161" t="str">
        <f>Con_ELC!$B$2&amp;EnergyBalance!$F$2</f>
        <v>ELCOIL</v>
      </c>
      <c r="L9" s="163" t="str">
        <f>Con_ELC!$C$2&amp;" "&amp;EnergyBalance!$F$3</f>
        <v>Electricity Plants Crude Oil</v>
      </c>
      <c r="M9" s="161" t="str">
        <f t="shared" si="0"/>
        <v>PJ</v>
      </c>
      <c r="N9" s="161"/>
      <c r="O9" s="161"/>
      <c r="P9" s="161"/>
      <c r="Q9" s="161"/>
    </row>
    <row r="10" spans="2:17" x14ac:dyDescent="0.35">
      <c r="E10" s="15"/>
      <c r="F10" s="15"/>
      <c r="I10" s="161"/>
      <c r="J10" s="161"/>
      <c r="K10" s="161" t="str">
        <f>Con_ELC!$B$2&amp;EnergyBalance!$H$2</f>
        <v>ELCRNW</v>
      </c>
      <c r="L10" s="163" t="str">
        <f>Con_ELC!$C$2&amp;" "&amp;EnergyBalance!$H$3</f>
        <v>Electricity Plants Renewable Energies</v>
      </c>
      <c r="M10" s="161" t="str">
        <f t="shared" si="0"/>
        <v>PJ</v>
      </c>
      <c r="N10" s="161"/>
      <c r="O10" s="161"/>
      <c r="P10" s="161"/>
      <c r="Q10" s="161"/>
    </row>
    <row r="11" spans="2:17" x14ac:dyDescent="0.35">
      <c r="E11" s="15"/>
      <c r="F11" s="15"/>
      <c r="I11" s="161"/>
      <c r="J11" s="161"/>
      <c r="K11" s="161" t="str">
        <f>Con_ELC!$B$2&amp;EnergyBalance!$G$2</f>
        <v>ELCNUC</v>
      </c>
      <c r="L11" s="163" t="str">
        <f>Con_ELC!$C$2&amp;" "&amp;EnergyBalance!$G$3</f>
        <v>Electricity Plants Nuclear Energy</v>
      </c>
      <c r="M11" s="161" t="str">
        <f t="shared" si="0"/>
        <v>PJ</v>
      </c>
      <c r="N11" s="161"/>
      <c r="O11" s="161"/>
      <c r="P11" s="161"/>
      <c r="Q11" s="161"/>
    </row>
    <row r="12" spans="2:17" x14ac:dyDescent="0.35">
      <c r="K12" s="35"/>
      <c r="L12" s="36"/>
    </row>
    <row r="13" spans="2:17" ht="13.15" x14ac:dyDescent="0.4">
      <c r="D13" s="6" t="s">
        <v>13</v>
      </c>
      <c r="E13" s="6"/>
      <c r="F13" s="6"/>
      <c r="I13" s="156" t="s">
        <v>15</v>
      </c>
      <c r="J13" s="156"/>
      <c r="K13" s="161"/>
      <c r="L13" s="161"/>
      <c r="M13" s="161"/>
      <c r="N13" s="161"/>
      <c r="O13" s="161"/>
      <c r="P13" s="161"/>
      <c r="Q13" s="161"/>
    </row>
    <row r="14" spans="2:17" ht="13.15" x14ac:dyDescent="0.4">
      <c r="B14" s="20" t="s">
        <v>1</v>
      </c>
      <c r="C14" s="20" t="s">
        <v>202</v>
      </c>
      <c r="D14" s="20" t="s">
        <v>203</v>
      </c>
      <c r="E14" s="113" t="s">
        <v>188</v>
      </c>
      <c r="F14" s="113" t="s">
        <v>204</v>
      </c>
      <c r="G14" s="113" t="s">
        <v>101</v>
      </c>
      <c r="I14" s="158" t="s">
        <v>11</v>
      </c>
      <c r="J14" s="159" t="s">
        <v>30</v>
      </c>
      <c r="K14" s="158" t="s">
        <v>1</v>
      </c>
      <c r="L14" s="158" t="s">
        <v>2</v>
      </c>
      <c r="M14" s="158" t="s">
        <v>16</v>
      </c>
      <c r="N14" s="158" t="s">
        <v>17</v>
      </c>
      <c r="O14" s="158" t="s">
        <v>18</v>
      </c>
      <c r="P14" s="158" t="s">
        <v>19</v>
      </c>
      <c r="Q14" s="158" t="s">
        <v>20</v>
      </c>
    </row>
    <row r="15" spans="2:17" ht="21" thickBot="1" x14ac:dyDescent="0.4">
      <c r="B15" s="18" t="s">
        <v>42</v>
      </c>
      <c r="C15" s="18" t="s">
        <v>32</v>
      </c>
      <c r="D15" s="18" t="s">
        <v>33</v>
      </c>
      <c r="E15" s="18" t="s">
        <v>34</v>
      </c>
      <c r="F15" s="18" t="s">
        <v>112</v>
      </c>
      <c r="G15" s="18" t="s">
        <v>194</v>
      </c>
      <c r="I15" s="160" t="s">
        <v>41</v>
      </c>
      <c r="J15" s="160" t="s">
        <v>31</v>
      </c>
      <c r="K15" s="160" t="s">
        <v>21</v>
      </c>
      <c r="L15" s="160" t="s">
        <v>22</v>
      </c>
      <c r="M15" s="160" t="s">
        <v>23</v>
      </c>
      <c r="N15" s="160" t="s">
        <v>24</v>
      </c>
      <c r="O15" s="160" t="s">
        <v>46</v>
      </c>
      <c r="P15" s="160" t="s">
        <v>45</v>
      </c>
      <c r="Q15" s="160" t="s">
        <v>25</v>
      </c>
    </row>
    <row r="16" spans="2:17" ht="13.15" thickBot="1" x14ac:dyDescent="0.4">
      <c r="B16" s="17" t="s">
        <v>113</v>
      </c>
      <c r="C16" s="17"/>
      <c r="D16" s="17"/>
      <c r="E16" s="16" t="str">
        <f>E2&amp;"a"</f>
        <v>PJa</v>
      </c>
      <c r="F16" s="16"/>
      <c r="G16" s="16" t="s">
        <v>114</v>
      </c>
      <c r="I16" s="160" t="s">
        <v>103</v>
      </c>
      <c r="J16" s="162"/>
      <c r="K16" s="162"/>
      <c r="L16" s="162"/>
      <c r="M16" s="162"/>
      <c r="N16" s="162"/>
      <c r="O16" s="162"/>
      <c r="P16" s="162"/>
      <c r="Q16" s="162"/>
    </row>
    <row r="17" spans="2:17" x14ac:dyDescent="0.35">
      <c r="B17" t="str">
        <f t="shared" ref="B17:B23" si="1">K17</f>
        <v>FTERSDGAS</v>
      </c>
      <c r="C17" t="str">
        <f t="shared" ref="C17:C23" si="2">RIGHT(D17,3)</f>
        <v>GAS</v>
      </c>
      <c r="D17" t="str">
        <f>$K$5</f>
        <v>RSDGAS</v>
      </c>
      <c r="E17" s="9"/>
      <c r="F17" s="92">
        <v>1</v>
      </c>
      <c r="G17" s="93">
        <v>30</v>
      </c>
      <c r="I17" s="157" t="s">
        <v>143</v>
      </c>
      <c r="J17" s="161"/>
      <c r="K17" s="161" t="str">
        <f>"FT"&amp;$G$2&amp;""&amp;K5</f>
        <v>FTERSDGAS</v>
      </c>
      <c r="L17" s="163" t="str">
        <f>$D$2&amp;" "&amp;$G$1&amp;" "&amp;EnergyBalance!$C$16&amp; " Sector "&amp;EnergyBalance!$E$3</f>
        <v>Sector Fuel Existing Residential Sector Natural Gas</v>
      </c>
      <c r="M17" s="161" t="str">
        <f t="shared" ref="M17:M23" si="3">$E$2</f>
        <v>PJ</v>
      </c>
      <c r="N17" s="161" t="str">
        <f t="shared" ref="N17:N23" si="4">$E$2&amp;"a"</f>
        <v>PJa</v>
      </c>
      <c r="O17" s="161"/>
      <c r="P17" s="161"/>
      <c r="Q17" s="161"/>
    </row>
    <row r="18" spans="2:17" x14ac:dyDescent="0.35">
      <c r="B18" t="str">
        <f t="shared" si="1"/>
        <v>FTETRAOIL</v>
      </c>
      <c r="C18" t="str">
        <f t="shared" si="2"/>
        <v>OIL</v>
      </c>
      <c r="D18" t="str">
        <f>$K$6</f>
        <v>TRAOIL</v>
      </c>
      <c r="E18" s="9"/>
      <c r="F18" s="92">
        <v>1</v>
      </c>
      <c r="G18" s="93">
        <v>30</v>
      </c>
      <c r="I18" s="161"/>
      <c r="J18" s="161"/>
      <c r="K18" s="161" t="str">
        <f>"FT"&amp;$G$2&amp;""&amp;K6</f>
        <v>FTETRAOIL</v>
      </c>
      <c r="L18" s="163" t="str">
        <f>$D$2&amp;" "&amp;$G$1&amp;" "&amp;EnergyBalance!$C$20&amp; " Sector "&amp;EnergyBalance!$F$3</f>
        <v>Sector Fuel Existing Transport Sector Crude Oil</v>
      </c>
      <c r="M18" s="161" t="str">
        <f t="shared" si="3"/>
        <v>PJ</v>
      </c>
      <c r="N18" s="161" t="str">
        <f t="shared" si="4"/>
        <v>PJa</v>
      </c>
      <c r="O18" s="161"/>
      <c r="P18" s="161"/>
      <c r="Q18" s="161"/>
    </row>
    <row r="19" spans="2:17" x14ac:dyDescent="0.35">
      <c r="B19" t="str">
        <f t="shared" si="1"/>
        <v>FTEELCCOA</v>
      </c>
      <c r="C19" t="str">
        <f t="shared" si="2"/>
        <v>COA</v>
      </c>
      <c r="D19" s="35" t="str">
        <f>K7</f>
        <v>ELCCOA</v>
      </c>
      <c r="E19" s="15"/>
      <c r="F19" s="92">
        <v>1</v>
      </c>
      <c r="G19" s="93">
        <v>30</v>
      </c>
      <c r="I19" s="161"/>
      <c r="J19" s="161"/>
      <c r="K19" s="161" t="str">
        <f>"FT"&amp;$G$2&amp;""&amp;K7</f>
        <v>FTEELCCOA</v>
      </c>
      <c r="L19" s="163" t="str">
        <f>$D$2&amp;" Technology"&amp;" "&amp;$G$1&amp;" "&amp;L7</f>
        <v>Sector Fuel Technology Existing Electricity Plants Solid Fuels</v>
      </c>
      <c r="M19" s="161" t="str">
        <f t="shared" si="3"/>
        <v>PJ</v>
      </c>
      <c r="N19" s="161" t="str">
        <f t="shared" si="4"/>
        <v>PJa</v>
      </c>
      <c r="O19" s="161"/>
      <c r="P19" s="161"/>
      <c r="Q19" s="161"/>
    </row>
    <row r="20" spans="2:17" x14ac:dyDescent="0.35">
      <c r="B20" t="str">
        <f t="shared" si="1"/>
        <v>FTEELCGAS</v>
      </c>
      <c r="C20" t="str">
        <f t="shared" si="2"/>
        <v>GAS</v>
      </c>
      <c r="D20" s="35" t="str">
        <f>K8</f>
        <v>ELCGAS</v>
      </c>
      <c r="E20" s="15"/>
      <c r="F20" s="92">
        <v>1</v>
      </c>
      <c r="G20" s="93">
        <v>30</v>
      </c>
      <c r="I20" s="161"/>
      <c r="J20" s="161"/>
      <c r="K20" s="161" t="str">
        <f>"FT"&amp;$G$2&amp;""&amp;K8</f>
        <v>FTEELCGAS</v>
      </c>
      <c r="L20" s="163" t="str">
        <f>$D$2&amp;" Technology"&amp;" "&amp;$G$1&amp;" "&amp;L8</f>
        <v>Sector Fuel Technology Existing Electricity Plants Natural Gas</v>
      </c>
      <c r="M20" s="161" t="str">
        <f t="shared" si="3"/>
        <v>PJ</v>
      </c>
      <c r="N20" s="161" t="str">
        <f t="shared" si="4"/>
        <v>PJa</v>
      </c>
      <c r="O20" s="161"/>
      <c r="P20" s="161"/>
      <c r="Q20" s="161"/>
    </row>
    <row r="21" spans="2:17" x14ac:dyDescent="0.35">
      <c r="B21" t="str">
        <f t="shared" si="1"/>
        <v>FTEELCOIL</v>
      </c>
      <c r="C21" t="str">
        <f t="shared" si="2"/>
        <v>OIL</v>
      </c>
      <c r="D21" s="35" t="str">
        <f>K9</f>
        <v>ELCOIL</v>
      </c>
      <c r="E21" s="15"/>
      <c r="F21" s="92">
        <v>1</v>
      </c>
      <c r="G21" s="93">
        <v>30</v>
      </c>
      <c r="I21" s="161"/>
      <c r="J21" s="161"/>
      <c r="K21" s="161" t="str">
        <f>"FT"&amp;$G$2&amp;""&amp;K9</f>
        <v>FTEELCOIL</v>
      </c>
      <c r="L21" s="161" t="str">
        <f>$D$2&amp;" Technology"&amp;" "&amp;$G$1&amp;" "&amp;L9</f>
        <v>Sector Fuel Technology Existing Electricity Plants Crude Oil</v>
      </c>
      <c r="M21" s="161" t="str">
        <f t="shared" si="3"/>
        <v>PJ</v>
      </c>
      <c r="N21" s="161" t="str">
        <f t="shared" si="4"/>
        <v>PJa</v>
      </c>
      <c r="O21" s="161"/>
      <c r="P21" s="161"/>
      <c r="Q21" s="161"/>
    </row>
    <row r="22" spans="2:17" x14ac:dyDescent="0.35">
      <c r="B22" t="str">
        <f t="shared" si="1"/>
        <v>FTEELCRNW</v>
      </c>
      <c r="C22" t="str">
        <f t="shared" si="2"/>
        <v>RNW</v>
      </c>
      <c r="D22" s="35" t="str">
        <f>K10</f>
        <v>ELCRNW</v>
      </c>
      <c r="E22" s="15"/>
      <c r="F22" s="92">
        <v>1</v>
      </c>
      <c r="G22" s="93">
        <v>30</v>
      </c>
      <c r="I22" s="161"/>
      <c r="J22" s="161"/>
      <c r="K22" s="161" t="str">
        <f>"FT"&amp;$G$2&amp;""&amp;K10</f>
        <v>FTEELCRNW</v>
      </c>
      <c r="L22" s="163" t="str">
        <f>$D$2&amp;" Technology"&amp;" "&amp;$G$1&amp;" "&amp;L10</f>
        <v>Sector Fuel Technology Existing Electricity Plants Renewable Energies</v>
      </c>
      <c r="M22" s="161" t="str">
        <f t="shared" si="3"/>
        <v>PJ</v>
      </c>
      <c r="N22" s="161" t="str">
        <f t="shared" si="4"/>
        <v>PJa</v>
      </c>
      <c r="O22" s="161"/>
      <c r="P22" s="161"/>
      <c r="Q22" s="161"/>
    </row>
    <row r="23" spans="2:17" x14ac:dyDescent="0.35">
      <c r="B23" t="str">
        <f t="shared" si="1"/>
        <v>FTEELCNUC</v>
      </c>
      <c r="C23" t="str">
        <f t="shared" si="2"/>
        <v>NUC</v>
      </c>
      <c r="D23" s="35" t="str">
        <f>K11</f>
        <v>ELCNUC</v>
      </c>
      <c r="E23" s="15"/>
      <c r="F23" s="92">
        <v>1</v>
      </c>
      <c r="G23" s="93">
        <v>30</v>
      </c>
      <c r="I23" s="164"/>
      <c r="J23" s="164"/>
      <c r="K23" s="161" t="str">
        <f>"FT"&amp;$G$2&amp;""&amp;K11</f>
        <v>FTEELCNUC</v>
      </c>
      <c r="L23" s="163" t="str">
        <f>$D$2&amp;" Technology"&amp;" "&amp;$G$1&amp;" "&amp;L11</f>
        <v>Sector Fuel Technology Existing Electricity Plants Nuclear Energy</v>
      </c>
      <c r="M23" s="161" t="str">
        <f t="shared" si="3"/>
        <v>PJ</v>
      </c>
      <c r="N23" s="161" t="str">
        <f t="shared" si="4"/>
        <v>PJa</v>
      </c>
      <c r="O23" s="161"/>
      <c r="P23" s="161"/>
      <c r="Q23" s="161"/>
    </row>
    <row r="24" spans="2:17" x14ac:dyDescent="0.35">
      <c r="I24" s="35"/>
      <c r="J24" s="35"/>
    </row>
    <row r="25" spans="2:17" x14ac:dyDescent="0.35">
      <c r="I25" s="35"/>
      <c r="J25" s="35"/>
    </row>
    <row r="26" spans="2:17" x14ac:dyDescent="0.35">
      <c r="B26" s="56"/>
      <c r="C26" s="1" t="s">
        <v>180</v>
      </c>
      <c r="I26" s="35"/>
      <c r="J26" s="35"/>
    </row>
    <row r="27" spans="2:17" x14ac:dyDescent="0.35">
      <c r="B27" s="91"/>
      <c r="C27" s="1" t="s">
        <v>181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A35"/>
  <sheetViews>
    <sheetView topLeftCell="A10" zoomScale="90" zoomScaleNormal="90" workbookViewId="0">
      <selection activeCell="I25" sqref="I25"/>
    </sheetView>
  </sheetViews>
  <sheetFormatPr defaultColWidth="8.86328125" defaultRowHeight="12.75" x14ac:dyDescent="0.35"/>
  <cols>
    <col min="1" max="1" width="3" style="35" customWidth="1"/>
    <col min="2" max="2" width="16.3984375" style="35" customWidth="1"/>
    <col min="3" max="3" width="12.1328125" style="35" bestFit="1" customWidth="1"/>
    <col min="4" max="4" width="11.265625" style="35" bestFit="1" customWidth="1"/>
    <col min="5" max="5" width="12" style="35" bestFit="1" customWidth="1"/>
    <col min="6" max="6" width="13.1328125" style="35" customWidth="1"/>
    <col min="7" max="7" width="10" style="35" customWidth="1"/>
    <col min="8" max="8" width="8.1328125" style="35" customWidth="1"/>
    <col min="9" max="9" width="9.73046875" style="35" customWidth="1"/>
    <col min="10" max="10" width="7.1328125" style="35" bestFit="1" customWidth="1"/>
    <col min="11" max="11" width="9.265625" style="35" customWidth="1"/>
    <col min="12" max="12" width="7.86328125" style="35" customWidth="1"/>
    <col min="13" max="13" width="7" style="35" bestFit="1" customWidth="1"/>
    <col min="14" max="14" width="9.59765625" style="35" customWidth="1"/>
    <col min="15" max="15" width="15.1328125" style="35" customWidth="1"/>
    <col min="16" max="16" width="2" style="35" customWidth="1"/>
    <col min="17" max="17" width="13.59765625" style="35" bestFit="1" customWidth="1"/>
    <col min="18" max="18" width="2" style="35" customWidth="1"/>
    <col min="19" max="19" width="12.73046875" bestFit="1" customWidth="1"/>
    <col min="20" max="20" width="7.3984375" bestFit="1" customWidth="1"/>
    <col min="21" max="21" width="14.1328125" customWidth="1"/>
    <col min="22" max="22" width="55" bestFit="1" customWidth="1"/>
    <col min="23" max="23" width="6.265625" customWidth="1"/>
    <col min="24" max="24" width="11.3984375" bestFit="1" customWidth="1"/>
    <col min="25" max="25" width="13.59765625" bestFit="1" customWidth="1"/>
    <col min="26" max="26" width="15" bestFit="1" customWidth="1"/>
    <col min="27" max="27" width="8.1328125" bestFit="1" customWidth="1"/>
    <col min="28" max="16384" width="8.86328125" style="35"/>
  </cols>
  <sheetData>
    <row r="1" spans="2:27" ht="28.5" x14ac:dyDescent="0.45">
      <c r="B1" s="31" t="s">
        <v>94</v>
      </c>
      <c r="C1" s="10" t="s">
        <v>96</v>
      </c>
      <c r="D1" s="10" t="s">
        <v>145</v>
      </c>
      <c r="E1" s="31" t="s">
        <v>23</v>
      </c>
      <c r="F1" s="31" t="s">
        <v>152</v>
      </c>
      <c r="G1" s="31" t="s">
        <v>99</v>
      </c>
      <c r="I1" s="31" t="s">
        <v>125</v>
      </c>
      <c r="J1" s="31" t="s">
        <v>187</v>
      </c>
    </row>
    <row r="2" spans="2:27" ht="31.5" x14ac:dyDescent="0.5">
      <c r="B2" s="13" t="str">
        <f>EnergyBalance!B11</f>
        <v>ELC</v>
      </c>
      <c r="C2" s="23" t="str">
        <f>EnergyBalance!C11</f>
        <v>Electricity Plants</v>
      </c>
      <c r="D2" s="23" t="s">
        <v>153</v>
      </c>
      <c r="E2" s="13" t="str">
        <f>EnergyBalance!R2</f>
        <v>PJ</v>
      </c>
      <c r="F2" s="13" t="s">
        <v>154</v>
      </c>
      <c r="G2" s="13" t="str">
        <f>EnergyBalance!Q2</f>
        <v>M€2005</v>
      </c>
      <c r="I2" s="13" t="s">
        <v>126</v>
      </c>
      <c r="J2" s="13" t="s">
        <v>127</v>
      </c>
      <c r="S2" s="156" t="s">
        <v>14</v>
      </c>
      <c r="T2" s="156"/>
      <c r="U2" s="157"/>
      <c r="V2" s="157"/>
      <c r="W2" s="157"/>
      <c r="X2" s="157"/>
      <c r="Y2" s="157"/>
      <c r="Z2" s="157"/>
      <c r="AA2" s="157"/>
    </row>
    <row r="3" spans="2:27" ht="13.15" x14ac:dyDescent="0.4">
      <c r="S3" s="158" t="s">
        <v>7</v>
      </c>
      <c r="T3" s="159" t="s">
        <v>30</v>
      </c>
      <c r="U3" s="158" t="s">
        <v>0</v>
      </c>
      <c r="V3" s="158" t="s">
        <v>3</v>
      </c>
      <c r="W3" s="158" t="s">
        <v>4</v>
      </c>
      <c r="X3" s="158" t="s">
        <v>8</v>
      </c>
      <c r="Y3" s="158" t="s">
        <v>9</v>
      </c>
      <c r="Z3" s="158" t="s">
        <v>10</v>
      </c>
      <c r="AA3" s="158" t="s">
        <v>12</v>
      </c>
    </row>
    <row r="4" spans="2:27" ht="22.15" thickBot="1" x14ac:dyDescent="0.55000000000000004">
      <c r="B4" s="39" t="s">
        <v>160</v>
      </c>
      <c r="C4" s="10" t="s">
        <v>167</v>
      </c>
      <c r="D4" s="10" t="s">
        <v>161</v>
      </c>
      <c r="E4" s="10" t="s">
        <v>162</v>
      </c>
      <c r="F4" s="10" t="s">
        <v>172</v>
      </c>
      <c r="H4" s="11"/>
      <c r="S4" s="160" t="s">
        <v>40</v>
      </c>
      <c r="T4" s="160" t="s">
        <v>31</v>
      </c>
      <c r="U4" s="160" t="s">
        <v>26</v>
      </c>
      <c r="V4" s="160" t="s">
        <v>27</v>
      </c>
      <c r="W4" s="160" t="s">
        <v>4</v>
      </c>
      <c r="X4" s="160" t="s">
        <v>43</v>
      </c>
      <c r="Y4" s="160" t="s">
        <v>44</v>
      </c>
      <c r="Z4" s="160" t="s">
        <v>28</v>
      </c>
      <c r="AA4" s="160" t="s">
        <v>29</v>
      </c>
    </row>
    <row r="5" spans="2:27" ht="15.75" x14ac:dyDescent="0.5">
      <c r="B5" s="38" t="s">
        <v>166</v>
      </c>
      <c r="C5" s="13" t="s">
        <v>165</v>
      </c>
      <c r="D5" s="13" t="s">
        <v>164</v>
      </c>
      <c r="E5" s="13" t="s">
        <v>163</v>
      </c>
      <c r="F5" s="13" t="s">
        <v>127</v>
      </c>
      <c r="H5" s="11"/>
      <c r="S5" s="157" t="s">
        <v>93</v>
      </c>
      <c r="T5" s="161"/>
      <c r="U5" s="157" t="str">
        <f>EnergyBalance!$K$2</f>
        <v>ELC</v>
      </c>
      <c r="V5" s="157" t="str">
        <f>EnergyBalance!$K$3</f>
        <v>Electricity</v>
      </c>
      <c r="W5" s="157" t="str">
        <f>$E$2</f>
        <v>PJ</v>
      </c>
      <c r="X5" s="157"/>
      <c r="Y5" s="157"/>
      <c r="Z5" s="157"/>
      <c r="AA5" s="157" t="s">
        <v>54</v>
      </c>
    </row>
    <row r="6" spans="2:27" x14ac:dyDescent="0.35">
      <c r="S6" s="161" t="s">
        <v>136</v>
      </c>
      <c r="T6" s="161"/>
      <c r="U6" s="161" t="str">
        <f>$B$2&amp;EnergyBalance!$C$46</f>
        <v>ELCCO2</v>
      </c>
      <c r="V6" s="161" t="str">
        <f>$C$2&amp;" "&amp;EnergyBalance!$C$47</f>
        <v>Electricity Plants Carbon dioxide</v>
      </c>
      <c r="W6" s="161" t="str">
        <f>EnergyBalance!$S$2</f>
        <v>kt</v>
      </c>
      <c r="X6" s="161"/>
      <c r="Y6" s="161"/>
      <c r="Z6" s="161"/>
      <c r="AA6" s="161"/>
    </row>
    <row r="7" spans="2:27" ht="13.15" x14ac:dyDescent="0.4">
      <c r="S7" s="2"/>
      <c r="T7" s="2"/>
    </row>
    <row r="8" spans="2:27" ht="13.15" x14ac:dyDescent="0.4">
      <c r="D8" s="6" t="s">
        <v>13</v>
      </c>
      <c r="E8" s="6"/>
      <c r="F8" s="6"/>
      <c r="G8" s="6"/>
      <c r="H8" s="6"/>
      <c r="I8" s="6"/>
      <c r="K8" s="6"/>
      <c r="L8" s="7"/>
      <c r="M8" s="7"/>
      <c r="N8" s="5"/>
      <c r="O8" s="105"/>
      <c r="S8" s="156" t="s">
        <v>15</v>
      </c>
      <c r="T8" s="156"/>
      <c r="U8" s="157"/>
      <c r="V8" s="157"/>
      <c r="W8" s="157"/>
      <c r="X8" s="157"/>
      <c r="Y8" s="157"/>
      <c r="Z8" s="157"/>
      <c r="AA8" s="157"/>
    </row>
    <row r="9" spans="2:27" ht="13.15" x14ac:dyDescent="0.4">
      <c r="B9" s="20" t="s">
        <v>1</v>
      </c>
      <c r="C9" s="20" t="s">
        <v>5</v>
      </c>
      <c r="D9" s="20" t="s">
        <v>6</v>
      </c>
      <c r="E9" s="115" t="s">
        <v>188</v>
      </c>
      <c r="F9" s="115" t="s">
        <v>189</v>
      </c>
      <c r="G9" s="116" t="s">
        <v>201</v>
      </c>
      <c r="H9" s="116" t="s">
        <v>123</v>
      </c>
      <c r="I9" s="116" t="s">
        <v>106</v>
      </c>
      <c r="J9" s="116" t="s">
        <v>107</v>
      </c>
      <c r="K9" s="116" t="s">
        <v>156</v>
      </c>
      <c r="L9" s="115" t="s">
        <v>101</v>
      </c>
      <c r="M9" s="115" t="s">
        <v>186</v>
      </c>
      <c r="N9" s="115" t="s">
        <v>128</v>
      </c>
      <c r="O9" s="115" t="s">
        <v>195</v>
      </c>
      <c r="P9" s="43"/>
      <c r="Q9" s="108" t="s">
        <v>168</v>
      </c>
      <c r="R9" s="43"/>
      <c r="S9" s="158" t="s">
        <v>11</v>
      </c>
      <c r="T9" s="159" t="s">
        <v>30</v>
      </c>
      <c r="U9" s="158" t="s">
        <v>1</v>
      </c>
      <c r="V9" s="158" t="s">
        <v>2</v>
      </c>
      <c r="W9" s="158" t="s">
        <v>16</v>
      </c>
      <c r="X9" s="158" t="s">
        <v>17</v>
      </c>
      <c r="Y9" s="158" t="s">
        <v>18</v>
      </c>
      <c r="Z9" s="158" t="s">
        <v>19</v>
      </c>
      <c r="AA9" s="158" t="s">
        <v>20</v>
      </c>
    </row>
    <row r="10" spans="2:27" ht="23.45" customHeight="1" thickBot="1" x14ac:dyDescent="0.4">
      <c r="B10" s="18" t="s">
        <v>42</v>
      </c>
      <c r="C10" s="18" t="s">
        <v>32</v>
      </c>
      <c r="D10" s="18" t="s">
        <v>33</v>
      </c>
      <c r="E10" s="114" t="s">
        <v>34</v>
      </c>
      <c r="F10" s="117" t="s">
        <v>170</v>
      </c>
      <c r="G10" s="114" t="s">
        <v>112</v>
      </c>
      <c r="H10" s="117" t="s">
        <v>124</v>
      </c>
      <c r="I10" s="114" t="s">
        <v>121</v>
      </c>
      <c r="J10" s="114" t="s">
        <v>120</v>
      </c>
      <c r="K10" s="114" t="s">
        <v>158</v>
      </c>
      <c r="L10" s="114" t="s">
        <v>194</v>
      </c>
      <c r="M10" s="114"/>
      <c r="N10" s="114" t="s">
        <v>135</v>
      </c>
      <c r="O10" s="114" t="s">
        <v>159</v>
      </c>
      <c r="P10" s="44"/>
      <c r="Q10" s="107" t="s">
        <v>157</v>
      </c>
      <c r="R10" s="44"/>
      <c r="S10" s="160" t="s">
        <v>41</v>
      </c>
      <c r="T10" s="160" t="s">
        <v>31</v>
      </c>
      <c r="U10" s="160" t="s">
        <v>21</v>
      </c>
      <c r="V10" s="160" t="s">
        <v>22</v>
      </c>
      <c r="W10" s="160" t="s">
        <v>23</v>
      </c>
      <c r="X10" s="160" t="s">
        <v>24</v>
      </c>
      <c r="Y10" s="160" t="s">
        <v>46</v>
      </c>
      <c r="Z10" s="160" t="s">
        <v>45</v>
      </c>
      <c r="AA10" s="160" t="s">
        <v>25</v>
      </c>
    </row>
    <row r="11" spans="2:27" ht="21" thickBot="1" x14ac:dyDescent="0.4">
      <c r="B11" s="17" t="s">
        <v>113</v>
      </c>
      <c r="C11" s="17"/>
      <c r="D11" s="17"/>
      <c r="E11" s="16" t="str">
        <f>$F$2</f>
        <v>GW</v>
      </c>
      <c r="F11" s="118" t="str">
        <f>$F$2</f>
        <v>GW</v>
      </c>
      <c r="G11" s="16"/>
      <c r="H11" s="118"/>
      <c r="I11" s="16" t="str">
        <f>$G$2&amp;"/"&amp;$F$2</f>
        <v>M€2005/GW</v>
      </c>
      <c r="J11" s="16" t="str">
        <f>$G$2&amp;"/"&amp;$F$2</f>
        <v>M€2005/GW</v>
      </c>
      <c r="K11" s="16" t="str">
        <f>$G$2&amp;"/"&amp;$E$2</f>
        <v>M€2005/PJ</v>
      </c>
      <c r="L11" s="16" t="s">
        <v>114</v>
      </c>
      <c r="M11" s="16"/>
      <c r="N11" s="16" t="str">
        <f>EnergyBalance!$S$2</f>
        <v>kt</v>
      </c>
      <c r="O11" s="16" t="str">
        <f>$E$2&amp;"/"&amp;$F$2</f>
        <v>PJ/GW</v>
      </c>
      <c r="P11" s="44"/>
      <c r="Q11" s="154" t="s">
        <v>171</v>
      </c>
      <c r="R11" s="44"/>
      <c r="S11" s="160" t="s">
        <v>103</v>
      </c>
      <c r="T11" s="160"/>
      <c r="U11" s="160"/>
      <c r="V11" s="160"/>
      <c r="W11" s="160"/>
      <c r="X11" s="160"/>
      <c r="Y11" s="160"/>
      <c r="Z11" s="160"/>
      <c r="AA11" s="160"/>
    </row>
    <row r="12" spans="2:27" x14ac:dyDescent="0.35">
      <c r="B12" s="35" t="str">
        <f>U12</f>
        <v>ELCTECOA00</v>
      </c>
      <c r="C12" s="35" t="str">
        <f>$B$2&amp;RIGHT(Sector_Fuels!$K$7,3)</f>
        <v>ELCCOA</v>
      </c>
      <c r="D12" s="35" t="str">
        <f>$U$5</f>
        <v>ELC</v>
      </c>
      <c r="E12" s="106">
        <f>(-EnergyBalance!D11*G12)/(H12*O12)</f>
        <v>137.49657086578924</v>
      </c>
      <c r="F12" s="106"/>
      <c r="G12" s="98">
        <v>0.38400000000000001</v>
      </c>
      <c r="H12" s="98">
        <v>0.85</v>
      </c>
      <c r="I12" s="97"/>
      <c r="J12" s="98">
        <v>40</v>
      </c>
      <c r="K12" s="98">
        <v>0.5</v>
      </c>
      <c r="L12" s="97">
        <v>30</v>
      </c>
      <c r="O12" s="150">
        <v>31.536000000000001</v>
      </c>
      <c r="P12" s="123"/>
      <c r="Q12" s="42">
        <f>E12*$H12*$O12</f>
        <v>3685.6780800000001</v>
      </c>
      <c r="R12" s="44"/>
      <c r="S12" s="161" t="s">
        <v>155</v>
      </c>
      <c r="T12" s="161"/>
      <c r="U12" s="161" t="str">
        <f>$B$2&amp;$C$5&amp;$I$2&amp;RIGHT(Sector_Fuels!$K$7,3)&amp;"00"</f>
        <v>ELCTECOA00</v>
      </c>
      <c r="V12" s="161" t="str">
        <f>$D$2&amp;" "&amp;$I$1&amp;RIGHT(U12,2)&amp;" - "&amp;EnergyBalance!D3</f>
        <v>Power Plants Existing00 - Solid Fuels</v>
      </c>
      <c r="W12" s="161" t="str">
        <f t="shared" ref="W12:W19" si="0">$E$2</f>
        <v>PJ</v>
      </c>
      <c r="X12" s="161" t="str">
        <f t="shared" ref="X12:X19" si="1">$F$2</f>
        <v>GW</v>
      </c>
      <c r="Y12" s="157"/>
      <c r="Z12" s="161"/>
      <c r="AA12" s="161"/>
    </row>
    <row r="13" spans="2:27" x14ac:dyDescent="0.35">
      <c r="D13" s="35" t="str">
        <f>$U$6</f>
        <v>ELCCO2</v>
      </c>
      <c r="E13" s="106"/>
      <c r="F13" s="106"/>
      <c r="G13" s="98"/>
      <c r="H13" s="98"/>
      <c r="I13" s="97"/>
      <c r="J13" s="98"/>
      <c r="K13" s="98"/>
      <c r="L13" s="97"/>
      <c r="N13" s="149">
        <f>99.8/G12</f>
        <v>259.89583333333331</v>
      </c>
      <c r="P13" s="123"/>
      <c r="Q13" s="42"/>
      <c r="R13" s="45"/>
      <c r="S13" s="161"/>
      <c r="T13" s="161"/>
      <c r="U13" s="161" t="str">
        <f>$B$2&amp;$C$5&amp;$I$2&amp;RIGHT(Sector_Fuels!$K$8,3)&amp;"00"</f>
        <v>ELCTEGAS00</v>
      </c>
      <c r="V13" s="161" t="str">
        <f>$D$2&amp;" "&amp;$I$1&amp;RIGHT(U13,2)&amp;" - "&amp;EnergyBalance!E3</f>
        <v>Power Plants Existing00 - Natural Gas</v>
      </c>
      <c r="W13" s="161" t="str">
        <f t="shared" si="0"/>
        <v>PJ</v>
      </c>
      <c r="X13" s="161" t="str">
        <f t="shared" si="1"/>
        <v>GW</v>
      </c>
      <c r="Y13" s="161"/>
      <c r="Z13" s="161"/>
      <c r="AA13" s="161"/>
    </row>
    <row r="14" spans="2:27" x14ac:dyDescent="0.35">
      <c r="B14" s="35" t="str">
        <f>U13</f>
        <v>ELCTEGAS00</v>
      </c>
      <c r="C14" s="35" t="str">
        <f>$B$2&amp;RIGHT(Sector_Fuels!$K$8,3)</f>
        <v>ELCGAS</v>
      </c>
      <c r="D14" s="35" t="str">
        <f>$U$5</f>
        <v>ELC</v>
      </c>
      <c r="E14" s="106">
        <f>(-EnergyBalance!E11*G14)/(H14*O14)</f>
        <v>103.62609445787447</v>
      </c>
      <c r="F14" s="106"/>
      <c r="G14" s="98">
        <v>0.4929</v>
      </c>
      <c r="H14" s="98">
        <v>0.85</v>
      </c>
      <c r="I14" s="97"/>
      <c r="J14" s="98">
        <v>35</v>
      </c>
      <c r="K14" s="98">
        <v>0.4</v>
      </c>
      <c r="L14" s="97">
        <v>20</v>
      </c>
      <c r="N14" s="37"/>
      <c r="O14" s="150">
        <v>31.536000000000001</v>
      </c>
      <c r="P14" s="123"/>
      <c r="Q14" s="42">
        <f>E14*H14*O14</f>
        <v>2777.7596376000001</v>
      </c>
      <c r="R14" s="45"/>
      <c r="S14" s="161"/>
      <c r="T14" s="161"/>
      <c r="U14" s="161" t="str">
        <f>$B$2&amp;$C$5&amp;$I$2&amp;RIGHT(Sector_Fuels!$K$9,3)&amp;"00"</f>
        <v>ELCTEOIL00</v>
      </c>
      <c r="V14" s="161" t="str">
        <f>$D$2&amp;" "&amp;$I$1&amp;RIGHT(U14,2)&amp;" - "&amp;EnergyBalance!F3</f>
        <v>Power Plants Existing00 - Crude Oil</v>
      </c>
      <c r="W14" s="161" t="str">
        <f t="shared" si="0"/>
        <v>PJ</v>
      </c>
      <c r="X14" s="161" t="str">
        <f t="shared" si="1"/>
        <v>GW</v>
      </c>
      <c r="Y14" s="161"/>
      <c r="Z14" s="161"/>
      <c r="AA14" s="161"/>
    </row>
    <row r="15" spans="2:27" x14ac:dyDescent="0.35">
      <c r="D15" s="35" t="str">
        <f>$U$6</f>
        <v>ELCCO2</v>
      </c>
      <c r="E15" s="106"/>
      <c r="F15" s="106"/>
      <c r="G15" s="98"/>
      <c r="H15" s="98"/>
      <c r="I15" s="97"/>
      <c r="J15" s="98"/>
      <c r="K15" s="98"/>
      <c r="L15" s="97"/>
      <c r="N15" s="149">
        <f>56.1/G14</f>
        <v>113.81618989653074</v>
      </c>
      <c r="P15" s="123"/>
      <c r="Q15" s="42"/>
      <c r="R15" s="45"/>
      <c r="S15" s="161"/>
      <c r="T15" s="161"/>
      <c r="U15" s="161" t="str">
        <f>$B$2&amp;$E$5&amp;$I$2&amp;RIGHT(Sector_Fuels!$K$10,3)&amp;"00"</f>
        <v>ELCRERNW00</v>
      </c>
      <c r="V15" s="161" t="str">
        <f>$D$2&amp;" "&amp;$I$1&amp;RIGHT(U15,2)&amp;" - "&amp;EnergyBalance!H3</f>
        <v>Power Plants Existing00 - Renewable Energies</v>
      </c>
      <c r="W15" s="161" t="str">
        <f t="shared" si="0"/>
        <v>PJ</v>
      </c>
      <c r="X15" s="161" t="str">
        <f t="shared" si="1"/>
        <v>GW</v>
      </c>
      <c r="Y15" s="161"/>
      <c r="Z15" s="161"/>
      <c r="AA15" s="161"/>
    </row>
    <row r="16" spans="2:27" x14ac:dyDescent="0.35">
      <c r="B16" s="35" t="str">
        <f>U14</f>
        <v>ELCTEOIL00</v>
      </c>
      <c r="C16" s="35" t="str">
        <f>$B$2&amp;RIGHT(Sector_Fuels!$K$9,3)</f>
        <v>ELCOIL</v>
      </c>
      <c r="D16" s="35" t="str">
        <f>$U$5</f>
        <v>ELC</v>
      </c>
      <c r="E16" s="106">
        <f>((-EnergyBalance!F11*G16)/(H16*O16))</f>
        <v>11.421204897484106</v>
      </c>
      <c r="F16" s="106"/>
      <c r="G16" s="98">
        <v>0.25</v>
      </c>
      <c r="H16" s="98">
        <v>0.85</v>
      </c>
      <c r="I16" s="97"/>
      <c r="J16" s="98">
        <v>20</v>
      </c>
      <c r="K16" s="98">
        <v>0.2</v>
      </c>
      <c r="L16" s="97">
        <v>30</v>
      </c>
      <c r="M16" s="37"/>
      <c r="N16" s="37"/>
      <c r="O16" s="150">
        <v>31.536000000000001</v>
      </c>
      <c r="P16" s="123"/>
      <c r="Q16" s="42">
        <f>E16*H16*O16</f>
        <v>306.15224999999992</v>
      </c>
      <c r="R16" s="45"/>
      <c r="S16" s="161"/>
      <c r="T16" s="161"/>
      <c r="U16" s="161" t="str">
        <f>$B$2&amp;$C$5&amp;$I$2&amp;RIGHT(Sector_Fuels!$K$11,3)&amp;"00"</f>
        <v>ELCTENUC00</v>
      </c>
      <c r="V16" s="161" t="str">
        <f>$D$2&amp;" "&amp;$I$1&amp;RIGHT(U16,2)&amp;" - "&amp;EnergyBalance!G3</f>
        <v>Power Plants Existing00 - Nuclear Energy</v>
      </c>
      <c r="W16" s="161" t="str">
        <f t="shared" si="0"/>
        <v>PJ</v>
      </c>
      <c r="X16" s="161" t="str">
        <f t="shared" si="1"/>
        <v>GW</v>
      </c>
      <c r="Y16" s="157"/>
      <c r="Z16" s="161"/>
      <c r="AA16" s="161"/>
    </row>
    <row r="17" spans="2:27" x14ac:dyDescent="0.35">
      <c r="D17" s="35" t="str">
        <f>$U$6</f>
        <v>ELCCO2</v>
      </c>
      <c r="E17" s="106"/>
      <c r="F17" s="106"/>
      <c r="G17" s="98"/>
      <c r="H17" s="98"/>
      <c r="I17" s="97"/>
      <c r="J17" s="98"/>
      <c r="K17" s="98"/>
      <c r="L17" s="97"/>
      <c r="M17" s="37"/>
      <c r="N17" s="149">
        <f>76.4/G16</f>
        <v>305.60000000000002</v>
      </c>
      <c r="P17" s="123"/>
      <c r="Q17" s="42"/>
      <c r="R17" s="45"/>
      <c r="S17" s="161"/>
      <c r="T17" s="161"/>
      <c r="U17" s="161" t="str">
        <f>$B$2&amp;$C$5&amp;$J$2&amp;RIGHT(Sector_Fuels!$K$7,3)&amp;"00"</f>
        <v>ELCTNCOA00</v>
      </c>
      <c r="V17" s="161" t="str">
        <f>$D$2&amp;" "&amp;$J$1&amp;RIGHT(U17,2)&amp;" - "&amp;EnergyBalance!D3</f>
        <v>Power Plants New00 - Solid Fuels</v>
      </c>
      <c r="W17" s="161" t="str">
        <f t="shared" si="0"/>
        <v>PJ</v>
      </c>
      <c r="X17" s="161" t="str">
        <f t="shared" si="1"/>
        <v>GW</v>
      </c>
      <c r="Y17" s="157"/>
      <c r="Z17" s="161"/>
      <c r="AA17" s="161"/>
    </row>
    <row r="18" spans="2:27" x14ac:dyDescent="0.35">
      <c r="B18" s="35" t="str">
        <f>U15</f>
        <v>ELCRERNW00</v>
      </c>
      <c r="C18" s="35" t="str">
        <f>$B$2&amp;RIGHT(Sector_Fuels!$K$10,3)</f>
        <v>ELCRNW</v>
      </c>
      <c r="D18" s="35" t="str">
        <f>$U$5</f>
        <v>ELC</v>
      </c>
      <c r="E18" s="106">
        <f>(-EnergyBalance!H11*G18)/(H18*O18)</f>
        <v>88.483849145949605</v>
      </c>
      <c r="F18" s="106">
        <f>E18</f>
        <v>88.483849145949605</v>
      </c>
      <c r="G18" s="98">
        <v>1</v>
      </c>
      <c r="H18" s="98">
        <v>0.45</v>
      </c>
      <c r="I18" s="97"/>
      <c r="J18" s="98">
        <v>70</v>
      </c>
      <c r="K18" s="98"/>
      <c r="L18" s="37"/>
      <c r="N18" s="37"/>
      <c r="O18" s="150">
        <v>31.536000000000001</v>
      </c>
      <c r="P18" s="123"/>
      <c r="Q18" s="42">
        <f>E18*H18*O18</f>
        <v>1255.692</v>
      </c>
      <c r="R18" s="45"/>
      <c r="S18" s="161"/>
      <c r="T18" s="161"/>
      <c r="U18" s="161" t="str">
        <f>$B$2&amp;$C$5&amp;$J$2&amp;RIGHT(Sector_Fuels!$K$8,3)&amp;"00"</f>
        <v>ELCTNGAS00</v>
      </c>
      <c r="V18" s="161" t="str">
        <f>$D$2&amp;" "&amp;$J$1&amp;RIGHT(U18,2)&amp;" - "&amp;EnergyBalance!E3</f>
        <v>Power Plants New00 - Natural Gas</v>
      </c>
      <c r="W18" s="161" t="str">
        <f t="shared" si="0"/>
        <v>PJ</v>
      </c>
      <c r="X18" s="161" t="str">
        <f t="shared" si="1"/>
        <v>GW</v>
      </c>
      <c r="Y18" s="161"/>
      <c r="Z18" s="161"/>
      <c r="AA18" s="161"/>
    </row>
    <row r="19" spans="2:27" x14ac:dyDescent="0.35">
      <c r="B19" s="143" t="str">
        <f>U16</f>
        <v>ELCTENUC00</v>
      </c>
      <c r="C19" s="143" t="str">
        <f>$B$2&amp;RIGHT(Sector_Fuels!$K$11,3)</f>
        <v>ELCNUC</v>
      </c>
      <c r="D19" s="143" t="str">
        <f>$U$5</f>
        <v>ELC</v>
      </c>
      <c r="E19" s="144">
        <f>(-EnergyBalance!G11*G19)/(H19*O19)</f>
        <v>125.28183557415862</v>
      </c>
      <c r="F19" s="144">
        <f>E19</f>
        <v>125.28183557415862</v>
      </c>
      <c r="G19" s="146">
        <v>0.33</v>
      </c>
      <c r="H19" s="145">
        <v>0.9</v>
      </c>
      <c r="I19" s="146"/>
      <c r="J19" s="145">
        <v>38</v>
      </c>
      <c r="K19" s="146">
        <v>0.27</v>
      </c>
      <c r="L19" s="143"/>
      <c r="M19" s="143"/>
      <c r="N19" s="147"/>
      <c r="O19" s="151">
        <v>31.536000000000001</v>
      </c>
      <c r="P19" s="155"/>
      <c r="Q19" s="42">
        <f>E19*H19*O19</f>
        <v>3555.7991699999998</v>
      </c>
      <c r="R19" s="45"/>
      <c r="S19" s="161"/>
      <c r="T19" s="161"/>
      <c r="U19" s="161" t="str">
        <f>$B$2&amp;$C$5&amp;$J$2&amp;RIGHT(Sector_Fuels!$K$9,3)&amp;"00"</f>
        <v>ELCTNOIL00</v>
      </c>
      <c r="V19" s="161" t="str">
        <f>$D$2&amp;" "&amp;$J$1&amp;RIGHT(U19,2)&amp;" - "&amp;EnergyBalance!F3</f>
        <v>Power Plants New00 - Crude Oil</v>
      </c>
      <c r="W19" s="161" t="str">
        <f t="shared" si="0"/>
        <v>PJ</v>
      </c>
      <c r="X19" s="161" t="str">
        <f t="shared" si="1"/>
        <v>GW</v>
      </c>
      <c r="Y19" s="161"/>
      <c r="Z19" s="161"/>
      <c r="AA19" s="161"/>
    </row>
    <row r="20" spans="2:27" x14ac:dyDescent="0.35">
      <c r="B20" s="35" t="str">
        <f>U17</f>
        <v>ELCTNCOA00</v>
      </c>
      <c r="C20" s="35" t="str">
        <f>$B$2&amp;RIGHT(Sector_Fuels!$K$7,3)</f>
        <v>ELCCOA</v>
      </c>
      <c r="D20" s="35" t="str">
        <f>$U$5</f>
        <v>ELC</v>
      </c>
      <c r="E20" s="37"/>
      <c r="F20" s="37"/>
      <c r="G20" s="98">
        <v>0.42</v>
      </c>
      <c r="H20" s="98">
        <v>0.85</v>
      </c>
      <c r="I20" s="97">
        <v>1650</v>
      </c>
      <c r="J20" s="98">
        <v>35</v>
      </c>
      <c r="K20" s="98">
        <v>0.4</v>
      </c>
      <c r="L20" s="97">
        <v>40</v>
      </c>
      <c r="M20" s="149">
        <v>2006</v>
      </c>
      <c r="N20" s="37"/>
      <c r="O20" s="150">
        <v>31.536000000000001</v>
      </c>
      <c r="P20" s="123"/>
      <c r="R20" s="45"/>
    </row>
    <row r="21" spans="2:27" x14ac:dyDescent="0.35">
      <c r="D21" s="35" t="str">
        <f>$U$6</f>
        <v>ELCCO2</v>
      </c>
      <c r="E21" s="37"/>
      <c r="F21" s="37"/>
      <c r="G21" s="98"/>
      <c r="H21" s="98"/>
      <c r="I21" s="97"/>
      <c r="J21" s="98"/>
      <c r="K21" s="98"/>
      <c r="L21" s="97"/>
      <c r="M21" s="37"/>
      <c r="N21" s="149">
        <f>99.8/G20</f>
        <v>237.61904761904762</v>
      </c>
      <c r="P21" s="123"/>
    </row>
    <row r="22" spans="2:27" x14ac:dyDescent="0.35">
      <c r="B22" s="35" t="str">
        <f>U18</f>
        <v>ELCTNGAS00</v>
      </c>
      <c r="C22" s="35" t="str">
        <f>$B$2&amp;RIGHT(Sector_Fuels!$K$8,3)</f>
        <v>ELCGAS</v>
      </c>
      <c r="D22" s="35" t="str">
        <f>$U$5</f>
        <v>ELC</v>
      </c>
      <c r="G22" s="97">
        <v>0.52</v>
      </c>
      <c r="H22" s="98">
        <v>0.85</v>
      </c>
      <c r="I22" s="97">
        <v>750</v>
      </c>
      <c r="J22" s="98">
        <v>30</v>
      </c>
      <c r="K22" s="98">
        <v>0.35</v>
      </c>
      <c r="L22" s="97">
        <v>30</v>
      </c>
      <c r="M22" s="149">
        <v>2006</v>
      </c>
      <c r="N22" s="37"/>
      <c r="O22" s="150">
        <v>31.536000000000001</v>
      </c>
      <c r="P22" s="123"/>
    </row>
    <row r="23" spans="2:27" x14ac:dyDescent="0.35">
      <c r="D23" s="35" t="str">
        <f>$U$6</f>
        <v>ELCCO2</v>
      </c>
      <c r="G23" s="97"/>
      <c r="H23" s="97"/>
      <c r="I23" s="97"/>
      <c r="J23" s="98"/>
      <c r="K23" s="98"/>
      <c r="L23" s="97"/>
      <c r="M23" s="37"/>
      <c r="N23" s="149">
        <f>56.1/G22</f>
        <v>107.88461538461539</v>
      </c>
      <c r="P23" s="123"/>
    </row>
    <row r="24" spans="2:27" x14ac:dyDescent="0.35">
      <c r="B24" s="35" t="str">
        <f>U19</f>
        <v>ELCTNOIL00</v>
      </c>
      <c r="C24" s="35" t="str">
        <f>$B$2&amp;RIGHT(Sector_Fuels!$K$9,3)</f>
        <v>ELCOIL</v>
      </c>
      <c r="D24" s="35" t="str">
        <f>$U$5</f>
        <v>ELC</v>
      </c>
      <c r="G24" s="98">
        <v>0.3</v>
      </c>
      <c r="H24" s="98">
        <v>0.85</v>
      </c>
      <c r="I24" s="97">
        <v>2500</v>
      </c>
      <c r="J24" s="98">
        <v>15</v>
      </c>
      <c r="K24" s="98">
        <v>0.2</v>
      </c>
      <c r="L24" s="97">
        <v>40</v>
      </c>
      <c r="M24" s="149">
        <v>2006</v>
      </c>
      <c r="N24" s="37"/>
      <c r="O24" s="150">
        <v>31.536000000000001</v>
      </c>
      <c r="P24" s="123"/>
    </row>
    <row r="25" spans="2:27" x14ac:dyDescent="0.35">
      <c r="D25" s="35" t="str">
        <f>$U$6</f>
        <v>ELCCO2</v>
      </c>
      <c r="G25" s="97"/>
      <c r="H25" s="97"/>
      <c r="I25" s="97"/>
      <c r="J25" s="97"/>
      <c r="K25" s="97"/>
      <c r="L25" s="97"/>
      <c r="N25" s="149">
        <f>76.4/G24</f>
        <v>254.66666666666669</v>
      </c>
    </row>
    <row r="26" spans="2:27" x14ac:dyDescent="0.35">
      <c r="N26" s="37"/>
      <c r="Q26" s="37"/>
    </row>
    <row r="28" spans="2:27" x14ac:dyDescent="0.35">
      <c r="Q28" s="37"/>
    </row>
    <row r="30" spans="2:27" x14ac:dyDescent="0.35">
      <c r="Q30" s="37"/>
      <c r="V30" s="22"/>
      <c r="Y30" s="1"/>
    </row>
    <row r="31" spans="2:27" x14ac:dyDescent="0.35">
      <c r="B31" s="56"/>
      <c r="C31" s="1" t="s">
        <v>180</v>
      </c>
      <c r="V31" s="22"/>
    </row>
    <row r="32" spans="2:27" x14ac:dyDescent="0.35">
      <c r="B32" s="91"/>
      <c r="C32" s="1" t="s">
        <v>181</v>
      </c>
      <c r="V32" s="22"/>
    </row>
    <row r="33" spans="22:25" x14ac:dyDescent="0.35">
      <c r="V33" s="22"/>
    </row>
    <row r="34" spans="22:25" x14ac:dyDescent="0.35">
      <c r="V34" s="22"/>
      <c r="Y34" s="1"/>
    </row>
    <row r="35" spans="22:25" x14ac:dyDescent="0.35">
      <c r="Y35" s="1"/>
    </row>
  </sheetData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EnergyBalance</vt:lpstr>
      <vt:lpstr>RES&amp;OBJ</vt:lpstr>
      <vt:lpstr>Pri_COA</vt:lpstr>
      <vt:lpstr>Pri_GAS</vt:lpstr>
      <vt:lpstr>Pri_OIL</vt:lpstr>
      <vt:lpstr>Pri_RNW</vt:lpstr>
      <vt:lpstr>Pri_NUC</vt:lpstr>
      <vt:lpstr>Sector_Fuels</vt:lpstr>
      <vt:lpstr>Con_ELC</vt:lpstr>
      <vt:lpstr>DemTechs_TPS</vt:lpstr>
      <vt:lpstr>DemTechs_ELC</vt:lpstr>
      <vt:lpstr>DemTechs_TRA</vt:lpstr>
      <vt:lpstr>DemTechs_RSD</vt:lpstr>
      <vt:lpstr>Demands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KanORS-EMR Business Standard</cp:lastModifiedBy>
  <cp:lastPrinted>2004-11-16T14:57:57Z</cp:lastPrinted>
  <dcterms:created xsi:type="dcterms:W3CDTF">2000-12-13T15:53:11Z</dcterms:created>
  <dcterms:modified xsi:type="dcterms:W3CDTF">2025-03-21T13:59:45Z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79692065715789</vt:r8>
  </property>
</Properties>
</file>