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waggy.P\Desktop\"/>
    </mc:Choice>
  </mc:AlternateContent>
  <xr:revisionPtr revIDLastSave="0" documentId="8_{3BE18544-A005-4EEF-8CC0-56D7BC97B90F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odel Assumptions" sheetId="2" r:id="rId1"/>
    <sheet name="Base Case" sheetId="3" r:id="rId2"/>
    <sheet name="Bear case" sheetId="4" r:id="rId3"/>
    <sheet name="Bull case" sheetId="5" r:id="rId4"/>
    <sheet name="Model Summary" sheetId="6" r:id="rId5"/>
    <sheet name="AA Trial - do not dele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7" l="1"/>
  <c r="M53" i="7"/>
  <c r="M51" i="7"/>
  <c r="M55" i="7" s="1"/>
  <c r="G27" i="7" s="1"/>
  <c r="M47" i="7"/>
  <c r="M46" i="7"/>
  <c r="L33" i="7"/>
  <c r="L32" i="7"/>
  <c r="L29" i="7"/>
  <c r="M29" i="7" s="1"/>
  <c r="F29" i="7"/>
  <c r="E29" i="7"/>
  <c r="D29" i="7"/>
  <c r="C29" i="7"/>
  <c r="L28" i="7"/>
  <c r="F23" i="7"/>
  <c r="G23" i="7" s="1"/>
  <c r="H23" i="7" s="1"/>
  <c r="I23" i="7" s="1"/>
  <c r="E23" i="7"/>
  <c r="D23" i="7"/>
  <c r="C23" i="7"/>
  <c r="F16" i="7"/>
  <c r="E16" i="7"/>
  <c r="D16" i="7"/>
  <c r="C16" i="7"/>
  <c r="I15" i="7"/>
  <c r="H15" i="7"/>
  <c r="G15" i="7"/>
  <c r="F14" i="7"/>
  <c r="E14" i="7"/>
  <c r="D14" i="7"/>
  <c r="D15" i="7" s="1"/>
  <c r="C14" i="7"/>
  <c r="C15" i="7" s="1"/>
  <c r="D13" i="7"/>
  <c r="I12" i="7"/>
  <c r="H12" i="7"/>
  <c r="G12" i="7"/>
  <c r="F12" i="7"/>
  <c r="E12" i="7"/>
  <c r="D12" i="7"/>
  <c r="C12" i="7"/>
  <c r="C13" i="7" s="1"/>
  <c r="I10" i="7"/>
  <c r="H10" i="7"/>
  <c r="G10" i="7"/>
  <c r="F8" i="7"/>
  <c r="F10" i="7" s="1"/>
  <c r="C8" i="7"/>
  <c r="C10" i="7" s="1"/>
  <c r="I7" i="7"/>
  <c r="H7" i="7"/>
  <c r="G7" i="7"/>
  <c r="F7" i="7"/>
  <c r="F9" i="7" s="1"/>
  <c r="F19" i="7" s="1"/>
  <c r="E7" i="7"/>
  <c r="E9" i="7" s="1"/>
  <c r="G9" i="7" s="1"/>
  <c r="D7" i="7"/>
  <c r="D9" i="7" s="1"/>
  <c r="D19" i="7" s="1"/>
  <c r="C7" i="7"/>
  <c r="C9" i="7" s="1"/>
  <c r="C19" i="7" s="1"/>
  <c r="F5" i="7"/>
  <c r="E5" i="7"/>
  <c r="D5" i="7"/>
  <c r="C5" i="7"/>
  <c r="M54" i="5"/>
  <c r="M53" i="5"/>
  <c r="M51" i="5"/>
  <c r="M55" i="5" s="1"/>
  <c r="G27" i="5" s="1"/>
  <c r="H27" i="5" s="1"/>
  <c r="I27" i="5" s="1"/>
  <c r="M47" i="5"/>
  <c r="M46" i="5"/>
  <c r="L34" i="5"/>
  <c r="L33" i="5"/>
  <c r="L32" i="5"/>
  <c r="L29" i="5"/>
  <c r="F29" i="5"/>
  <c r="E29" i="5"/>
  <c r="D29" i="5"/>
  <c r="C29" i="5"/>
  <c r="L28" i="5"/>
  <c r="F23" i="5"/>
  <c r="G23" i="5" s="1"/>
  <c r="H23" i="5" s="1"/>
  <c r="I23" i="5" s="1"/>
  <c r="E23" i="5"/>
  <c r="D23" i="5"/>
  <c r="C23" i="5"/>
  <c r="F18" i="5"/>
  <c r="E18" i="5"/>
  <c r="D18" i="5"/>
  <c r="C18" i="5"/>
  <c r="F16" i="5"/>
  <c r="E16" i="5"/>
  <c r="D16" i="5"/>
  <c r="C16" i="5"/>
  <c r="I12" i="5"/>
  <c r="H12" i="5"/>
  <c r="G12" i="5"/>
  <c r="F12" i="5"/>
  <c r="F13" i="5" s="1"/>
  <c r="E12" i="5"/>
  <c r="E13" i="5" s="1"/>
  <c r="D12" i="5"/>
  <c r="D14" i="5" s="1"/>
  <c r="C12" i="5"/>
  <c r="C14" i="5" s="1"/>
  <c r="C15" i="5" s="1"/>
  <c r="E9" i="5"/>
  <c r="G9" i="5" s="1"/>
  <c r="D9" i="5"/>
  <c r="C9" i="5"/>
  <c r="F8" i="5"/>
  <c r="F10" i="5" s="1"/>
  <c r="E8" i="5"/>
  <c r="E10" i="5" s="1"/>
  <c r="C8" i="5"/>
  <c r="C10" i="5" s="1"/>
  <c r="I7" i="5"/>
  <c r="H7" i="5"/>
  <c r="G7" i="5"/>
  <c r="F7" i="5"/>
  <c r="F9" i="5" s="1"/>
  <c r="E7" i="5"/>
  <c r="D7" i="5"/>
  <c r="C7" i="5"/>
  <c r="F5" i="5"/>
  <c r="E5" i="5"/>
  <c r="D5" i="5"/>
  <c r="C5" i="5"/>
  <c r="M54" i="4"/>
  <c r="M53" i="4"/>
  <c r="M51" i="4"/>
  <c r="M47" i="4"/>
  <c r="M46" i="4"/>
  <c r="L34" i="4"/>
  <c r="L33" i="4"/>
  <c r="L32" i="4"/>
  <c r="L29" i="4"/>
  <c r="M29" i="4" s="1"/>
  <c r="F29" i="4"/>
  <c r="E29" i="4"/>
  <c r="D29" i="4"/>
  <c r="C29" i="4"/>
  <c r="L28" i="4"/>
  <c r="L30" i="4" s="1"/>
  <c r="F23" i="4"/>
  <c r="G23" i="4" s="1"/>
  <c r="H23" i="4" s="1"/>
  <c r="I23" i="4" s="1"/>
  <c r="E23" i="4"/>
  <c r="D23" i="4"/>
  <c r="C23" i="4"/>
  <c r="F18" i="4"/>
  <c r="E18" i="4"/>
  <c r="D18" i="4"/>
  <c r="C18" i="4"/>
  <c r="F16" i="4"/>
  <c r="E16" i="4"/>
  <c r="D16" i="4"/>
  <c r="C16" i="4"/>
  <c r="I12" i="4"/>
  <c r="H12" i="4"/>
  <c r="G12" i="4"/>
  <c r="F12" i="4"/>
  <c r="E12" i="4"/>
  <c r="E13" i="4" s="1"/>
  <c r="D12" i="4"/>
  <c r="D14" i="4" s="1"/>
  <c r="C12" i="4"/>
  <c r="C14" i="4" s="1"/>
  <c r="E9" i="4"/>
  <c r="G9" i="4" s="1"/>
  <c r="C9" i="4"/>
  <c r="F8" i="4"/>
  <c r="F10" i="4" s="1"/>
  <c r="C8" i="4"/>
  <c r="C10" i="4" s="1"/>
  <c r="I7" i="4"/>
  <c r="H7" i="4"/>
  <c r="G7" i="4"/>
  <c r="F7" i="4"/>
  <c r="F9" i="4" s="1"/>
  <c r="E7" i="4"/>
  <c r="D7" i="4"/>
  <c r="C7" i="4"/>
  <c r="F5" i="4"/>
  <c r="E5" i="4"/>
  <c r="D5" i="4"/>
  <c r="C5" i="4"/>
  <c r="F52" i="3"/>
  <c r="E52" i="3"/>
  <c r="D52" i="3"/>
  <c r="C52" i="3"/>
  <c r="F50" i="3"/>
  <c r="E50" i="3"/>
  <c r="D50" i="3"/>
  <c r="C50" i="3"/>
  <c r="M35" i="3"/>
  <c r="G27" i="3" s="1"/>
  <c r="M28" i="3"/>
  <c r="G23" i="3"/>
  <c r="H23" i="3" s="1"/>
  <c r="I23" i="3" s="1"/>
  <c r="L18" i="3"/>
  <c r="L19" i="3" s="1"/>
  <c r="M17" i="3"/>
  <c r="N17" i="3" s="1"/>
  <c r="M15" i="3"/>
  <c r="N15" i="3" s="1"/>
  <c r="F14" i="3"/>
  <c r="F21" i="3" s="1"/>
  <c r="F25" i="3" s="1"/>
  <c r="E14" i="3"/>
  <c r="E15" i="3" s="1"/>
  <c r="D14" i="3"/>
  <c r="D15" i="3" s="1"/>
  <c r="C14" i="3"/>
  <c r="C15" i="3" s="1"/>
  <c r="I13" i="3"/>
  <c r="H13" i="3"/>
  <c r="G13" i="3"/>
  <c r="F13" i="3"/>
  <c r="E13" i="3"/>
  <c r="D13" i="3"/>
  <c r="C13" i="3"/>
  <c r="F10" i="3"/>
  <c r="E10" i="3"/>
  <c r="D10" i="3"/>
  <c r="C10" i="3"/>
  <c r="F9" i="3"/>
  <c r="F19" i="3" s="1"/>
  <c r="E9" i="3"/>
  <c r="E19" i="3" s="1"/>
  <c r="D9" i="3"/>
  <c r="D19" i="3" s="1"/>
  <c r="C9" i="3"/>
  <c r="C19" i="3" s="1"/>
  <c r="I8" i="3"/>
  <c r="H8" i="3"/>
  <c r="G8" i="3"/>
  <c r="E8" i="3"/>
  <c r="D8" i="3"/>
  <c r="F15" i="3" l="1"/>
  <c r="E13" i="7"/>
  <c r="E15" i="7"/>
  <c r="C21" i="3"/>
  <c r="C25" i="3" s="1"/>
  <c r="E21" i="3"/>
  <c r="E25" i="3" s="1"/>
  <c r="D8" i="5"/>
  <c r="D10" i="5" s="1"/>
  <c r="D21" i="3"/>
  <c r="D25" i="3" s="1"/>
  <c r="D21" i="5"/>
  <c r="G8" i="5"/>
  <c r="E8" i="7"/>
  <c r="E10" i="7" s="1"/>
  <c r="H13" i="7"/>
  <c r="I13" i="7"/>
  <c r="H8" i="5"/>
  <c r="C56" i="3"/>
  <c r="C55" i="3" s="1"/>
  <c r="C57" i="3" s="1"/>
  <c r="C58" i="3" s="1"/>
  <c r="I8" i="5"/>
  <c r="G8" i="7"/>
  <c r="H13" i="5"/>
  <c r="D8" i="7"/>
  <c r="D10" i="7" s="1"/>
  <c r="F21" i="7"/>
  <c r="F25" i="7" s="1"/>
  <c r="F19" i="5"/>
  <c r="M48" i="7"/>
  <c r="G9" i="3"/>
  <c r="E19" i="7"/>
  <c r="G13" i="5"/>
  <c r="G5" i="3"/>
  <c r="G14" i="7"/>
  <c r="O17" i="3"/>
  <c r="N29" i="7"/>
  <c r="G18" i="7"/>
  <c r="H9" i="7"/>
  <c r="H14" i="7" s="1"/>
  <c r="O15" i="3"/>
  <c r="I5" i="3" s="1"/>
  <c r="H5" i="3"/>
  <c r="M48" i="5"/>
  <c r="F13" i="7"/>
  <c r="G13" i="7"/>
  <c r="E21" i="7"/>
  <c r="E25" i="7" s="1"/>
  <c r="C21" i="7"/>
  <c r="C25" i="7" s="1"/>
  <c r="D21" i="7"/>
  <c r="D25" i="7" s="1"/>
  <c r="F14" i="5"/>
  <c r="G5" i="7"/>
  <c r="B45" i="7" s="1"/>
  <c r="E8" i="4"/>
  <c r="E10" i="4" s="1"/>
  <c r="I8" i="7"/>
  <c r="L30" i="5"/>
  <c r="L31" i="5" s="1"/>
  <c r="C19" i="5"/>
  <c r="F15" i="7"/>
  <c r="D25" i="5"/>
  <c r="E14" i="5"/>
  <c r="L30" i="7"/>
  <c r="H8" i="7"/>
  <c r="C13" i="5"/>
  <c r="D19" i="5"/>
  <c r="D13" i="5"/>
  <c r="E19" i="5"/>
  <c r="D8" i="4"/>
  <c r="D10" i="4" s="1"/>
  <c r="G8" i="4"/>
  <c r="H8" i="4"/>
  <c r="I8" i="4"/>
  <c r="F13" i="4"/>
  <c r="I13" i="4"/>
  <c r="D9" i="4"/>
  <c r="D19" i="4" s="1"/>
  <c r="M55" i="4"/>
  <c r="G27" i="4" s="1"/>
  <c r="H27" i="4" s="1"/>
  <c r="I27" i="4" s="1"/>
  <c r="E14" i="4"/>
  <c r="E21" i="4" s="1"/>
  <c r="E25" i="4" s="1"/>
  <c r="F14" i="4"/>
  <c r="F21" i="4" s="1"/>
  <c r="F25" i="4" s="1"/>
  <c r="C19" i="4"/>
  <c r="E19" i="4"/>
  <c r="G13" i="4"/>
  <c r="M48" i="4"/>
  <c r="F19" i="4"/>
  <c r="D21" i="4"/>
  <c r="D25" i="4" s="1"/>
  <c r="D15" i="4"/>
  <c r="N29" i="4"/>
  <c r="G18" i="4"/>
  <c r="H9" i="4"/>
  <c r="G14" i="4"/>
  <c r="C15" i="4"/>
  <c r="C21" i="4"/>
  <c r="C25" i="4" s="1"/>
  <c r="L31" i="4"/>
  <c r="C13" i="4"/>
  <c r="H13" i="4"/>
  <c r="D13" i="4"/>
  <c r="H9" i="5"/>
  <c r="G18" i="5"/>
  <c r="G14" i="5"/>
  <c r="I13" i="5"/>
  <c r="M29" i="5"/>
  <c r="D15" i="5"/>
  <c r="C21" i="5"/>
  <c r="C25" i="5" s="1"/>
  <c r="H27" i="7"/>
  <c r="H27" i="3"/>
  <c r="F15" i="4" l="1"/>
  <c r="D56" i="3"/>
  <c r="E15" i="4"/>
  <c r="H9" i="3"/>
  <c r="G14" i="3"/>
  <c r="G18" i="3"/>
  <c r="G5" i="4"/>
  <c r="C54" i="3"/>
  <c r="G5" i="5"/>
  <c r="H16" i="7"/>
  <c r="H5" i="5"/>
  <c r="H5" i="4" s="1"/>
  <c r="H5" i="7"/>
  <c r="B46" i="7" s="1"/>
  <c r="D54" i="3"/>
  <c r="F15" i="5"/>
  <c r="F21" i="5"/>
  <c r="F25" i="5" s="1"/>
  <c r="L31" i="7"/>
  <c r="I9" i="7"/>
  <c r="H18" i="7"/>
  <c r="H21" i="7" s="1"/>
  <c r="O29" i="7"/>
  <c r="E54" i="3"/>
  <c r="I5" i="7"/>
  <c r="B47" i="7" s="1"/>
  <c r="B48" i="7" s="1"/>
  <c r="B49" i="7" s="1"/>
  <c r="B50" i="7" s="1"/>
  <c r="B51" i="7" s="1"/>
  <c r="B52" i="7" s="1"/>
  <c r="B53" i="7" s="1"/>
  <c r="B54" i="7" s="1"/>
  <c r="I5" i="5"/>
  <c r="I5" i="4" s="1"/>
  <c r="E56" i="3"/>
  <c r="E55" i="3" s="1"/>
  <c r="E57" i="3" s="1"/>
  <c r="E58" i="3" s="1"/>
  <c r="D55" i="3"/>
  <c r="D57" i="3" s="1"/>
  <c r="D58" i="3" s="1"/>
  <c r="E15" i="5"/>
  <c r="E21" i="5"/>
  <c r="E25" i="5" s="1"/>
  <c r="G16" i="7"/>
  <c r="G21" i="7"/>
  <c r="G21" i="4"/>
  <c r="G25" i="4" s="1"/>
  <c r="G16" i="4"/>
  <c r="H18" i="4"/>
  <c r="H14" i="4"/>
  <c r="I9" i="4"/>
  <c r="O29" i="4"/>
  <c r="N29" i="5"/>
  <c r="G21" i="5"/>
  <c r="G25" i="5" s="1"/>
  <c r="G16" i="5"/>
  <c r="H18" i="5"/>
  <c r="I9" i="5"/>
  <c r="H14" i="5"/>
  <c r="I27" i="7"/>
  <c r="I27" i="3"/>
  <c r="G21" i="3" l="1"/>
  <c r="G25" i="3" s="1"/>
  <c r="M18" i="3" s="1"/>
  <c r="G16" i="3"/>
  <c r="I9" i="3"/>
  <c r="H18" i="3"/>
  <c r="H14" i="3"/>
  <c r="H25" i="7"/>
  <c r="C46" i="7"/>
  <c r="C45" i="7"/>
  <c r="G25" i="7"/>
  <c r="I18" i="7"/>
  <c r="I14" i="7"/>
  <c r="I18" i="4"/>
  <c r="I14" i="4"/>
  <c r="M30" i="4"/>
  <c r="H16" i="4"/>
  <c r="H21" i="4"/>
  <c r="H25" i="4" s="1"/>
  <c r="H21" i="5"/>
  <c r="H25" i="5" s="1"/>
  <c r="H16" i="5"/>
  <c r="I18" i="5"/>
  <c r="I14" i="5"/>
  <c r="M30" i="5"/>
  <c r="O29" i="5"/>
  <c r="H16" i="3" l="1"/>
  <c r="H21" i="3"/>
  <c r="H25" i="3" s="1"/>
  <c r="I18" i="3"/>
  <c r="I14" i="3"/>
  <c r="M16" i="3"/>
  <c r="M19" i="3"/>
  <c r="G29" i="3" s="1"/>
  <c r="G31" i="3" s="1"/>
  <c r="N18" i="3"/>
  <c r="I21" i="7"/>
  <c r="M49" i="7"/>
  <c r="I16" i="7"/>
  <c r="M30" i="7"/>
  <c r="M31" i="4"/>
  <c r="G29" i="4" s="1"/>
  <c r="G31" i="4" s="1"/>
  <c r="N30" i="4"/>
  <c r="M28" i="4"/>
  <c r="I16" i="4"/>
  <c r="M49" i="4"/>
  <c r="I21" i="4"/>
  <c r="I25" i="4" s="1"/>
  <c r="M31" i="5"/>
  <c r="G29" i="5" s="1"/>
  <c r="G31" i="5" s="1"/>
  <c r="N30" i="5"/>
  <c r="M28" i="5"/>
  <c r="I21" i="5"/>
  <c r="I25" i="5" s="1"/>
  <c r="M49" i="5"/>
  <c r="I16" i="5"/>
  <c r="I21" i="3" l="1"/>
  <c r="I25" i="3" s="1"/>
  <c r="M29" i="3"/>
  <c r="I16" i="3"/>
  <c r="N16" i="3"/>
  <c r="O18" i="3"/>
  <c r="N19" i="3"/>
  <c r="H29" i="3" s="1"/>
  <c r="H31" i="3" s="1"/>
  <c r="G35" i="3"/>
  <c r="G36" i="3" s="1"/>
  <c r="G37" i="3" s="1"/>
  <c r="G33" i="3"/>
  <c r="M31" i="7"/>
  <c r="G29" i="7" s="1"/>
  <c r="G31" i="7" s="1"/>
  <c r="N30" i="7"/>
  <c r="M28" i="7"/>
  <c r="C47" i="7"/>
  <c r="I25" i="7"/>
  <c r="E40" i="7"/>
  <c r="E41" i="7" s="1"/>
  <c r="E42" i="7" s="1"/>
  <c r="G35" i="4"/>
  <c r="G36" i="4" s="1"/>
  <c r="G37" i="4" s="1"/>
  <c r="G33" i="4"/>
  <c r="O30" i="4"/>
  <c r="N31" i="4"/>
  <c r="H29" i="4" s="1"/>
  <c r="H31" i="4" s="1"/>
  <c r="N28" i="4"/>
  <c r="N31" i="5"/>
  <c r="H29" i="5" s="1"/>
  <c r="H31" i="5" s="1"/>
  <c r="O30" i="5"/>
  <c r="N28" i="5"/>
  <c r="G35" i="5"/>
  <c r="G36" i="5" s="1"/>
  <c r="G37" i="5" s="1"/>
  <c r="G33" i="5"/>
  <c r="O16" i="3" l="1"/>
  <c r="O19" i="3"/>
  <c r="I29" i="3" s="1"/>
  <c r="I31" i="3" s="1"/>
  <c r="H35" i="3"/>
  <c r="H36" i="3" s="1"/>
  <c r="H37" i="3" s="1"/>
  <c r="H33" i="3"/>
  <c r="G33" i="7"/>
  <c r="G35" i="7"/>
  <c r="G36" i="7" s="1"/>
  <c r="G37" i="7" s="1"/>
  <c r="C48" i="7"/>
  <c r="C49" i="7" s="1"/>
  <c r="C50" i="7" s="1"/>
  <c r="C51" i="7" s="1"/>
  <c r="C52" i="7" s="1"/>
  <c r="C53" i="7" s="1"/>
  <c r="C54" i="7" s="1"/>
  <c r="N31" i="7"/>
  <c r="H29" i="7" s="1"/>
  <c r="H31" i="7" s="1"/>
  <c r="O30" i="7"/>
  <c r="N28" i="7"/>
  <c r="H35" i="4"/>
  <c r="H36" i="4" s="1"/>
  <c r="H37" i="4" s="1"/>
  <c r="H33" i="4"/>
  <c r="O31" i="4"/>
  <c r="I29" i="4" s="1"/>
  <c r="I31" i="4" s="1"/>
  <c r="O28" i="4"/>
  <c r="O31" i="5"/>
  <c r="I29" i="5" s="1"/>
  <c r="I31" i="5" s="1"/>
  <c r="O28" i="5"/>
  <c r="H33" i="5"/>
  <c r="H35" i="5"/>
  <c r="H36" i="5" s="1"/>
  <c r="H37" i="5" s="1"/>
  <c r="I35" i="3" l="1"/>
  <c r="I36" i="3" s="1"/>
  <c r="I37" i="3" s="1"/>
  <c r="I33" i="3"/>
  <c r="O31" i="7"/>
  <c r="I29" i="7" s="1"/>
  <c r="I31" i="7" s="1"/>
  <c r="O28" i="7"/>
  <c r="H33" i="7"/>
  <c r="H35" i="7"/>
  <c r="H36" i="7" s="1"/>
  <c r="H37" i="7" s="1"/>
  <c r="I35" i="4"/>
  <c r="I36" i="4" s="1"/>
  <c r="I37" i="4" s="1"/>
  <c r="I33" i="4"/>
  <c r="I35" i="5"/>
  <c r="I36" i="5" s="1"/>
  <c r="I37" i="5" s="1"/>
  <c r="I33" i="5"/>
  <c r="I33" i="7" l="1"/>
  <c r="I35" i="7"/>
  <c r="I36" i="7" s="1"/>
  <c r="I37" i="7" s="1"/>
</calcChain>
</file>

<file path=xl/sharedStrings.xml><?xml version="1.0" encoding="utf-8"?>
<sst xmlns="http://schemas.openxmlformats.org/spreadsheetml/2006/main" count="273" uniqueCount="95">
  <si>
    <t>Assumptions</t>
  </si>
  <si>
    <t>Base</t>
  </si>
  <si>
    <t>Downside</t>
  </si>
  <si>
    <t>Upside</t>
  </si>
  <si>
    <t>Revenue</t>
  </si>
  <si>
    <r>
      <rPr>
        <b/>
        <sz val="12"/>
        <color indexed="8"/>
        <rFont val="Calibri"/>
        <family val="2"/>
      </rPr>
      <t xml:space="preserve">2024: </t>
    </r>
    <r>
      <rPr>
        <sz val="12"/>
        <color rgb="FF000000"/>
        <rFont val="Calibri"/>
        <family val="2"/>
      </rPr>
      <t xml:space="preserve">Expect a drop in revenue growth compared with post-Covid numbers, due to slower adoption of new electric vehicles and ongoing economic and regulatory pressures. </t>
    </r>
    <r>
      <rPr>
        <b/>
        <sz val="12"/>
        <color rgb="FF000000"/>
        <rFont val="Calibri"/>
        <family val="2"/>
      </rPr>
      <t xml:space="preserve">2025/2026: </t>
    </r>
    <r>
      <rPr>
        <sz val="12"/>
        <color rgb="FF000000"/>
        <rFont val="Calibri"/>
        <family val="2"/>
      </rPr>
      <t>Expect increase in market acceptance of new models/technologies.</t>
    </r>
  </si>
  <si>
    <r>
      <rPr>
        <b/>
        <sz val="12"/>
        <color indexed="8"/>
        <rFont val="Calibri"/>
        <family val="2"/>
      </rPr>
      <t xml:space="preserve">2024: </t>
    </r>
    <r>
      <rPr>
        <sz val="12"/>
        <color indexed="8"/>
        <rFont val="Calibri"/>
        <family val="2"/>
      </rPr>
      <t xml:space="preserve">Expect a robust 10% revenue  growth rate due to successful penetration in new markets and product lines (BEVs and SUVs). </t>
    </r>
    <r>
      <rPr>
        <b/>
        <sz val="12"/>
        <color indexed="8"/>
        <rFont val="Calibri"/>
        <family val="2"/>
      </rPr>
      <t>2025/2026:</t>
    </r>
    <r>
      <rPr>
        <sz val="12"/>
        <color indexed="8"/>
        <rFont val="Calibri"/>
        <family val="2"/>
      </rPr>
      <t xml:space="preserve"> Growth accelerates to 11% due to continued acceptance of new models, expansion into new markets, and increased personalization options.</t>
    </r>
  </si>
  <si>
    <t>EBITDA Margin</t>
  </si>
  <si>
    <r>
      <rPr>
        <b/>
        <sz val="12"/>
        <color rgb="FF000000"/>
        <rFont val="Calibri"/>
        <family val="2"/>
      </rPr>
      <t xml:space="preserve">2024: </t>
    </r>
    <r>
      <rPr>
        <sz val="12"/>
        <color rgb="FF000000"/>
        <rFont val="Calibri"/>
        <family val="2"/>
      </rPr>
      <t xml:space="preserve">31%, reflecting increasing cost in promoting new model lineup. </t>
    </r>
    <r>
      <rPr>
        <b/>
        <sz val="12"/>
        <color rgb="FF000000"/>
        <rFont val="Calibri"/>
        <family val="2"/>
      </rPr>
      <t xml:space="preserve">2025/2026: </t>
    </r>
    <r>
      <rPr>
        <sz val="12"/>
        <color rgb="FF000000"/>
        <rFont val="Calibri"/>
        <family val="2"/>
      </rPr>
      <t>32%, balances benefits from previous investments with rising costs of new strategies.</t>
    </r>
  </si>
  <si>
    <r>
      <rPr>
        <b/>
        <sz val="12"/>
        <color indexed="8"/>
        <rFont val="Calibri"/>
        <family val="2"/>
      </rPr>
      <t>2024:</t>
    </r>
    <r>
      <rPr>
        <sz val="12"/>
        <color indexed="8"/>
        <rFont val="Calibri"/>
        <family val="2"/>
      </rPr>
      <t xml:space="preserve"> 35%, benefiting from initial gains from strategic shifts towards high-margin EVs and personalization options, as well as efficient cost management practices. </t>
    </r>
    <r>
      <rPr>
        <b/>
        <sz val="12"/>
        <color indexed="8"/>
        <rFont val="Calibri"/>
        <family val="2"/>
      </rPr>
      <t xml:space="preserve">2025/2026: </t>
    </r>
    <r>
      <rPr>
        <sz val="12"/>
        <color rgb="FF000000"/>
        <rFont val="Calibri"/>
        <family val="2"/>
      </rPr>
      <t>37%, maintaining</t>
    </r>
    <r>
      <rPr>
        <sz val="12"/>
        <color indexed="8"/>
        <rFont val="Calibri"/>
        <family val="2"/>
      </rPr>
      <t xml:space="preserve"> the benefits from previous investments in new technologies and models with the ongoing operational efficiencies and premium pricing strategies</t>
    </r>
  </si>
  <si>
    <t>Owner Earnings Multiple</t>
  </si>
  <si>
    <t xml:space="preserve">Used our model's growth rate. </t>
  </si>
  <si>
    <t>Base Case (#'s in millions)</t>
  </si>
  <si>
    <t>LTM</t>
  </si>
  <si>
    <t>Estimates</t>
  </si>
  <si>
    <t>Year</t>
  </si>
  <si>
    <t>Revenue (actual &amp; consensus)</t>
  </si>
  <si>
    <t xml:space="preserve">   % Growth</t>
  </si>
  <si>
    <t>Revenue (our model)</t>
  </si>
  <si>
    <t>I do not expect your revenue and EBITDA numbers to be the same as consensus.</t>
  </si>
  <si>
    <t>I just want to be aware of the difference and understand how we differ from the</t>
  </si>
  <si>
    <t xml:space="preserve">   consensus.</t>
  </si>
  <si>
    <t>EBITDA (actual &amp; consensus)</t>
  </si>
  <si>
    <t xml:space="preserve">   % Margin</t>
  </si>
  <si>
    <t>Other assumptions</t>
  </si>
  <si>
    <t>EBITDA (our model)</t>
  </si>
  <si>
    <t>Last full year</t>
  </si>
  <si>
    <t>First year of assumptions</t>
  </si>
  <si>
    <t>Notes</t>
  </si>
  <si>
    <t>Cash + Investments</t>
  </si>
  <si>
    <t>Debt + Minority Investments</t>
  </si>
  <si>
    <t>CapEx</t>
  </si>
  <si>
    <t>Net Cash</t>
  </si>
  <si>
    <t xml:space="preserve">   % Revenue</t>
  </si>
  <si>
    <t>Net Cash Per Share</t>
  </si>
  <si>
    <t>Interest rate</t>
  </si>
  <si>
    <t>Find the interest expense on the income statement ( and divide it to total debt on the balance sheet</t>
  </si>
  <si>
    <t>Interest expenses: 125,088 (€ thousand)</t>
  </si>
  <si>
    <t>Total Debt: 2,477,186</t>
  </si>
  <si>
    <t>Owners Earnings</t>
  </si>
  <si>
    <t>Tax rate</t>
  </si>
  <si>
    <t>Use 25% unless instructed otherwise</t>
  </si>
  <si>
    <t>Trading Price</t>
  </si>
  <si>
    <t>Number of Shares</t>
  </si>
  <si>
    <t>Keep share count unchanged from LTM unless we discuss</t>
  </si>
  <si>
    <t>OE per share</t>
  </si>
  <si>
    <t>Multiple assumptions</t>
  </si>
  <si>
    <t>5-year EBITDA growth</t>
  </si>
  <si>
    <t>historical</t>
  </si>
  <si>
    <t>Owners Earnings Multiple</t>
  </si>
  <si>
    <t>3-year EBITDA growth</t>
  </si>
  <si>
    <t>2-year EBITDA growth</t>
  </si>
  <si>
    <t>analyst estimates</t>
  </si>
  <si>
    <t>Net Cash per share</t>
  </si>
  <si>
    <t>our model</t>
  </si>
  <si>
    <t>We will use</t>
  </si>
  <si>
    <t>Looking at the three figures above think about what % is appropriate. I tend to stick to our assumptions.</t>
  </si>
  <si>
    <t>Value per share</t>
  </si>
  <si>
    <t>Multiple no growth</t>
  </si>
  <si>
    <t>Do not change this</t>
  </si>
  <si>
    <t>g</t>
  </si>
  <si>
    <t>1 or 2</t>
  </si>
  <si>
    <t xml:space="preserve">You can use 1x or 2x. Most of the time, we will use 1x </t>
  </si>
  <si>
    <t>Avg corporate bond</t>
  </si>
  <si>
    <t>in 1962</t>
  </si>
  <si>
    <t>Current yield on 20 year AAA corporate bonds</t>
  </si>
  <si>
    <r>
      <rPr>
        <u/>
        <sz val="12"/>
        <color indexed="19"/>
        <rFont val="Calibri"/>
        <family val="2"/>
      </rPr>
      <t>https://fred.stlouisfed.org/series/BAMLC0A2CAAEY</t>
    </r>
  </si>
  <si>
    <t>Implied Market Cap</t>
  </si>
  <si>
    <t>Multiple for company</t>
  </si>
  <si>
    <t>Implied Enterprise Value</t>
  </si>
  <si>
    <t>Implied EBITDA Multiple</t>
  </si>
  <si>
    <t>Do not forget to update this</t>
  </si>
  <si>
    <t>A NOTE ABOUT EBITDA</t>
  </si>
  <si>
    <t xml:space="preserve">The historical numbers provided in red are ALWAYS unadjusted. </t>
  </si>
  <si>
    <t>You do not have to do anything in here - all automatic</t>
  </si>
  <si>
    <r>
      <rPr>
        <sz val="12"/>
        <color indexed="8"/>
        <rFont val="Calibri"/>
        <family val="2"/>
      </rPr>
      <t xml:space="preserve">Then you compare </t>
    </r>
    <r>
      <rPr>
        <b/>
        <sz val="12"/>
        <color indexed="8"/>
        <rFont val="Calibri"/>
        <family val="2"/>
      </rPr>
      <t>cell G20 to F20</t>
    </r>
  </si>
  <si>
    <t xml:space="preserve">   If there is not a significant change, it means that we do not have to worry about sell side using "adjusted" numbers that exclude stock-based compensation (SBC)</t>
  </si>
  <si>
    <r>
      <rPr>
        <sz val="12"/>
        <color indexed="8"/>
        <rFont val="Calibri"/>
        <family val="2"/>
      </rPr>
      <t xml:space="preserve">   If there is a significant jump, then you probably have to assume that the numbers listed in </t>
    </r>
    <r>
      <rPr>
        <b/>
        <sz val="12"/>
        <color indexed="8"/>
        <rFont val="Calibri"/>
        <family val="2"/>
      </rPr>
      <t xml:space="preserve">cells G19:I19 </t>
    </r>
    <r>
      <rPr>
        <sz val="12"/>
        <color indexed="8"/>
        <rFont val="Calibri"/>
        <family val="2"/>
      </rPr>
      <t xml:space="preserve">are overstated </t>
    </r>
  </si>
  <si>
    <t xml:space="preserve">      There can be many adjustments made by a company makes. The eggregious one is not considering SBC as a real expense</t>
  </si>
  <si>
    <t xml:space="preserve">      Consensus estimates tend to incorporate those adjustments and that is wrong</t>
  </si>
  <si>
    <t>Here is historical SBC as % of revenues for this company</t>
  </si>
  <si>
    <t>SBC</t>
  </si>
  <si>
    <t>If there are large adjustments, to make an apples to apples comparison of historic numbers and estimates without exclusing SBC can be done this way</t>
  </si>
  <si>
    <t xml:space="preserve">EBITDA with SBC </t>
  </si>
  <si>
    <r>
      <rPr>
        <sz val="12"/>
        <color indexed="8"/>
        <rFont val="Calibri"/>
        <family val="2"/>
      </rPr>
      <t xml:space="preserve">This is only to compare what the estimates would have been without SBC adjustments. You still need to decide what the margins should be in </t>
    </r>
    <r>
      <rPr>
        <b/>
        <sz val="12"/>
        <color indexed="8"/>
        <rFont val="Calibri"/>
        <family val="2"/>
      </rPr>
      <t>cells G22:I22</t>
    </r>
  </si>
  <si>
    <t>Bear Case (#'s in millions)</t>
  </si>
  <si>
    <t>Bull Case (#'s in millions)</t>
  </si>
  <si>
    <t>D&amp;A</t>
  </si>
  <si>
    <t>What if it grows OE for 3 more years at model's last year</t>
  </si>
  <si>
    <t>And then another 4 years at half that rate</t>
  </si>
  <si>
    <t>Terminal growth at half of last 5 years</t>
  </si>
  <si>
    <t>Cost of capital</t>
  </si>
  <si>
    <t>OE</t>
  </si>
  <si>
    <r>
      <rPr>
        <b/>
        <sz val="12"/>
        <color indexed="8"/>
        <rFont val="Calibri"/>
        <family val="2"/>
      </rPr>
      <t xml:space="preserve">2024: </t>
    </r>
    <r>
      <rPr>
        <sz val="12"/>
        <color rgb="FF000000"/>
        <rFont val="Calibri"/>
        <family val="2"/>
      </rPr>
      <t xml:space="preserve">33%, reflecting initial gains from recent strategic shifts, including model lineup expansion and a push towards EV. </t>
    </r>
    <r>
      <rPr>
        <b/>
        <sz val="12"/>
        <color rgb="FF000000"/>
        <rFont val="Calibri"/>
        <family val="2"/>
      </rPr>
      <t xml:space="preserve">2025/2026: </t>
    </r>
    <r>
      <rPr>
        <sz val="12"/>
        <color rgb="FF000000"/>
        <rFont val="Calibri"/>
        <family val="2"/>
      </rPr>
      <t>Balances benefits from previous investments with rising costs of new strategies.</t>
    </r>
  </si>
  <si>
    <r>
      <rPr>
        <b/>
        <sz val="12"/>
        <color rgb="FF000000"/>
        <rFont val="Calibri"/>
        <family val="2"/>
      </rPr>
      <t>2024:</t>
    </r>
    <r>
      <rPr>
        <sz val="12"/>
        <color indexed="8"/>
        <rFont val="Calibri"/>
        <family val="2"/>
      </rPr>
      <t xml:space="preserve"> Expect a larger drop in revenue growth due to the depreciation in electric vehicles discouraging sales and ongoing economic and regulatory pressures. </t>
    </r>
    <r>
      <rPr>
        <b/>
        <sz val="12"/>
        <color rgb="FF000000"/>
        <rFont val="Calibri"/>
        <family val="2"/>
      </rPr>
      <t>2025/2026:</t>
    </r>
    <r>
      <rPr>
        <sz val="12"/>
        <color indexed="8"/>
        <rFont val="Calibri"/>
        <family val="2"/>
      </rPr>
      <t xml:space="preserve"> Same growth rate as 2024 due to lack of market acceptance of new models/technologies.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</si>
</sst>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/dd/yy"/>
    <numFmt numFmtId="177" formatCode="0.0%"/>
    <numFmt numFmtId="178" formatCode="&quot; &quot;* #,##0&quot; &quot;;&quot; &quot;* \(#,##0\);&quot; &quot;* &quot;- &quot;"/>
    <numFmt numFmtId="179" formatCode="#,##0.00&quot; &quot;;\(#,##0.00\)"/>
    <numFmt numFmtId="180" formatCode="0.0&quot;x&quot;"/>
    <numFmt numFmtId="181" formatCode="&quot; &quot;* #,##0&quot; &quot;;&quot; &quot;* \(#,##0\);&quot; &quot;* &quot;-&quot;??&quot; &quot;"/>
    <numFmt numFmtId="182" formatCode="&quot; &quot;* #,##0.00&quot; &quot;;&quot; &quot;* \(#,##0.00\);&quot; &quot;* &quot;-&quot;??&quot; &quot;"/>
  </numFmts>
  <fonts count="18" x14ac:knownFonts="1">
    <font>
      <sz val="12"/>
      <color indexed="8"/>
      <name val="Calibri"/>
      <charset val="134"/>
    </font>
    <font>
      <sz val="12"/>
      <color indexed="13"/>
      <name val="Calibri"/>
      <family val="2"/>
    </font>
    <font>
      <sz val="10"/>
      <color indexed="8"/>
      <name val="Arial"/>
      <family val="2"/>
    </font>
    <font>
      <sz val="12"/>
      <color indexed="15"/>
      <name val="Calibri"/>
      <family val="2"/>
    </font>
    <font>
      <sz val="12"/>
      <color indexed="16"/>
      <name val="Calibri"/>
      <family val="2"/>
    </font>
    <font>
      <b/>
      <sz val="12"/>
      <color indexed="8"/>
      <name val="Calibri"/>
      <family val="2"/>
    </font>
    <font>
      <sz val="12"/>
      <color indexed="14"/>
      <name val="Calibri"/>
      <family val="2"/>
    </font>
    <font>
      <b/>
      <u/>
      <sz val="12"/>
      <color indexed="14"/>
      <name val="Calibri"/>
      <family val="2"/>
    </font>
    <font>
      <u/>
      <sz val="12"/>
      <color indexed="19"/>
      <name val="Calibri"/>
      <family val="2"/>
    </font>
    <font>
      <b/>
      <i/>
      <u/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16"/>
      <name val="Arial"/>
      <family val="2"/>
    </font>
    <font>
      <b/>
      <sz val="12"/>
      <color indexed="16"/>
      <name val="Calibri"/>
      <family val="2"/>
    </font>
    <font>
      <sz val="12"/>
      <color rgb="FF000000"/>
      <name val="Calibri"/>
      <family val="2"/>
    </font>
    <font>
      <u/>
      <sz val="12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79995117038483843"/>
        <bgColor indexed="64"/>
      </patternFill>
    </fill>
  </fills>
  <borders count="40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12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23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49" fontId="1" fillId="3" borderId="5" xfId="0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49" fontId="0" fillId="2" borderId="8" xfId="0" applyNumberFormat="1" applyFill="1" applyBorder="1"/>
    <xf numFmtId="176" fontId="2" fillId="2" borderId="9" xfId="0" applyNumberFormat="1" applyFont="1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49" fontId="0" fillId="2" borderId="12" xfId="0" applyNumberFormat="1" applyFill="1" applyBorder="1"/>
    <xf numFmtId="3" fontId="3" fillId="2" borderId="0" xfId="0" applyNumberFormat="1" applyFont="1" applyFill="1" applyBorder="1"/>
    <xf numFmtId="177" fontId="3" fillId="2" borderId="0" xfId="0" applyNumberFormat="1" applyFont="1" applyFill="1" applyBorder="1"/>
    <xf numFmtId="177" fontId="0" fillId="2" borderId="0" xfId="0" applyNumberFormat="1" applyFill="1" applyBorder="1"/>
    <xf numFmtId="3" fontId="0" fillId="2" borderId="0" xfId="0" applyNumberFormat="1" applyFill="1" applyBorder="1"/>
    <xf numFmtId="0" fontId="0" fillId="2" borderId="12" xfId="0" applyFill="1" applyBorder="1"/>
    <xf numFmtId="178" fontId="0" fillId="2" borderId="0" xfId="0" applyNumberFormat="1" applyFill="1" applyBorder="1"/>
    <xf numFmtId="3" fontId="4" fillId="2" borderId="0" xfId="0" applyNumberFormat="1" applyFont="1" applyFill="1" applyBorder="1"/>
    <xf numFmtId="178" fontId="3" fillId="2" borderId="0" xfId="0" applyNumberFormat="1" applyFont="1" applyFill="1" applyBorder="1"/>
    <xf numFmtId="179" fontId="0" fillId="2" borderId="0" xfId="0" applyNumberFormat="1" applyFill="1" applyBorder="1"/>
    <xf numFmtId="180" fontId="0" fillId="2" borderId="0" xfId="0" applyNumberFormat="1" applyFill="1" applyBorder="1"/>
    <xf numFmtId="179" fontId="3" fillId="2" borderId="0" xfId="0" applyNumberFormat="1" applyFont="1" applyFill="1" applyBorder="1"/>
    <xf numFmtId="49" fontId="0" fillId="4" borderId="12" xfId="0" applyNumberFormat="1" applyFill="1" applyBorder="1"/>
    <xf numFmtId="9" fontId="0" fillId="4" borderId="0" xfId="0" applyNumberFormat="1" applyFill="1" applyBorder="1"/>
    <xf numFmtId="49" fontId="0" fillId="2" borderId="5" xfId="0" applyNumberFormat="1" applyFill="1" applyBorder="1"/>
    <xf numFmtId="0" fontId="0" fillId="2" borderId="6" xfId="0" applyFill="1" applyBorder="1"/>
    <xf numFmtId="49" fontId="0" fillId="2" borderId="0" xfId="0" applyNumberFormat="1" applyFill="1" applyBorder="1"/>
    <xf numFmtId="49" fontId="5" fillId="2" borderId="0" xfId="0" applyNumberFormat="1" applyFont="1" applyFill="1" applyBorder="1"/>
    <xf numFmtId="0" fontId="0" fillId="2" borderId="0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1" fillId="3" borderId="15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49" fontId="0" fillId="2" borderId="16" xfId="0" applyNumberFormat="1" applyFill="1" applyBorder="1" applyAlignment="1">
      <alignment horizontal="right"/>
    </xf>
    <xf numFmtId="0" fontId="0" fillId="2" borderId="5" xfId="0" applyFill="1" applyBorder="1"/>
    <xf numFmtId="176" fontId="2" fillId="2" borderId="16" xfId="0" applyNumberFormat="1" applyFont="1" applyFill="1" applyBorder="1" applyAlignment="1">
      <alignment horizontal="right"/>
    </xf>
    <xf numFmtId="0" fontId="0" fillId="2" borderId="8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17" xfId="0" applyFill="1" applyBorder="1"/>
    <xf numFmtId="3" fontId="3" fillId="2" borderId="18" xfId="0" applyNumberFormat="1" applyFont="1" applyFill="1" applyBorder="1"/>
    <xf numFmtId="3" fontId="3" fillId="2" borderId="12" xfId="0" applyNumberFormat="1" applyFont="1" applyFill="1" applyBorder="1"/>
    <xf numFmtId="177" fontId="3" fillId="2" borderId="18" xfId="0" applyNumberFormat="1" applyFont="1" applyFill="1" applyBorder="1"/>
    <xf numFmtId="177" fontId="0" fillId="2" borderId="12" xfId="0" applyNumberFormat="1" applyFill="1" applyBorder="1"/>
    <xf numFmtId="3" fontId="0" fillId="2" borderId="18" xfId="0" applyNumberFormat="1" applyFill="1" applyBorder="1"/>
    <xf numFmtId="3" fontId="0" fillId="2" borderId="12" xfId="0" applyNumberFormat="1" applyFill="1" applyBorder="1"/>
    <xf numFmtId="177" fontId="0" fillId="2" borderId="18" xfId="0" applyNumberFormat="1" applyFill="1" applyBorder="1"/>
    <xf numFmtId="177" fontId="3" fillId="2" borderId="12" xfId="0" applyNumberFormat="1" applyFont="1" applyFill="1" applyBorder="1"/>
    <xf numFmtId="178" fontId="0" fillId="2" borderId="18" xfId="0" applyNumberFormat="1" applyFill="1" applyBorder="1"/>
    <xf numFmtId="178" fontId="0" fillId="2" borderId="12" xfId="0" applyNumberFormat="1" applyFill="1" applyBorder="1"/>
    <xf numFmtId="177" fontId="4" fillId="2" borderId="12" xfId="0" applyNumberFormat="1" applyFont="1" applyFill="1" applyBorder="1"/>
    <xf numFmtId="177" fontId="4" fillId="2" borderId="0" xfId="0" applyNumberFormat="1" applyFont="1" applyFill="1" applyBorder="1"/>
    <xf numFmtId="3" fontId="4" fillId="2" borderId="18" xfId="0" applyNumberFormat="1" applyFont="1" applyFill="1" applyBorder="1"/>
    <xf numFmtId="177" fontId="6" fillId="2" borderId="12" xfId="0" applyNumberFormat="1" applyFont="1" applyFill="1" applyBorder="1"/>
    <xf numFmtId="177" fontId="6" fillId="2" borderId="0" xfId="0" applyNumberFormat="1" applyFont="1" applyFill="1" applyBorder="1"/>
    <xf numFmtId="178" fontId="3" fillId="2" borderId="18" xfId="0" applyNumberFormat="1" applyFont="1" applyFill="1" applyBorder="1"/>
    <xf numFmtId="179" fontId="0" fillId="2" borderId="18" xfId="0" applyNumberFormat="1" applyFill="1" applyBorder="1"/>
    <xf numFmtId="179" fontId="0" fillId="2" borderId="12" xfId="0" applyNumberFormat="1" applyFill="1" applyBorder="1"/>
    <xf numFmtId="0" fontId="0" fillId="2" borderId="18" xfId="0" applyFill="1" applyBorder="1"/>
    <xf numFmtId="180" fontId="0" fillId="2" borderId="18" xfId="0" applyNumberFormat="1" applyFill="1" applyBorder="1"/>
    <xf numFmtId="180" fontId="0" fillId="2" borderId="12" xfId="0" applyNumberFormat="1" applyFill="1" applyBorder="1"/>
    <xf numFmtId="180" fontId="6" fillId="2" borderId="12" xfId="0" applyNumberFormat="1" applyFont="1" applyFill="1" applyBorder="1"/>
    <xf numFmtId="180" fontId="6" fillId="2" borderId="0" xfId="0" applyNumberFormat="1" applyFont="1" applyFill="1" applyBorder="1"/>
    <xf numFmtId="179" fontId="3" fillId="2" borderId="18" xfId="0" applyNumberFormat="1" applyFont="1" applyFill="1" applyBorder="1"/>
    <xf numFmtId="9" fontId="0" fillId="4" borderId="18" xfId="0" applyNumberFormat="1" applyFill="1" applyBorder="1"/>
    <xf numFmtId="9" fontId="0" fillId="4" borderId="12" xfId="0" applyNumberFormat="1" applyFill="1" applyBorder="1"/>
    <xf numFmtId="0" fontId="0" fillId="2" borderId="7" xfId="0" applyFill="1" applyBorder="1"/>
    <xf numFmtId="180" fontId="0" fillId="2" borderId="5" xfId="0" applyNumberFormat="1" applyFill="1" applyBorder="1"/>
    <xf numFmtId="180" fontId="0" fillId="2" borderId="6" xfId="0" applyNumberFormat="1" applyFill="1" applyBorder="1"/>
    <xf numFmtId="0" fontId="1" fillId="3" borderId="18" xfId="0" applyFont="1" applyFill="1" applyBorder="1"/>
    <xf numFmtId="0" fontId="0" fillId="2" borderId="16" xfId="0" applyNumberFormat="1" applyFill="1" applyBorder="1" applyAlignment="1">
      <alignment horizontal="center"/>
    </xf>
    <xf numFmtId="177" fontId="4" fillId="2" borderId="18" xfId="0" applyNumberFormat="1" applyFont="1" applyFill="1" applyBorder="1"/>
    <xf numFmtId="177" fontId="6" fillId="2" borderId="18" xfId="0" applyNumberFormat="1" applyFont="1" applyFill="1" applyBorder="1"/>
    <xf numFmtId="0" fontId="6" fillId="2" borderId="0" xfId="0" applyFont="1" applyFill="1" applyBorder="1"/>
    <xf numFmtId="0" fontId="0" fillId="2" borderId="19" xfId="0" applyFill="1" applyBorder="1"/>
    <xf numFmtId="0" fontId="0" fillId="2" borderId="20" xfId="0" applyFill="1" applyBorder="1"/>
    <xf numFmtId="49" fontId="1" fillId="5" borderId="21" xfId="0" applyNumberFormat="1" applyFont="1" applyFill="1" applyBorder="1"/>
    <xf numFmtId="0" fontId="0" fillId="5" borderId="22" xfId="0" applyFill="1" applyBorder="1"/>
    <xf numFmtId="0" fontId="0" fillId="2" borderId="23" xfId="0" applyFill="1" applyBorder="1"/>
    <xf numFmtId="49" fontId="0" fillId="2" borderId="6" xfId="0" applyNumberFormat="1" applyFill="1" applyBorder="1"/>
    <xf numFmtId="49" fontId="0" fillId="2" borderId="24" xfId="0" applyNumberFormat="1" applyFill="1" applyBorder="1" applyAlignment="1">
      <alignment horizontal="center"/>
    </xf>
    <xf numFmtId="0" fontId="0" fillId="2" borderId="11" xfId="0" applyNumberFormat="1" applyFill="1" applyBorder="1"/>
    <xf numFmtId="180" fontId="6" fillId="2" borderId="18" xfId="0" applyNumberFormat="1" applyFont="1" applyFill="1" applyBorder="1"/>
    <xf numFmtId="49" fontId="0" fillId="2" borderId="25" xfId="0" applyNumberFormat="1" applyFill="1" applyBorder="1"/>
    <xf numFmtId="9" fontId="3" fillId="2" borderId="0" xfId="0" applyNumberFormat="1" applyFont="1" applyFill="1" applyBorder="1"/>
    <xf numFmtId="49" fontId="0" fillId="2" borderId="26" xfId="0" applyNumberFormat="1" applyFill="1" applyBorder="1"/>
    <xf numFmtId="179" fontId="3" fillId="2" borderId="19" xfId="0" applyNumberFormat="1" applyFont="1" applyFill="1" applyBorder="1"/>
    <xf numFmtId="0" fontId="0" fillId="2" borderId="22" xfId="0" applyFill="1" applyBorder="1"/>
    <xf numFmtId="180" fontId="0" fillId="2" borderId="7" xfId="0" applyNumberFormat="1" applyFill="1" applyBorder="1"/>
    <xf numFmtId="0" fontId="0" fillId="2" borderId="27" xfId="0" applyFill="1" applyBorder="1"/>
    <xf numFmtId="0" fontId="0" fillId="2" borderId="28" xfId="0" applyFill="1" applyBorder="1"/>
    <xf numFmtId="0" fontId="6" fillId="2" borderId="19" xfId="0" applyFont="1" applyFill="1" applyBorder="1"/>
    <xf numFmtId="49" fontId="0" fillId="2" borderId="6" xfId="0" applyNumberFormat="1" applyFill="1" applyBorder="1" applyAlignment="1">
      <alignment horizontal="left"/>
    </xf>
    <xf numFmtId="49" fontId="0" fillId="2" borderId="11" xfId="0" applyNumberFormat="1" applyFill="1" applyBorder="1"/>
    <xf numFmtId="0" fontId="7" fillId="2" borderId="0" xfId="0" applyFont="1" applyFill="1" applyBorder="1"/>
    <xf numFmtId="9" fontId="0" fillId="2" borderId="0" xfId="0" applyNumberFormat="1" applyFill="1" applyBorder="1"/>
    <xf numFmtId="49" fontId="6" fillId="2" borderId="0" xfId="0" applyNumberFormat="1" applyFont="1" applyFill="1" applyBorder="1"/>
    <xf numFmtId="180" fontId="3" fillId="2" borderId="0" xfId="0" applyNumberFormat="1" applyFont="1" applyFill="1" applyBorder="1"/>
    <xf numFmtId="10" fontId="3" fillId="2" borderId="0" xfId="0" applyNumberFormat="1" applyFont="1" applyFill="1" applyBorder="1"/>
    <xf numFmtId="0" fontId="8" fillId="2" borderId="0" xfId="0" applyFont="1" applyFill="1" applyBorder="1"/>
    <xf numFmtId="49" fontId="8" fillId="2" borderId="0" xfId="0" applyNumberFormat="1" applyFont="1" applyFill="1" applyBorder="1"/>
    <xf numFmtId="180" fontId="0" fillId="2" borderId="19" xfId="0" applyNumberFormat="1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49" fontId="9" fillId="2" borderId="0" xfId="0" applyNumberFormat="1" applyFont="1" applyFill="1" applyBorder="1"/>
    <xf numFmtId="0" fontId="10" fillId="2" borderId="0" xfId="0" applyFont="1" applyFill="1" applyBorder="1"/>
    <xf numFmtId="177" fontId="0" fillId="0" borderId="12" xfId="0" applyNumberFormat="1" applyFill="1" applyBorder="1"/>
    <xf numFmtId="177" fontId="0" fillId="0" borderId="0" xfId="0" applyNumberFormat="1" applyFill="1" applyBorder="1"/>
    <xf numFmtId="177" fontId="0" fillId="0" borderId="18" xfId="0" applyNumberFormat="1" applyFill="1" applyBorder="1"/>
    <xf numFmtId="0" fontId="5" fillId="2" borderId="0" xfId="0" applyFont="1" applyFill="1" applyBorder="1"/>
    <xf numFmtId="0" fontId="9" fillId="2" borderId="0" xfId="0" applyFont="1" applyFill="1" applyBorder="1"/>
    <xf numFmtId="176" fontId="11" fillId="2" borderId="9" xfId="0" applyNumberFormat="1" applyFont="1" applyFill="1" applyBorder="1" applyAlignment="1">
      <alignment horizontal="right"/>
    </xf>
    <xf numFmtId="181" fontId="4" fillId="2" borderId="0" xfId="0" applyNumberFormat="1" applyFont="1" applyFill="1" applyBorder="1"/>
    <xf numFmtId="178" fontId="4" fillId="2" borderId="0" xfId="0" applyNumberFormat="1" applyFont="1" applyFill="1" applyBorder="1"/>
    <xf numFmtId="182" fontId="4" fillId="2" borderId="0" xfId="0" applyNumberFormat="1" applyFont="1" applyFill="1" applyBorder="1"/>
    <xf numFmtId="49" fontId="5" fillId="2" borderId="3" xfId="0" applyNumberFormat="1" applyFont="1" applyFill="1" applyBorder="1"/>
    <xf numFmtId="0" fontId="5" fillId="2" borderId="3" xfId="0" applyNumberFormat="1" applyFont="1" applyFill="1" applyBorder="1"/>
    <xf numFmtId="176" fontId="2" fillId="2" borderId="11" xfId="0" applyNumberFormat="1" applyFont="1" applyFill="1" applyBorder="1" applyAlignment="1">
      <alignment horizontal="right"/>
    </xf>
    <xf numFmtId="177" fontId="0" fillId="2" borderId="6" xfId="0" applyNumberFormat="1" applyFill="1" applyBorder="1"/>
    <xf numFmtId="49" fontId="0" fillId="2" borderId="9" xfId="0" applyNumberFormat="1" applyFill="1" applyBorder="1"/>
    <xf numFmtId="0" fontId="0" fillId="2" borderId="35" xfId="0" applyFill="1" applyBorder="1"/>
    <xf numFmtId="0" fontId="0" fillId="2" borderId="10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49" fontId="0" fillId="2" borderId="36" xfId="0" applyNumberFormat="1" applyFill="1" applyBorder="1"/>
    <xf numFmtId="181" fontId="0" fillId="2" borderId="12" xfId="0" applyNumberFormat="1" applyFill="1" applyBorder="1"/>
    <xf numFmtId="181" fontId="0" fillId="2" borderId="0" xfId="0" applyNumberFormat="1" applyFill="1" applyBorder="1"/>
    <xf numFmtId="176" fontId="11" fillId="2" borderId="16" xfId="0" applyNumberFormat="1" applyFont="1" applyFill="1" applyBorder="1" applyAlignment="1">
      <alignment horizontal="right"/>
    </xf>
    <xf numFmtId="181" fontId="4" fillId="2" borderId="18" xfId="0" applyNumberFormat="1" applyFont="1" applyFill="1" applyBorder="1"/>
    <xf numFmtId="181" fontId="4" fillId="2" borderId="12" xfId="0" applyNumberFormat="1" applyFont="1" applyFill="1" applyBorder="1"/>
    <xf numFmtId="177" fontId="6" fillId="0" borderId="12" xfId="0" applyNumberFormat="1" applyFont="1" applyFill="1" applyBorder="1"/>
    <xf numFmtId="177" fontId="6" fillId="0" borderId="0" xfId="0" applyNumberFormat="1" applyFont="1" applyFill="1" applyBorder="1"/>
    <xf numFmtId="178" fontId="0" fillId="0" borderId="12" xfId="0" applyNumberFormat="1" applyFill="1" applyBorder="1"/>
    <xf numFmtId="178" fontId="0" fillId="0" borderId="0" xfId="0" applyNumberFormat="1" applyFill="1" applyBorder="1"/>
    <xf numFmtId="3" fontId="4" fillId="0" borderId="12" xfId="0" applyNumberFormat="1" applyFont="1" applyFill="1" applyBorder="1"/>
    <xf numFmtId="3" fontId="4" fillId="0" borderId="0" xfId="0" applyNumberFormat="1" applyFont="1" applyFill="1" applyBorder="1"/>
    <xf numFmtId="3" fontId="0" fillId="0" borderId="12" xfId="0" applyNumberFormat="1" applyFill="1" applyBorder="1"/>
    <xf numFmtId="3" fontId="0" fillId="0" borderId="0" xfId="0" applyNumberFormat="1" applyFill="1" applyBorder="1"/>
    <xf numFmtId="177" fontId="4" fillId="0" borderId="12" xfId="0" applyNumberFormat="1" applyFont="1" applyFill="1" applyBorder="1"/>
    <xf numFmtId="177" fontId="4" fillId="0" borderId="0" xfId="0" applyNumberFormat="1" applyFont="1" applyFill="1" applyBorder="1"/>
    <xf numFmtId="178" fontId="4" fillId="2" borderId="18" xfId="0" applyNumberFormat="1" applyFont="1" applyFill="1" applyBorder="1"/>
    <xf numFmtId="182" fontId="4" fillId="2" borderId="18" xfId="0" applyNumberFormat="1" applyFont="1" applyFill="1" applyBorder="1"/>
    <xf numFmtId="176" fontId="2" fillId="2" borderId="17" xfId="0" applyNumberFormat="1" applyFont="1" applyFill="1" applyBorder="1" applyAlignment="1">
      <alignment horizontal="right"/>
    </xf>
    <xf numFmtId="177" fontId="0" fillId="2" borderId="7" xfId="0" applyNumberFormat="1" applyFill="1" applyBorder="1"/>
    <xf numFmtId="0" fontId="0" fillId="2" borderId="17" xfId="0" applyNumberFormat="1" applyFill="1" applyBorder="1" applyAlignment="1">
      <alignment horizontal="center"/>
    </xf>
    <xf numFmtId="181" fontId="0" fillId="2" borderId="18" xfId="0" applyNumberFormat="1" applyFill="1" applyBorder="1"/>
    <xf numFmtId="0" fontId="3" fillId="2" borderId="12" xfId="0" applyFont="1" applyFill="1" applyBorder="1"/>
    <xf numFmtId="177" fontId="6" fillId="0" borderId="18" xfId="0" applyNumberFormat="1" applyFont="1" applyFill="1" applyBorder="1"/>
    <xf numFmtId="178" fontId="0" fillId="0" borderId="18" xfId="0" applyNumberFormat="1" applyFill="1" applyBorder="1"/>
    <xf numFmtId="3" fontId="4" fillId="0" borderId="18" xfId="0" applyNumberFormat="1" applyFont="1" applyFill="1" applyBorder="1"/>
    <xf numFmtId="0" fontId="12" fillId="2" borderId="19" xfId="0" applyFont="1" applyFill="1" applyBorder="1"/>
    <xf numFmtId="3" fontId="0" fillId="0" borderId="18" xfId="0" applyNumberFormat="1" applyFill="1" applyBorder="1"/>
    <xf numFmtId="0" fontId="0" fillId="4" borderId="11" xfId="0" applyNumberFormat="1" applyFill="1" applyBorder="1"/>
    <xf numFmtId="177" fontId="4" fillId="0" borderId="18" xfId="0" applyNumberFormat="1" applyFont="1" applyFill="1" applyBorder="1"/>
    <xf numFmtId="9" fontId="6" fillId="2" borderId="0" xfId="0" applyNumberFormat="1" applyFont="1" applyFill="1" applyBorder="1"/>
    <xf numFmtId="9" fontId="6" fillId="0" borderId="0" xfId="0" applyNumberFormat="1" applyFont="1" applyFill="1" applyBorder="1"/>
    <xf numFmtId="179" fontId="6" fillId="2" borderId="19" xfId="0" applyNumberFormat="1" applyFont="1" applyFill="1" applyBorder="1"/>
    <xf numFmtId="49" fontId="6" fillId="2" borderId="22" xfId="0" applyNumberFormat="1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180" fontId="6" fillId="0" borderId="0" xfId="0" applyNumberFormat="1" applyFont="1" applyFill="1" applyBorder="1"/>
    <xf numFmtId="10" fontId="6" fillId="2" borderId="0" xfId="0" applyNumberFormat="1" applyFont="1" applyFill="1" applyBorder="1"/>
    <xf numFmtId="49" fontId="10" fillId="2" borderId="0" xfId="0" applyNumberFormat="1" applyFont="1" applyFill="1" applyBorder="1"/>
    <xf numFmtId="49" fontId="0" fillId="2" borderId="15" xfId="0" applyNumberFormat="1" applyFill="1" applyBorder="1"/>
    <xf numFmtId="177" fontId="0" fillId="2" borderId="5" xfId="0" applyNumberFormat="1" applyFill="1" applyBorder="1"/>
    <xf numFmtId="0" fontId="6" fillId="2" borderId="14" xfId="0" applyFont="1" applyFill="1" applyBorder="1"/>
    <xf numFmtId="180" fontId="0" fillId="2" borderId="14" xfId="0" applyNumberFormat="1" applyFill="1" applyBorder="1"/>
    <xf numFmtId="0" fontId="0" fillId="2" borderId="37" xfId="0" applyFill="1" applyBorder="1"/>
    <xf numFmtId="0" fontId="0" fillId="0" borderId="1" xfId="0" applyBorder="1"/>
    <xf numFmtId="0" fontId="0" fillId="0" borderId="38" xfId="0" applyBorder="1"/>
    <xf numFmtId="0" fontId="0" fillId="0" borderId="4" xfId="0" applyBorder="1"/>
    <xf numFmtId="49" fontId="5" fillId="0" borderId="39" xfId="0" applyNumberFormat="1" applyFont="1" applyBorder="1"/>
    <xf numFmtId="49" fontId="0" fillId="0" borderId="39" xfId="0" applyNumberFormat="1" applyBorder="1"/>
    <xf numFmtId="49" fontId="10" fillId="2" borderId="39" xfId="0" applyNumberFormat="1" applyFont="1" applyFill="1" applyBorder="1" applyAlignment="1">
      <alignment vertical="top"/>
    </xf>
    <xf numFmtId="49" fontId="10" fillId="2" borderId="39" xfId="0" applyNumberFormat="1" applyFont="1" applyFill="1" applyBorder="1" applyAlignment="1">
      <alignment horizontal="left" vertical="top" wrapText="1"/>
    </xf>
    <xf numFmtId="49" fontId="0" fillId="2" borderId="39" xfId="0" applyNumberFormat="1" applyFill="1" applyBorder="1" applyAlignment="1">
      <alignment vertical="top"/>
    </xf>
    <xf numFmtId="49" fontId="0" fillId="2" borderId="39" xfId="0" applyNumberFormat="1" applyFill="1" applyBorder="1" applyAlignment="1">
      <alignment horizontal="left" vertical="top" wrapText="1"/>
    </xf>
    <xf numFmtId="0" fontId="0" fillId="0" borderId="3" xfId="0" applyBorder="1"/>
    <xf numFmtId="0" fontId="0" fillId="2" borderId="11" xfId="0" applyFill="1" applyBorder="1" applyAlignment="1">
      <alignment vertical="top"/>
    </xf>
    <xf numFmtId="0" fontId="0" fillId="0" borderId="11" xfId="0" applyBorder="1"/>
    <xf numFmtId="0" fontId="14" fillId="2" borderId="0" xfId="0" applyFont="1" applyFill="1" applyBorder="1" applyAlignment="1">
      <alignment vertical="top"/>
    </xf>
    <xf numFmtId="0" fontId="0" fillId="0" borderId="0" xfId="0" applyBorder="1"/>
    <xf numFmtId="0" fontId="0" fillId="2" borderId="0" xfId="0" applyFill="1" applyBorder="1" applyAlignment="1">
      <alignment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15" fillId="2" borderId="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15" fillId="0" borderId="0" xfId="0" applyFont="1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0" fontId="0" fillId="0" borderId="2" xfId="0" applyBorder="1"/>
    <xf numFmtId="49" fontId="0" fillId="6" borderId="39" xfId="0" applyNumberFormat="1" applyFill="1" applyBorder="1"/>
    <xf numFmtId="0" fontId="0" fillId="0" borderId="12" xfId="0" applyBorder="1"/>
    <xf numFmtId="0" fontId="10" fillId="2" borderId="12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180" fontId="0" fillId="2" borderId="0" xfId="0" applyNumberFormat="1" applyFill="1" applyBorder="1" applyAlignment="1">
      <alignment vertical="top" wrapText="1"/>
    </xf>
    <xf numFmtId="9" fontId="0" fillId="0" borderId="0" xfId="0" applyNumberFormat="1" applyBorder="1"/>
    <xf numFmtId="0" fontId="0" fillId="0" borderId="29" xfId="0" applyBorder="1"/>
    <xf numFmtId="0" fontId="0" fillId="0" borderId="30" xfId="0" applyBorder="1"/>
    <xf numFmtId="0" fontId="0" fillId="2" borderId="30" xfId="0" applyFill="1" applyBorder="1" applyAlignment="1">
      <alignment vertical="top" wrapText="1"/>
    </xf>
    <xf numFmtId="0" fontId="0" fillId="0" borderId="37" xfId="0" applyBorder="1"/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10" fillId="0" borderId="39" xfId="0" applyNumberFormat="1" applyFont="1" applyFill="1" applyBorder="1" applyAlignment="1">
      <alignment horizontal="left" vertical="top" wrapText="1"/>
    </xf>
    <xf numFmtId="49" fontId="10" fillId="0" borderId="39" xfId="0" applyNumberFormat="1" applyFont="1" applyFill="1" applyBorder="1" applyAlignment="1">
      <alignment vertical="top" wrapText="1"/>
    </xf>
    <xf numFmtId="49" fontId="13" fillId="0" borderId="39" xfId="0" applyNumberFormat="1" applyFont="1" applyFill="1" applyBorder="1" applyAlignment="1">
      <alignment horizontal="left" vertical="top" wrapText="1"/>
    </xf>
    <xf numFmtId="49" fontId="0" fillId="0" borderId="39" xfId="0" applyNumberFormat="1" applyFill="1" applyBorder="1" applyAlignment="1">
      <alignment horizontal="left" vertical="top" wrapText="1"/>
    </xf>
    <xf numFmtId="3" fontId="3" fillId="0" borderId="12" xfId="0" applyNumberFormat="1" applyFont="1" applyFill="1" applyBorder="1"/>
    <xf numFmtId="3" fontId="3" fillId="0" borderId="0" xfId="0" applyNumberFormat="1" applyFont="1" applyFill="1" applyBorder="1"/>
    <xf numFmtId="3" fontId="3" fillId="0" borderId="18" xfId="0" applyNumberFormat="1" applyFont="1" applyFill="1" applyBorder="1"/>
    <xf numFmtId="180" fontId="3" fillId="0" borderId="0" xfId="0" applyNumberFormat="1" applyFont="1" applyFill="1" applyBorder="1"/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0070C0"/>
      <rgbColor rgb="0000B050"/>
      <rgbColor rgb="00FF0000"/>
      <rgbColor rgb="000C0C0C"/>
      <rgbColor rgb="00FFFF00"/>
      <rgbColor rgb="006EAC1C"/>
      <rgbColor rgb="00D8D8D8"/>
      <rgbColor rgb="003F3F3F"/>
      <rgbColor rgb="00595959"/>
      <rgbColor rgb="00C000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GB" sz="2000" b="1" i="0" u="none" strike="noStrike">
                <a:solidFill>
                  <a:srgbClr val="595959"/>
                </a:solidFill>
                <a:latin typeface="Calibri"/>
              </a:rPr>
              <a:t>Revenue (Projected)</a:t>
            </a:r>
          </a:p>
        </c:rich>
      </c:tx>
      <c:layout>
        <c:manualLayout>
          <c:xMode val="edge"/>
          <c:yMode val="edge"/>
          <c:x val="0.37309799999999999"/>
          <c:y val="0"/>
          <c:w val="0.25380399999999997"/>
          <c:h val="8.4523799999999996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03226"/>
          <c:y val="8.4523799999999996E-2"/>
          <c:w val="0.89177399999999996"/>
          <c:h val="0.79881599999999997"/>
        </c:manualLayout>
      </c:layout>
      <c:lineChart>
        <c:grouping val="standard"/>
        <c:varyColors val="0"/>
        <c:ser>
          <c:idx val="0"/>
          <c:order val="0"/>
          <c:tx>
            <c:v>Base</c:v>
          </c:tx>
          <c:spPr>
            <a:ln w="571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rgbClr val="404040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 Case'!$C$5:$I$5</c:f>
              <c:numCache>
                <c:formatCode>mm/dd/yy</c:formatCode>
                <c:ptCount val="7"/>
                <c:pt idx="0">
                  <c:v>44561</c:v>
                </c:pt>
                <c:pt idx="1">
                  <c:v>44926</c:v>
                </c:pt>
                <c:pt idx="2">
                  <c:v>45291</c:v>
                </c:pt>
                <c:pt idx="3">
                  <c:v>45291</c:v>
                </c:pt>
                <c:pt idx="4" formatCode="General">
                  <c:v>2024</c:v>
                </c:pt>
                <c:pt idx="5" formatCode="General">
                  <c:v>2025</c:v>
                </c:pt>
                <c:pt idx="6" formatCode="General">
                  <c:v>2026</c:v>
                </c:pt>
              </c:numCache>
            </c:numRef>
          </c:cat>
          <c:val>
            <c:numRef>
              <c:f>'Base Case'!$C$9:$I$9</c:f>
              <c:numCache>
                <c:formatCode>#,##0</c:formatCode>
                <c:ptCount val="7"/>
                <c:pt idx="0">
                  <c:v>4270.8940000000002</c:v>
                </c:pt>
                <c:pt idx="1">
                  <c:v>5095.2539999999999</c:v>
                </c:pt>
                <c:pt idx="2">
                  <c:v>5970.1459999999997</c:v>
                </c:pt>
                <c:pt idx="3">
                  <c:v>5970.1459999999997</c:v>
                </c:pt>
                <c:pt idx="4">
                  <c:v>6447.7576799999997</c:v>
                </c:pt>
                <c:pt idx="5">
                  <c:v>6995.8170827999993</c:v>
                </c:pt>
                <c:pt idx="6">
                  <c:v>7590.4615348379994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2-6E41-8B2E-D8E5268D32C7}"/>
            </c:ext>
          </c:extLst>
        </c:ser>
        <c:ser>
          <c:idx val="1"/>
          <c:order val="1"/>
          <c:tx>
            <c:v>Bull</c:v>
          </c:tx>
          <c:spPr>
            <a:ln w="28575" cap="rnd" cmpd="sng" algn="ctr">
              <a:solidFill>
                <a:schemeClr val="accent5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rgbClr val="404040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 Case'!$C$5:$I$5</c:f>
              <c:numCache>
                <c:formatCode>mm/dd/yy</c:formatCode>
                <c:ptCount val="7"/>
                <c:pt idx="0">
                  <c:v>44561</c:v>
                </c:pt>
                <c:pt idx="1">
                  <c:v>44926</c:v>
                </c:pt>
                <c:pt idx="2">
                  <c:v>45291</c:v>
                </c:pt>
                <c:pt idx="3">
                  <c:v>45291</c:v>
                </c:pt>
                <c:pt idx="4" formatCode="General">
                  <c:v>2024</c:v>
                </c:pt>
                <c:pt idx="5" formatCode="General">
                  <c:v>2025</c:v>
                </c:pt>
                <c:pt idx="6" formatCode="General">
                  <c:v>2026</c:v>
                </c:pt>
              </c:numCache>
            </c:numRef>
          </c:cat>
          <c:val>
            <c:numRef>
              <c:f>'Bull case'!$C$9:$I$9</c:f>
              <c:numCache>
                <c:formatCode>#,##0</c:formatCode>
                <c:ptCount val="7"/>
                <c:pt idx="0">
                  <c:v>4270.8940000000002</c:v>
                </c:pt>
                <c:pt idx="1">
                  <c:v>5095.2539999999999</c:v>
                </c:pt>
                <c:pt idx="2">
                  <c:v>5970.1459999999997</c:v>
                </c:pt>
                <c:pt idx="3">
                  <c:v>5970.1459999999997</c:v>
                </c:pt>
                <c:pt idx="4">
                  <c:v>6567.1606000000002</c:v>
                </c:pt>
                <c:pt idx="5">
                  <c:v>7289.5482660000007</c:v>
                </c:pt>
                <c:pt idx="6">
                  <c:v>8091.3985752600011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2-6E41-8B2E-D8E5268D32C7}"/>
            </c:ext>
          </c:extLst>
        </c:ser>
        <c:ser>
          <c:idx val="2"/>
          <c:order val="2"/>
          <c:tx>
            <c:v>Bear</c:v>
          </c:tx>
          <c:spPr>
            <a:ln w="28575" cap="rnd" cmpd="sng" algn="ctr">
              <a:solidFill>
                <a:srgbClr val="C0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'Base Case'!$C$5:$I$5</c:f>
              <c:numCache>
                <c:formatCode>mm/dd/yy</c:formatCode>
                <c:ptCount val="7"/>
                <c:pt idx="0">
                  <c:v>44561</c:v>
                </c:pt>
                <c:pt idx="1">
                  <c:v>44926</c:v>
                </c:pt>
                <c:pt idx="2">
                  <c:v>45291</c:v>
                </c:pt>
                <c:pt idx="3">
                  <c:v>45291</c:v>
                </c:pt>
                <c:pt idx="4" formatCode="General">
                  <c:v>2024</c:v>
                </c:pt>
                <c:pt idx="5" formatCode="General">
                  <c:v>2025</c:v>
                </c:pt>
                <c:pt idx="6" formatCode="General">
                  <c:v>2026</c:v>
                </c:pt>
              </c:numCache>
            </c:numRef>
          </c:cat>
          <c:val>
            <c:numRef>
              <c:f>'Bear case'!$C$9:$I$9</c:f>
              <c:numCache>
                <c:formatCode>#,##0</c:formatCode>
                <c:ptCount val="7"/>
                <c:pt idx="0">
                  <c:v>4270.8940000000002</c:v>
                </c:pt>
                <c:pt idx="1">
                  <c:v>5095.2539999999999</c:v>
                </c:pt>
                <c:pt idx="2">
                  <c:v>5970.1459999999997</c:v>
                </c:pt>
                <c:pt idx="3">
                  <c:v>5970.1459999999997</c:v>
                </c:pt>
                <c:pt idx="4">
                  <c:v>6328.3547600000002</c:v>
                </c:pt>
                <c:pt idx="5">
                  <c:v>6708.0560456000003</c:v>
                </c:pt>
                <c:pt idx="6">
                  <c:v>7110.5394083360006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2-6E41-8B2E-D8E5268D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 cap="flat" cmpd="sng" algn="ctr">
            <a:solidFill>
              <a:srgbClr val="D9D9D9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GB" sz="1600" b="0" i="0" u="none" strike="noStrike">
                    <a:solidFill>
                      <a:srgbClr val="595959"/>
                    </a:solidFill>
                    <a:latin typeface="Calibri"/>
                  </a:rPr>
                  <a:t>Projected Revenue ($m)</a:t>
                </a:r>
              </a:p>
            </c:rich>
          </c:tx>
          <c:overlay val="1"/>
        </c:title>
        <c:numFmt formatCode="#,##0" sourceLinked="1"/>
        <c:majorTickMark val="none"/>
        <c:minorTickMark val="none"/>
        <c:tickLblPos val="nextTo"/>
        <c:spPr>
          <a:ln w="1270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between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6613899999999999"/>
          <c:y val="0.95096599999999998"/>
          <c:w val="0.26205699999999998"/>
          <c:h val="4.90335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GB" sz="2000" b="1" i="0" u="none" strike="noStrike">
                <a:solidFill>
                  <a:srgbClr val="595959"/>
                </a:solidFill>
                <a:latin typeface="Calibri"/>
              </a:rPr>
              <a:t>EBITDA  (Projected)</a:t>
            </a:r>
          </a:p>
        </c:rich>
      </c:tx>
      <c:layout>
        <c:manualLayout>
          <c:xMode val="edge"/>
          <c:yMode val="edge"/>
          <c:x val="0.37793599999999999"/>
          <c:y val="0"/>
          <c:w val="0.24412800000000001"/>
          <c:h val="7.8034800000000001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0353999999999999"/>
          <c:y val="7.8034800000000001E-2"/>
          <c:w val="0.89146000000000003"/>
          <c:h val="0.81330100000000005"/>
        </c:manualLayout>
      </c:layout>
      <c:lineChart>
        <c:grouping val="standard"/>
        <c:varyColors val="0"/>
        <c:ser>
          <c:idx val="0"/>
          <c:order val="0"/>
          <c:tx>
            <c:v>Base</c:v>
          </c:tx>
          <c:spPr>
            <a:ln w="53975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300" b="0" i="0" u="none" strike="noStrike" kern="1200" baseline="0">
                    <a:solidFill>
                      <a:srgbClr val="404040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 Case'!$C$5:$I$5</c:f>
              <c:numCache>
                <c:formatCode>mm/dd/yy</c:formatCode>
                <c:ptCount val="7"/>
                <c:pt idx="0">
                  <c:v>44561</c:v>
                </c:pt>
                <c:pt idx="1">
                  <c:v>44926</c:v>
                </c:pt>
                <c:pt idx="2">
                  <c:v>45291</c:v>
                </c:pt>
                <c:pt idx="3">
                  <c:v>45291</c:v>
                </c:pt>
                <c:pt idx="4" formatCode="General">
                  <c:v>2024</c:v>
                </c:pt>
                <c:pt idx="5" formatCode="General">
                  <c:v>2025</c:v>
                </c:pt>
                <c:pt idx="6" formatCode="General">
                  <c:v>2026</c:v>
                </c:pt>
              </c:numCache>
            </c:numRef>
          </c:cat>
          <c:val>
            <c:numRef>
              <c:f>'Base Case'!$C$14:$I$14</c:f>
              <c:numCache>
                <c:formatCode>#,##0</c:formatCode>
                <c:ptCount val="7"/>
                <c:pt idx="0">
                  <c:v>1314.761</c:v>
                </c:pt>
                <c:pt idx="1">
                  <c:v>1492.8689999999999</c:v>
                </c:pt>
                <c:pt idx="2">
                  <c:v>1911.5309999999999</c:v>
                </c:pt>
                <c:pt idx="3">
                  <c:v>1911.5309999999999</c:v>
                </c:pt>
                <c:pt idx="4">
                  <c:v>2127.7600344000002</c:v>
                </c:pt>
                <c:pt idx="5">
                  <c:v>2378.5778081519998</c:v>
                </c:pt>
                <c:pt idx="6">
                  <c:v>2580.7569218449198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3-C443-903C-DCFD1289B60F}"/>
            </c:ext>
          </c:extLst>
        </c:ser>
        <c:ser>
          <c:idx val="1"/>
          <c:order val="1"/>
          <c:tx>
            <c:v>Bull</c:v>
          </c:tx>
          <c:spPr>
            <a:ln w="28575" cap="rnd" cmpd="sng" algn="ctr">
              <a:solidFill>
                <a:schemeClr val="accent5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'Base Case'!$C$5:$I$5</c:f>
              <c:numCache>
                <c:formatCode>mm/dd/yy</c:formatCode>
                <c:ptCount val="7"/>
                <c:pt idx="0">
                  <c:v>44561</c:v>
                </c:pt>
                <c:pt idx="1">
                  <c:v>44926</c:v>
                </c:pt>
                <c:pt idx="2">
                  <c:v>45291</c:v>
                </c:pt>
                <c:pt idx="3">
                  <c:v>45291</c:v>
                </c:pt>
                <c:pt idx="4" formatCode="General">
                  <c:v>2024</c:v>
                </c:pt>
                <c:pt idx="5" formatCode="General">
                  <c:v>2025</c:v>
                </c:pt>
                <c:pt idx="6" formatCode="General">
                  <c:v>2026</c:v>
                </c:pt>
              </c:numCache>
            </c:numRef>
          </c:cat>
          <c:val>
            <c:numRef>
              <c:f>'Bull case'!$C$14:$I$14</c:f>
              <c:numCache>
                <c:formatCode>#,##0</c:formatCode>
                <c:ptCount val="7"/>
                <c:pt idx="0">
                  <c:v>1314.761</c:v>
                </c:pt>
                <c:pt idx="1">
                  <c:v>1492.8689999999999</c:v>
                </c:pt>
                <c:pt idx="2">
                  <c:v>1911.5309999999999</c:v>
                </c:pt>
                <c:pt idx="3">
                  <c:v>1911.5309999999999</c:v>
                </c:pt>
                <c:pt idx="4">
                  <c:v>2298.50621</c:v>
                </c:pt>
                <c:pt idx="5">
                  <c:v>2697.13285842</c:v>
                </c:pt>
                <c:pt idx="6">
                  <c:v>2993.8174728462004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3-C443-903C-DCFD1289B60F}"/>
            </c:ext>
          </c:extLst>
        </c:ser>
        <c:ser>
          <c:idx val="2"/>
          <c:order val="2"/>
          <c:tx>
            <c:v>Bear</c:v>
          </c:tx>
          <c:spPr>
            <a:ln w="19050" cap="rnd" cmpd="sng" algn="ctr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'Base Case'!$C$5:$I$5</c:f>
              <c:numCache>
                <c:formatCode>mm/dd/yy</c:formatCode>
                <c:ptCount val="7"/>
                <c:pt idx="0">
                  <c:v>44561</c:v>
                </c:pt>
                <c:pt idx="1">
                  <c:v>44926</c:v>
                </c:pt>
                <c:pt idx="2">
                  <c:v>45291</c:v>
                </c:pt>
                <c:pt idx="3">
                  <c:v>45291</c:v>
                </c:pt>
                <c:pt idx="4" formatCode="General">
                  <c:v>2024</c:v>
                </c:pt>
                <c:pt idx="5" formatCode="General">
                  <c:v>2025</c:v>
                </c:pt>
                <c:pt idx="6" formatCode="General">
                  <c:v>2026</c:v>
                </c:pt>
              </c:numCache>
            </c:numRef>
          </c:cat>
          <c:val>
            <c:numRef>
              <c:f>'Bear case'!$C$14:$I$14</c:f>
              <c:numCache>
                <c:formatCode>#,##0</c:formatCode>
                <c:ptCount val="7"/>
                <c:pt idx="0">
                  <c:v>1314.761</c:v>
                </c:pt>
                <c:pt idx="1">
                  <c:v>1492.8689999999999</c:v>
                </c:pt>
                <c:pt idx="2">
                  <c:v>1911.5309999999999</c:v>
                </c:pt>
                <c:pt idx="3">
                  <c:v>1911.5309999999999</c:v>
                </c:pt>
                <c:pt idx="4">
                  <c:v>1961.7899755999999</c:v>
                </c:pt>
                <c:pt idx="5">
                  <c:v>2146.577934592</c:v>
                </c:pt>
                <c:pt idx="6">
                  <c:v>2275.3726106675203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3-C443-903C-DCFD128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 cap="flat" cmpd="sng" algn="ctr">
            <a:solidFill>
              <a:srgbClr val="D9D9D9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GB" sz="1600" b="0" i="0" u="none" strike="noStrike">
                    <a:solidFill>
                      <a:srgbClr val="595959"/>
                    </a:solidFill>
                    <a:latin typeface="Calibri"/>
                  </a:rPr>
                  <a:t> Projected EBITDA ($m)</a:t>
                </a:r>
              </a:p>
            </c:rich>
          </c:tx>
          <c:overlay val="1"/>
        </c:title>
        <c:numFmt formatCode="#,##0" sourceLinked="1"/>
        <c:majorTickMark val="none"/>
        <c:minorTickMark val="none"/>
        <c:tickLblPos val="nextTo"/>
        <c:spPr>
          <a:ln w="1270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65844"/>
          <c:y val="0.95377100000000004"/>
          <c:w val="0.26285500000000001"/>
          <c:h val="4.6228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142327</xdr:colOff>
      <xdr:row>22</xdr:row>
      <xdr:rowOff>98534</xdr:rowOff>
    </xdr:from>
    <xdr:to>
      <xdr:col>9</xdr:col>
      <xdr:colOff>755430</xdr:colOff>
      <xdr:row>22</xdr:row>
      <xdr:rowOff>109481</xdr:rowOff>
    </xdr:to>
    <xdr:sp macro="" textlink="">
      <xdr:nvSpPr>
        <xdr:cNvPr id="2" name="Straight Arrow Connector 1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956800" y="5918200"/>
          <a:ext cx="612775" cy="10795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130503</xdr:colOff>
      <xdr:row>8</xdr:row>
      <xdr:rowOff>86709</xdr:rowOff>
    </xdr:from>
    <xdr:to>
      <xdr:col>9</xdr:col>
      <xdr:colOff>743606</xdr:colOff>
      <xdr:row>8</xdr:row>
      <xdr:rowOff>97657</xdr:rowOff>
    </xdr:to>
    <xdr:sp macro="" textlink="">
      <xdr:nvSpPr>
        <xdr:cNvPr id="3" name="Straight Arrow Connector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944735" y="3086735"/>
          <a:ext cx="613410" cy="10795"/>
        </a:xfrm>
        <a:prstGeom prst="line">
          <a:avLst/>
        </a:pr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141671</xdr:colOff>
      <xdr:row>33</xdr:row>
      <xdr:rowOff>129955</xdr:rowOff>
    </xdr:from>
    <xdr:to>
      <xdr:col>13</xdr:col>
      <xdr:colOff>228599</xdr:colOff>
      <xdr:row>38</xdr:row>
      <xdr:rowOff>57149</xdr:rowOff>
    </xdr:to>
    <xdr:sp macro="" textlink="">
      <xdr:nvSpPr>
        <xdr:cNvPr id="5" name="Connector: Curved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496290" y="8159115"/>
          <a:ext cx="1122680" cy="9366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cubicBezTo>
                <a:pt x="5400" y="0"/>
                <a:pt x="10800" y="5400"/>
                <a:pt x="10800" y="10800"/>
              </a:cubicBezTo>
              <a:cubicBezTo>
                <a:pt x="10800" y="16200"/>
                <a:pt x="16200" y="21600"/>
                <a:pt x="21600" y="21600"/>
              </a:cubicBezTo>
            </a:path>
          </a:pathLst>
        </a:custGeom>
        <a:noFill/>
        <a:ln w="6350" cap="flat">
          <a:solidFill>
            <a:schemeClr val="accent1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178768</xdr:colOff>
      <xdr:row>1</xdr:row>
      <xdr:rowOff>19099</xdr:rowOff>
    </xdr:from>
    <xdr:to>
      <xdr:col>11</xdr:col>
      <xdr:colOff>261301</xdr:colOff>
      <xdr:row>32</xdr:row>
      <xdr:rowOff>84159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178767</xdr:colOff>
      <xdr:row>36</xdr:row>
      <xdr:rowOff>31799</xdr:rowOff>
    </xdr:from>
    <xdr:to>
      <xdr:col>11</xdr:col>
      <xdr:colOff>235584</xdr:colOff>
      <xdr:row>70</xdr:row>
      <xdr:rowOff>32565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ed.stlouisfed.org/series/BAMLC0A2CAA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BAMLC0A2CAA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BAMLC0A2CAAE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BAMLC0A2CAA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showGridLines="0" tabSelected="1" zoomScale="133" workbookViewId="0">
      <selection activeCell="C4" sqref="C4"/>
    </sheetView>
  </sheetViews>
  <sheetFormatPr defaultColWidth="10.8125" defaultRowHeight="15.75" customHeight="1" x14ac:dyDescent="0.5"/>
  <cols>
    <col min="1" max="1" width="10.8125" style="1" customWidth="1"/>
    <col min="2" max="2" width="17.5" style="1" customWidth="1"/>
    <col min="3" max="3" width="24.8125" style="1" customWidth="1"/>
    <col min="4" max="4" width="26" style="1" customWidth="1"/>
    <col min="5" max="5" width="25.3125" style="1" customWidth="1"/>
    <col min="6" max="6" width="44.6875" style="1" customWidth="1"/>
    <col min="7" max="12" width="10.8125" style="1" customWidth="1"/>
    <col min="13" max="16384" width="10.8125" style="1"/>
  </cols>
  <sheetData>
    <row r="1" spans="1:11" ht="15.3" customHeight="1" x14ac:dyDescent="0.5">
      <c r="A1" s="177"/>
      <c r="B1" s="178"/>
      <c r="C1" s="178"/>
      <c r="D1" s="178"/>
      <c r="E1" s="178"/>
      <c r="F1" s="201"/>
      <c r="G1" s="201"/>
      <c r="H1" s="201"/>
      <c r="I1" s="201"/>
      <c r="J1" s="201"/>
      <c r="K1" s="208"/>
    </row>
    <row r="2" spans="1:11" ht="15.3" customHeight="1" x14ac:dyDescent="0.5">
      <c r="A2" s="179"/>
      <c r="B2" s="180" t="s">
        <v>0</v>
      </c>
      <c r="C2" s="181" t="s">
        <v>1</v>
      </c>
      <c r="D2" s="181" t="s">
        <v>2</v>
      </c>
      <c r="E2" s="202" t="s">
        <v>3</v>
      </c>
      <c r="F2" s="203"/>
      <c r="G2" s="190"/>
      <c r="H2" s="190"/>
      <c r="I2" s="190"/>
      <c r="J2" s="190"/>
      <c r="K2" s="209"/>
    </row>
    <row r="3" spans="1:11" ht="173.25" x14ac:dyDescent="0.5">
      <c r="A3" s="179"/>
      <c r="B3" s="182" t="s">
        <v>4</v>
      </c>
      <c r="C3" s="183" t="s">
        <v>5</v>
      </c>
      <c r="D3" s="215" t="s">
        <v>94</v>
      </c>
      <c r="E3" s="216" t="s">
        <v>6</v>
      </c>
      <c r="F3" s="204"/>
      <c r="G3" s="205"/>
      <c r="H3" s="205"/>
      <c r="I3" s="205"/>
      <c r="J3" s="205"/>
      <c r="K3" s="210"/>
    </row>
    <row r="4" spans="1:11" ht="204.75" x14ac:dyDescent="0.5">
      <c r="A4" s="179"/>
      <c r="B4" s="184" t="s">
        <v>7</v>
      </c>
      <c r="C4" s="183" t="s">
        <v>93</v>
      </c>
      <c r="D4" s="217" t="s">
        <v>8</v>
      </c>
      <c r="E4" s="215" t="s">
        <v>9</v>
      </c>
      <c r="F4" s="203"/>
      <c r="G4" s="205"/>
      <c r="H4" s="205"/>
      <c r="I4" s="190"/>
      <c r="J4" s="190"/>
      <c r="K4" s="209"/>
    </row>
    <row r="5" spans="1:11" ht="157.5" customHeight="1" x14ac:dyDescent="0.5">
      <c r="A5" s="179"/>
      <c r="B5" s="183" t="s">
        <v>10</v>
      </c>
      <c r="C5" s="185" t="s">
        <v>11</v>
      </c>
      <c r="D5" s="218" t="s">
        <v>11</v>
      </c>
      <c r="E5" s="218" t="s">
        <v>11</v>
      </c>
      <c r="F5" s="203"/>
      <c r="G5" s="206"/>
      <c r="H5" s="205"/>
      <c r="I5" s="190"/>
      <c r="J5" s="190"/>
      <c r="K5" s="209"/>
    </row>
    <row r="6" spans="1:11" ht="15.3" customHeight="1" x14ac:dyDescent="0.5">
      <c r="A6" s="186"/>
      <c r="B6" s="187"/>
      <c r="C6" s="188"/>
      <c r="D6" s="188"/>
      <c r="E6" s="188"/>
      <c r="F6" s="190"/>
      <c r="G6" s="190"/>
      <c r="H6" s="190"/>
      <c r="I6" s="190"/>
      <c r="J6" s="190"/>
      <c r="K6" s="209"/>
    </row>
    <row r="7" spans="1:11" ht="15.3" customHeight="1" x14ac:dyDescent="0.5">
      <c r="A7" s="186"/>
      <c r="B7" s="189"/>
      <c r="C7" s="190"/>
      <c r="D7" s="190"/>
      <c r="E7" s="190"/>
      <c r="F7" s="190"/>
      <c r="G7" s="190"/>
      <c r="H7" s="190"/>
      <c r="I7" s="190"/>
      <c r="J7" s="190"/>
      <c r="K7" s="209"/>
    </row>
    <row r="8" spans="1:11" ht="15.3" customHeight="1" x14ac:dyDescent="0.5">
      <c r="A8" s="186"/>
      <c r="B8" s="191"/>
      <c r="C8" s="192"/>
      <c r="D8" s="193"/>
      <c r="E8" s="193"/>
      <c r="F8" s="190"/>
      <c r="G8" s="207"/>
      <c r="H8" s="190"/>
      <c r="I8" s="190"/>
      <c r="J8" s="190"/>
      <c r="K8" s="209"/>
    </row>
    <row r="9" spans="1:11" ht="15.3" customHeight="1" x14ac:dyDescent="0.5">
      <c r="A9" s="186"/>
      <c r="B9" s="194"/>
      <c r="C9" s="192"/>
      <c r="D9" s="193"/>
      <c r="E9" s="193"/>
      <c r="F9" s="190"/>
      <c r="G9" s="207"/>
      <c r="H9" s="190"/>
      <c r="I9" s="190"/>
      <c r="J9" s="190"/>
      <c r="K9" s="209"/>
    </row>
    <row r="10" spans="1:11" ht="15.3" customHeight="1" x14ac:dyDescent="0.5">
      <c r="A10" s="186"/>
      <c r="B10" s="191"/>
      <c r="C10" s="192"/>
      <c r="D10" s="193"/>
      <c r="E10" s="193"/>
      <c r="F10" s="190"/>
      <c r="G10" s="207"/>
      <c r="H10" s="190"/>
      <c r="I10" s="190"/>
      <c r="J10" s="190"/>
      <c r="K10" s="209"/>
    </row>
    <row r="11" spans="1:11" ht="15.3" customHeight="1" x14ac:dyDescent="0.5">
      <c r="A11" s="186"/>
      <c r="B11" s="191"/>
      <c r="C11" s="192"/>
      <c r="D11" s="193"/>
      <c r="E11" s="193"/>
      <c r="F11" s="190"/>
      <c r="G11" s="207"/>
      <c r="H11" s="190"/>
      <c r="I11" s="190"/>
      <c r="J11" s="190"/>
      <c r="K11" s="209"/>
    </row>
    <row r="12" spans="1:11" ht="15.3" customHeight="1" x14ac:dyDescent="0.5">
      <c r="A12" s="186"/>
      <c r="B12" s="191"/>
      <c r="C12" s="192"/>
      <c r="D12" s="193"/>
      <c r="E12" s="193"/>
      <c r="F12" s="190"/>
      <c r="G12" s="207"/>
      <c r="H12" s="190"/>
      <c r="I12" s="190"/>
      <c r="J12" s="190"/>
      <c r="K12" s="209"/>
    </row>
    <row r="13" spans="1:11" ht="15.3" customHeight="1" x14ac:dyDescent="0.5">
      <c r="A13" s="186"/>
      <c r="B13" s="191"/>
      <c r="C13" s="192"/>
      <c r="D13" s="193"/>
      <c r="E13" s="193"/>
      <c r="F13" s="190"/>
      <c r="G13" s="190"/>
      <c r="H13" s="190"/>
      <c r="I13" s="190"/>
      <c r="J13" s="190"/>
      <c r="K13" s="209"/>
    </row>
    <row r="14" spans="1:11" ht="15.3" customHeight="1" x14ac:dyDescent="0.5">
      <c r="A14" s="195"/>
      <c r="B14" s="196"/>
      <c r="C14" s="192"/>
      <c r="D14" s="190"/>
      <c r="E14" s="190"/>
      <c r="F14" s="190"/>
      <c r="G14" s="190"/>
      <c r="H14" s="190"/>
      <c r="I14" s="190"/>
      <c r="J14" s="190"/>
      <c r="K14" s="209"/>
    </row>
    <row r="15" spans="1:11" ht="15.3" customHeight="1" x14ac:dyDescent="0.5">
      <c r="A15" s="195"/>
      <c r="B15" s="190"/>
      <c r="C15" s="192"/>
      <c r="D15" s="190"/>
      <c r="E15" s="190"/>
      <c r="F15" s="190"/>
      <c r="G15" s="190"/>
      <c r="H15" s="190"/>
      <c r="I15" s="190"/>
      <c r="J15" s="190"/>
      <c r="K15" s="209"/>
    </row>
    <row r="16" spans="1:11" ht="15.3" customHeight="1" x14ac:dyDescent="0.5">
      <c r="A16" s="195"/>
      <c r="B16" s="190"/>
      <c r="C16" s="192"/>
      <c r="D16" s="190"/>
      <c r="E16" s="190"/>
      <c r="F16" s="190"/>
      <c r="G16" s="190"/>
      <c r="H16" s="190"/>
      <c r="I16" s="190"/>
      <c r="J16" s="190"/>
      <c r="K16" s="209"/>
    </row>
    <row r="17" spans="1:11" ht="15.3" customHeight="1" x14ac:dyDescent="0.5">
      <c r="A17" s="186"/>
      <c r="B17" s="197"/>
      <c r="C17" s="192"/>
      <c r="D17" s="190"/>
      <c r="E17" s="190"/>
      <c r="F17" s="190"/>
      <c r="G17" s="190"/>
      <c r="H17" s="190"/>
      <c r="I17" s="190"/>
      <c r="J17" s="190"/>
      <c r="K17" s="209"/>
    </row>
    <row r="18" spans="1:11" ht="15.3" customHeight="1" x14ac:dyDescent="0.5">
      <c r="A18" s="186"/>
      <c r="B18" s="190"/>
      <c r="C18" s="192"/>
      <c r="D18" s="190"/>
      <c r="E18" s="190"/>
      <c r="F18" s="190"/>
      <c r="G18" s="190"/>
      <c r="H18" s="190"/>
      <c r="I18" s="190"/>
      <c r="J18" s="190"/>
      <c r="K18" s="209"/>
    </row>
    <row r="19" spans="1:11" ht="15.3" customHeight="1" x14ac:dyDescent="0.5">
      <c r="A19" s="186"/>
      <c r="B19" s="190"/>
      <c r="C19" s="192"/>
      <c r="D19" s="190"/>
      <c r="E19" s="190"/>
      <c r="F19" s="190"/>
      <c r="G19" s="190"/>
      <c r="H19" s="190"/>
      <c r="I19" s="190"/>
      <c r="J19" s="190"/>
      <c r="K19" s="209"/>
    </row>
    <row r="20" spans="1:11" ht="15.3" customHeight="1" x14ac:dyDescent="0.5">
      <c r="A20" s="198"/>
      <c r="B20" s="199"/>
      <c r="C20" s="200"/>
      <c r="D20" s="199"/>
      <c r="E20" s="199"/>
      <c r="F20" s="199"/>
      <c r="G20" s="199"/>
      <c r="H20" s="199"/>
      <c r="I20" s="199"/>
      <c r="J20" s="199"/>
      <c r="K20" s="211"/>
    </row>
    <row r="29" spans="1:11" ht="15.75" customHeight="1" x14ac:dyDescent="0.5">
      <c r="C29"/>
    </row>
  </sheetData>
  <phoneticPr fontId="17" type="noConversion"/>
  <pageMargins left="0.7" right="0.7" top="0.75" bottom="0.75" header="0.3" footer="0.3"/>
  <pageSetup scale="68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1"/>
  <sheetViews>
    <sheetView showGridLines="0" topLeftCell="A25" workbookViewId="0">
      <selection activeCell="D14" sqref="D14"/>
    </sheetView>
  </sheetViews>
  <sheetFormatPr defaultColWidth="10.8125" defaultRowHeight="15.75" customHeight="1" x14ac:dyDescent="0.5"/>
  <cols>
    <col min="1" max="1" width="10.8125" style="1" customWidth="1"/>
    <col min="2" max="2" width="25.5" style="1" customWidth="1"/>
    <col min="3" max="6" width="10.8125" style="1" customWidth="1"/>
    <col min="7" max="9" width="11.3125" style="1" customWidth="1"/>
    <col min="10" max="10" width="10.8125" style="1" customWidth="1"/>
    <col min="11" max="11" width="19.3125" style="1" customWidth="1"/>
    <col min="12" max="12" width="10.8125" style="1" customWidth="1"/>
    <col min="13" max="13" width="12" style="1" customWidth="1"/>
    <col min="14" max="24" width="10.8125" style="1" customWidth="1"/>
    <col min="25" max="16384" width="10.8125" style="1"/>
  </cols>
  <sheetData>
    <row r="1" spans="1:23" ht="15.75" customHeight="1" x14ac:dyDescent="0.5">
      <c r="A1" s="4"/>
      <c r="B1" s="114"/>
      <c r="C1" s="114"/>
      <c r="D1" s="114"/>
      <c r="E1" s="12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09"/>
    </row>
    <row r="2" spans="1:23" ht="15.75" customHeight="1" x14ac:dyDescent="0.5">
      <c r="A2" s="4"/>
      <c r="B2" s="114"/>
      <c r="C2" s="114"/>
      <c r="D2" s="120"/>
      <c r="E2" s="120"/>
      <c r="F2" s="5"/>
      <c r="G2" s="5"/>
      <c r="H2" s="5"/>
      <c r="I2" s="19"/>
      <c r="J2" s="19"/>
      <c r="K2" s="19"/>
      <c r="L2" s="19"/>
      <c r="M2" s="5"/>
      <c r="N2" s="5"/>
      <c r="O2" s="5"/>
      <c r="P2" s="5"/>
      <c r="Q2" s="5"/>
      <c r="R2" s="5"/>
      <c r="S2" s="5"/>
      <c r="T2" s="5"/>
      <c r="U2" s="5"/>
      <c r="V2" s="5"/>
      <c r="W2" s="109"/>
    </row>
    <row r="3" spans="1:23" ht="15.75" customHeight="1" x14ac:dyDescent="0.5">
      <c r="A3" s="6"/>
      <c r="B3" s="7" t="s">
        <v>12</v>
      </c>
      <c r="C3" s="8"/>
      <c r="D3" s="9"/>
      <c r="E3" s="37"/>
      <c r="F3" s="38"/>
      <c r="G3" s="39"/>
      <c r="H3" s="39"/>
      <c r="I3" s="75"/>
      <c r="J3" s="2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9"/>
    </row>
    <row r="4" spans="1:23" ht="15.75" customHeight="1" x14ac:dyDescent="0.5">
      <c r="A4" s="6"/>
      <c r="B4" s="10"/>
      <c r="C4" s="11"/>
      <c r="D4" s="11"/>
      <c r="E4" s="11"/>
      <c r="F4" s="40" t="s">
        <v>13</v>
      </c>
      <c r="G4" s="212" t="s">
        <v>14</v>
      </c>
      <c r="H4" s="213"/>
      <c r="I4" s="214"/>
      <c r="J4" s="2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9"/>
    </row>
    <row r="5" spans="1:23" ht="15.75" customHeight="1" x14ac:dyDescent="0.5">
      <c r="A5" s="6"/>
      <c r="B5" s="12" t="s">
        <v>15</v>
      </c>
      <c r="C5" s="121">
        <v>44561</v>
      </c>
      <c r="D5" s="121">
        <v>44926</v>
      </c>
      <c r="E5" s="121">
        <v>45291</v>
      </c>
      <c r="F5" s="136">
        <v>45291</v>
      </c>
      <c r="G5" s="43">
        <f>M15</f>
        <v>2024</v>
      </c>
      <c r="H5" s="44">
        <f>N15</f>
        <v>2025</v>
      </c>
      <c r="I5" s="76">
        <f>O15</f>
        <v>2026</v>
      </c>
      <c r="J5" s="2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9"/>
    </row>
    <row r="6" spans="1:23" ht="15.75" customHeight="1" x14ac:dyDescent="0.5">
      <c r="A6" s="6"/>
      <c r="B6" s="14"/>
      <c r="C6" s="15"/>
      <c r="D6" s="15"/>
      <c r="E6" s="15"/>
      <c r="F6" s="45"/>
      <c r="G6" s="14"/>
      <c r="H6" s="15"/>
      <c r="I6" s="45"/>
      <c r="J6" s="2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9"/>
    </row>
    <row r="7" spans="1:23" ht="15.75" customHeight="1" x14ac:dyDescent="0.5">
      <c r="A7" s="6"/>
      <c r="B7" s="16" t="s">
        <v>16</v>
      </c>
      <c r="C7" s="122">
        <v>4270.8940000000002</v>
      </c>
      <c r="D7" s="122">
        <v>5095.2539999999999</v>
      </c>
      <c r="E7" s="122">
        <v>5970.1459999999997</v>
      </c>
      <c r="F7" s="137">
        <v>5970.1459999999997</v>
      </c>
      <c r="G7" s="138">
        <v>6495.6753500000004</v>
      </c>
      <c r="H7" s="122">
        <v>6981.2992299999996</v>
      </c>
      <c r="I7" s="58">
        <v>7468</v>
      </c>
      <c r="J7" s="2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09"/>
    </row>
    <row r="8" spans="1:23" ht="15.75" customHeight="1" x14ac:dyDescent="0.5">
      <c r="A8" s="6"/>
      <c r="B8" s="16" t="s">
        <v>17</v>
      </c>
      <c r="C8" s="57">
        <v>0.23400000000000001</v>
      </c>
      <c r="D8" s="19">
        <f>D7/C7-1</f>
        <v>0.19301813624969366</v>
      </c>
      <c r="E8" s="19">
        <f>E7/D7-1</f>
        <v>0.17170723971758806</v>
      </c>
      <c r="F8" s="77">
        <v>0.17199999999999999</v>
      </c>
      <c r="G8" s="49">
        <f>G7/E7-1</f>
        <v>8.8026214099286904E-2</v>
      </c>
      <c r="H8" s="19">
        <f>H7/G7-1</f>
        <v>7.4761107018687323E-2</v>
      </c>
      <c r="I8" s="52">
        <f>I7/H7-1</f>
        <v>6.9714927546516314E-2</v>
      </c>
      <c r="J8" s="2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9"/>
    </row>
    <row r="9" spans="1:23" ht="15.75" customHeight="1" x14ac:dyDescent="0.5">
      <c r="A9" s="6"/>
      <c r="B9" s="16" t="s">
        <v>18</v>
      </c>
      <c r="C9" s="20">
        <f t="shared" ref="C9:F10" si="0">C7</f>
        <v>4270.8940000000002</v>
      </c>
      <c r="D9" s="20">
        <f t="shared" si="0"/>
        <v>5095.2539999999999</v>
      </c>
      <c r="E9" s="20">
        <f t="shared" si="0"/>
        <v>5970.1459999999997</v>
      </c>
      <c r="F9" s="50">
        <f t="shared" si="0"/>
        <v>5970.1459999999997</v>
      </c>
      <c r="G9" s="51">
        <f>E9*(1+G10)</f>
        <v>6447.7576799999997</v>
      </c>
      <c r="H9" s="20">
        <f>G9*(1+H10)</f>
        <v>6995.8170827999993</v>
      </c>
      <c r="I9" s="50">
        <f>H9*(1+I10)</f>
        <v>7590.4615348379994</v>
      </c>
      <c r="J9" s="21"/>
      <c r="K9" s="32" t="s">
        <v>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9"/>
    </row>
    <row r="10" spans="1:23" ht="15.75" customHeight="1" x14ac:dyDescent="0.5">
      <c r="A10" s="6"/>
      <c r="B10" s="16" t="s">
        <v>17</v>
      </c>
      <c r="C10" s="19">
        <f t="shared" si="0"/>
        <v>0.23400000000000001</v>
      </c>
      <c r="D10" s="19">
        <f t="shared" si="0"/>
        <v>0.19301813624969366</v>
      </c>
      <c r="E10" s="19">
        <f t="shared" si="0"/>
        <v>0.17170723971758806</v>
      </c>
      <c r="F10" s="52">
        <f t="shared" si="0"/>
        <v>0.17199999999999999</v>
      </c>
      <c r="G10" s="139">
        <v>0.08</v>
      </c>
      <c r="H10" s="140">
        <v>8.5000000000000006E-2</v>
      </c>
      <c r="I10" s="156">
        <v>8.5000000000000006E-2</v>
      </c>
      <c r="J10" s="21"/>
      <c r="K10" s="32" t="s">
        <v>20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9"/>
    </row>
    <row r="11" spans="1:23" ht="15.75" customHeight="1" x14ac:dyDescent="0.5">
      <c r="A11" s="6"/>
      <c r="B11" s="21"/>
      <c r="C11" s="22"/>
      <c r="D11" s="22"/>
      <c r="E11" s="22"/>
      <c r="F11" s="54"/>
      <c r="G11" s="141"/>
      <c r="H11" s="142"/>
      <c r="I11" s="157"/>
      <c r="J11" s="21"/>
      <c r="K11" s="32" t="s">
        <v>21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9"/>
    </row>
    <row r="12" spans="1:23" ht="16.5" customHeight="1" x14ac:dyDescent="0.5">
      <c r="A12" s="6"/>
      <c r="B12" s="16" t="s">
        <v>22</v>
      </c>
      <c r="C12" s="23">
        <v>1314.761</v>
      </c>
      <c r="D12" s="23">
        <v>1492.8689999999999</v>
      </c>
      <c r="E12" s="23">
        <v>1911.5309999999999</v>
      </c>
      <c r="F12" s="58">
        <v>1911.5309999999999</v>
      </c>
      <c r="G12" s="143">
        <v>2511.9361399999998</v>
      </c>
      <c r="H12" s="144">
        <v>2757.3114500000001</v>
      </c>
      <c r="I12" s="158">
        <v>2993</v>
      </c>
      <c r="J12" s="21"/>
      <c r="K12" s="159"/>
      <c r="L12" s="15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110"/>
    </row>
    <row r="13" spans="1:23" ht="15.75" customHeight="1" x14ac:dyDescent="0.5">
      <c r="A13" s="6"/>
      <c r="B13" s="16" t="s">
        <v>23</v>
      </c>
      <c r="C13" s="19">
        <f t="shared" ref="C13:I13" si="1">C12/C7</f>
        <v>0.30784210518921795</v>
      </c>
      <c r="D13" s="19">
        <f t="shared" si="1"/>
        <v>0.29299206673504402</v>
      </c>
      <c r="E13" s="19">
        <f t="shared" si="1"/>
        <v>0.32018161699898129</v>
      </c>
      <c r="F13" s="52">
        <f t="shared" si="1"/>
        <v>0.32018161699898129</v>
      </c>
      <c r="G13" s="116">
        <f t="shared" si="1"/>
        <v>0.3867090032447511</v>
      </c>
      <c r="H13" s="117">
        <f t="shared" si="1"/>
        <v>0.39495677798070838</v>
      </c>
      <c r="I13" s="118">
        <f t="shared" si="1"/>
        <v>0.40077664702731652</v>
      </c>
      <c r="J13" s="81"/>
      <c r="K13" s="82" t="s">
        <v>24</v>
      </c>
      <c r="L13" s="83"/>
      <c r="M13" s="83"/>
      <c r="N13" s="83"/>
      <c r="O13" s="83"/>
      <c r="P13" s="83"/>
      <c r="Q13" s="93"/>
      <c r="R13" s="93"/>
      <c r="S13" s="93"/>
      <c r="T13" s="93"/>
      <c r="U13" s="93"/>
      <c r="V13" s="93"/>
      <c r="W13" s="111"/>
    </row>
    <row r="14" spans="1:23" ht="15.75" customHeight="1" x14ac:dyDescent="0.5">
      <c r="A14" s="6"/>
      <c r="B14" s="16" t="s">
        <v>25</v>
      </c>
      <c r="C14" s="20">
        <f>C12</f>
        <v>1314.761</v>
      </c>
      <c r="D14" s="20">
        <f>D12</f>
        <v>1492.8689999999999</v>
      </c>
      <c r="E14" s="20">
        <f>E12</f>
        <v>1911.5309999999999</v>
      </c>
      <c r="F14" s="50">
        <f>F12</f>
        <v>1911.5309999999999</v>
      </c>
      <c r="G14" s="145">
        <f>G15*G9</f>
        <v>2127.7600344000002</v>
      </c>
      <c r="H14" s="146">
        <f>H15*H9</f>
        <v>2378.5778081519998</v>
      </c>
      <c r="I14" s="160">
        <f>I15*I9</f>
        <v>2580.7569218449198</v>
      </c>
      <c r="J14" s="81"/>
      <c r="K14" s="84"/>
      <c r="L14" s="85" t="s">
        <v>26</v>
      </c>
      <c r="M14" s="98" t="s">
        <v>27</v>
      </c>
      <c r="N14" s="31"/>
      <c r="O14" s="31"/>
      <c r="P14" s="31"/>
      <c r="Q14" s="5"/>
      <c r="R14" s="5"/>
      <c r="S14" s="5"/>
      <c r="T14" s="5"/>
      <c r="U14" s="5"/>
      <c r="V14" s="5"/>
      <c r="W14" s="95"/>
    </row>
    <row r="15" spans="1:23" ht="15.75" customHeight="1" x14ac:dyDescent="0.5">
      <c r="A15" s="6"/>
      <c r="B15" s="16" t="s">
        <v>23</v>
      </c>
      <c r="C15" s="19">
        <f>C14/C7</f>
        <v>0.30784210518921795</v>
      </c>
      <c r="D15" s="19">
        <f>D14/D7</f>
        <v>0.29299206673504402</v>
      </c>
      <c r="E15" s="19">
        <f>E14/E7</f>
        <v>0.32018161699898129</v>
      </c>
      <c r="F15" s="52">
        <f>F14/F7</f>
        <v>0.32018161699898129</v>
      </c>
      <c r="G15" s="139">
        <v>0.33</v>
      </c>
      <c r="H15" s="140">
        <v>0.34</v>
      </c>
      <c r="I15" s="156">
        <v>0.34</v>
      </c>
      <c r="J15" s="81"/>
      <c r="K15" s="86" t="s">
        <v>15</v>
      </c>
      <c r="L15" s="161">
        <v>2023</v>
      </c>
      <c r="M15" s="161">
        <f>L15+1</f>
        <v>2024</v>
      </c>
      <c r="N15" s="161">
        <f>M15+1</f>
        <v>2025</v>
      </c>
      <c r="O15" s="161">
        <f>N15+1</f>
        <v>2026</v>
      </c>
      <c r="P15" s="99" t="s">
        <v>28</v>
      </c>
      <c r="Q15" s="5"/>
      <c r="R15" s="5"/>
      <c r="S15" s="5"/>
      <c r="T15" s="5"/>
      <c r="U15" s="5"/>
      <c r="V15" s="5"/>
      <c r="W15" s="95"/>
    </row>
    <row r="16" spans="1:23" ht="15.75" customHeight="1" x14ac:dyDescent="0.5">
      <c r="A16" s="6"/>
      <c r="B16" s="16" t="s">
        <v>17</v>
      </c>
      <c r="C16" s="57">
        <v>0.91109167759801801</v>
      </c>
      <c r="D16" s="57">
        <v>0.57039353264185499</v>
      </c>
      <c r="E16" s="57">
        <v>-0.367733475790394</v>
      </c>
      <c r="F16" s="77">
        <v>-0.367733475790394</v>
      </c>
      <c r="G16" s="116">
        <f>G14/E14-1</f>
        <v>0.11311824626438205</v>
      </c>
      <c r="H16" s="117">
        <f>H14/G14-1</f>
        <v>0.11787878787878769</v>
      </c>
      <c r="I16" s="118">
        <f>I14/H14-1</f>
        <v>8.4999999999999964E-2</v>
      </c>
      <c r="J16" s="81"/>
      <c r="K16" s="89" t="s">
        <v>29</v>
      </c>
      <c r="L16" s="23">
        <v>1212.627</v>
      </c>
      <c r="M16" s="20">
        <f>M17+M18</f>
        <v>2538.2648030720002</v>
      </c>
      <c r="N16" s="20">
        <f>N17+N18</f>
        <v>4037.8631083503997</v>
      </c>
      <c r="O16" s="20">
        <f>O17+O18</f>
        <v>5684.5778502264184</v>
      </c>
      <c r="P16" s="79"/>
      <c r="Q16" s="5"/>
      <c r="R16" s="5"/>
      <c r="S16" s="5"/>
      <c r="T16" s="5"/>
      <c r="U16" s="5"/>
      <c r="V16" s="5"/>
      <c r="W16" s="95"/>
    </row>
    <row r="17" spans="1:23" ht="15.75" customHeight="1" x14ac:dyDescent="0.5">
      <c r="A17" s="6"/>
      <c r="B17" s="21"/>
      <c r="C17" s="19"/>
      <c r="D17" s="19"/>
      <c r="E17" s="19"/>
      <c r="F17" s="52"/>
      <c r="G17" s="147"/>
      <c r="H17" s="148"/>
      <c r="I17" s="162"/>
      <c r="J17" s="81"/>
      <c r="K17" s="89" t="s">
        <v>30</v>
      </c>
      <c r="L17" s="23">
        <v>2486.92</v>
      </c>
      <c r="M17" s="20">
        <f>L17</f>
        <v>2486.92</v>
      </c>
      <c r="N17" s="20">
        <f>M17</f>
        <v>2486.92</v>
      </c>
      <c r="O17" s="20">
        <f>N17</f>
        <v>2486.92</v>
      </c>
      <c r="P17" s="79"/>
      <c r="Q17" s="5"/>
      <c r="R17" s="5"/>
      <c r="S17" s="5"/>
      <c r="T17" s="5"/>
      <c r="U17" s="5"/>
      <c r="V17" s="5"/>
      <c r="W17" s="95"/>
    </row>
    <row r="18" spans="1:23" ht="15.75" customHeight="1" x14ac:dyDescent="0.5">
      <c r="A18" s="6"/>
      <c r="B18" s="16" t="s">
        <v>31</v>
      </c>
      <c r="C18" s="122">
        <v>352.31599999999997</v>
      </c>
      <c r="D18" s="122">
        <v>347.72500000000002</v>
      </c>
      <c r="E18" s="122">
        <v>381.762</v>
      </c>
      <c r="F18" s="137">
        <v>381.762</v>
      </c>
      <c r="G18" s="145">
        <f>G19*G9</f>
        <v>257.91030719999998</v>
      </c>
      <c r="H18" s="146">
        <f>H19*H9</f>
        <v>279.83268331199997</v>
      </c>
      <c r="I18" s="160">
        <f>I19*I9</f>
        <v>288.43753832384397</v>
      </c>
      <c r="J18" s="81"/>
      <c r="K18" s="89" t="s">
        <v>32</v>
      </c>
      <c r="L18" s="20">
        <f>L16-L17</f>
        <v>-1274.2930000000001</v>
      </c>
      <c r="M18" s="20">
        <f>L18+(G23*G25)-(M17*$L$20)*(1-$L$21)</f>
        <v>51.344803072000119</v>
      </c>
      <c r="N18" s="20">
        <f>M18+(H23*H25)-(N17*$L$20)*(1-$L$21)</f>
        <v>1550.9431083503998</v>
      </c>
      <c r="O18" s="20">
        <f>N18+(I23*I25)-(O17*$L$20)*(1-$L$21)</f>
        <v>3197.6578502264178</v>
      </c>
      <c r="P18" s="100"/>
      <c r="Q18" s="5"/>
      <c r="R18" s="5"/>
      <c r="S18" s="5"/>
      <c r="T18" s="5"/>
      <c r="U18" s="5"/>
      <c r="V18" s="5"/>
      <c r="W18" s="95"/>
    </row>
    <row r="19" spans="1:23" ht="15.75" customHeight="1" x14ac:dyDescent="0.5">
      <c r="A19" s="6"/>
      <c r="B19" s="16" t="s">
        <v>33</v>
      </c>
      <c r="C19" s="19">
        <f>C18/C9</f>
        <v>8.2492330645527606E-2</v>
      </c>
      <c r="D19" s="19">
        <f>D18/D9</f>
        <v>6.8244880431868563E-2</v>
      </c>
      <c r="E19" s="19">
        <f>E18/E9</f>
        <v>6.394516985011757E-2</v>
      </c>
      <c r="F19" s="52">
        <f>F18/F9</f>
        <v>6.394516985011757E-2</v>
      </c>
      <c r="G19" s="139">
        <v>0.04</v>
      </c>
      <c r="H19" s="140">
        <v>0.04</v>
      </c>
      <c r="I19" s="156">
        <v>3.7999999999999999E-2</v>
      </c>
      <c r="J19" s="81"/>
      <c r="K19" s="89" t="s">
        <v>34</v>
      </c>
      <c r="L19" s="25">
        <f>L18/E23</f>
        <v>-7.0204725884381673</v>
      </c>
      <c r="M19" s="25">
        <f>M18/G23</f>
        <v>0.28287433308174226</v>
      </c>
      <c r="N19" s="25">
        <f>N18/H23</f>
        <v>8.5446232368859185</v>
      </c>
      <c r="O19" s="25">
        <f>O18/I23</f>
        <v>17.616881898212327</v>
      </c>
      <c r="P19" s="79"/>
      <c r="Q19" s="5"/>
      <c r="R19" s="5"/>
      <c r="S19" s="5"/>
      <c r="T19" s="5"/>
      <c r="U19" s="5"/>
      <c r="V19" s="5"/>
      <c r="W19" s="95"/>
    </row>
    <row r="20" spans="1:23" ht="15.75" customHeight="1" x14ac:dyDescent="0.5">
      <c r="A20" s="6"/>
      <c r="B20" s="21"/>
      <c r="C20" s="19"/>
      <c r="D20" s="19"/>
      <c r="E20" s="19"/>
      <c r="F20" s="52"/>
      <c r="G20" s="147"/>
      <c r="H20" s="148"/>
      <c r="I20" s="162"/>
      <c r="J20" s="81"/>
      <c r="K20" s="89" t="s">
        <v>35</v>
      </c>
      <c r="L20" s="163">
        <v>5.0500000000000003E-2</v>
      </c>
      <c r="M20" s="5"/>
      <c r="N20" s="5"/>
      <c r="O20" s="5"/>
      <c r="P20" s="102" t="s">
        <v>36</v>
      </c>
      <c r="Q20" s="171" t="s">
        <v>37</v>
      </c>
      <c r="R20" s="5"/>
      <c r="S20" s="5"/>
      <c r="T20" s="32" t="s">
        <v>38</v>
      </c>
      <c r="U20" s="5"/>
      <c r="V20" s="5"/>
      <c r="W20" s="95"/>
    </row>
    <row r="21" spans="1:23" ht="15.75" customHeight="1" x14ac:dyDescent="0.5">
      <c r="A21" s="6"/>
      <c r="B21" s="16" t="s">
        <v>39</v>
      </c>
      <c r="C21" s="20">
        <f t="shared" ref="C21:I21" si="2">(C14-C18)*(1-$L$21)</f>
        <v>731.45819999999992</v>
      </c>
      <c r="D21" s="20">
        <f t="shared" si="2"/>
        <v>870.30943999999988</v>
      </c>
      <c r="E21" s="20">
        <f t="shared" si="2"/>
        <v>1162.62444</v>
      </c>
      <c r="F21" s="50">
        <f t="shared" si="2"/>
        <v>1162.62444</v>
      </c>
      <c r="G21" s="51">
        <f t="shared" si="2"/>
        <v>1421.0857926720003</v>
      </c>
      <c r="H21" s="20">
        <f t="shared" si="2"/>
        <v>1595.0462948783997</v>
      </c>
      <c r="I21" s="50">
        <f t="shared" si="2"/>
        <v>1742.1627314760176</v>
      </c>
      <c r="J21" s="81"/>
      <c r="K21" s="89" t="s">
        <v>40</v>
      </c>
      <c r="L21" s="164">
        <v>0.24</v>
      </c>
      <c r="M21" s="5"/>
      <c r="N21" s="5"/>
      <c r="O21" s="5"/>
      <c r="P21" s="102" t="s">
        <v>41</v>
      </c>
      <c r="Q21" s="5"/>
      <c r="R21" s="5"/>
      <c r="S21" s="5"/>
      <c r="T21" s="5"/>
      <c r="U21" s="5"/>
      <c r="V21" s="5"/>
      <c r="W21" s="95"/>
    </row>
    <row r="22" spans="1:23" ht="16.5" customHeight="1" x14ac:dyDescent="0.5">
      <c r="A22" s="6"/>
      <c r="B22" s="21"/>
      <c r="C22" s="19"/>
      <c r="D22" s="19"/>
      <c r="E22" s="19"/>
      <c r="F22" s="52"/>
      <c r="G22" s="56"/>
      <c r="H22" s="57"/>
      <c r="I22" s="77"/>
      <c r="J22" s="81"/>
      <c r="K22" s="91" t="s">
        <v>42</v>
      </c>
      <c r="L22" s="165">
        <v>413.53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112"/>
    </row>
    <row r="23" spans="1:23" ht="15.75" customHeight="1" x14ac:dyDescent="0.5">
      <c r="A23" s="6"/>
      <c r="B23" s="16" t="s">
        <v>43</v>
      </c>
      <c r="C23" s="123">
        <v>184.77099999999999</v>
      </c>
      <c r="D23" s="123">
        <v>183.12100000000001</v>
      </c>
      <c r="E23" s="123">
        <v>181.511</v>
      </c>
      <c r="F23" s="149">
        <v>181.511</v>
      </c>
      <c r="G23" s="55">
        <f>F23</f>
        <v>181.511</v>
      </c>
      <c r="H23" s="22">
        <f>G23</f>
        <v>181.511</v>
      </c>
      <c r="I23" s="54">
        <f>H23</f>
        <v>181.511</v>
      </c>
      <c r="J23" s="21"/>
      <c r="K23" s="166" t="s">
        <v>44</v>
      </c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113"/>
    </row>
    <row r="24" spans="1:23" ht="16.5" customHeight="1" x14ac:dyDescent="0.5">
      <c r="A24" s="6"/>
      <c r="B24" s="21"/>
      <c r="C24" s="19"/>
      <c r="D24" s="19"/>
      <c r="E24" s="19"/>
      <c r="F24" s="52"/>
      <c r="G24" s="56"/>
      <c r="H24" s="57"/>
      <c r="I24" s="77"/>
      <c r="J24" s="21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10"/>
    </row>
    <row r="25" spans="1:23" ht="15.75" customHeight="1" x14ac:dyDescent="0.5">
      <c r="A25" s="6"/>
      <c r="B25" s="16" t="s">
        <v>45</v>
      </c>
      <c r="C25" s="25">
        <f t="shared" ref="C25:I25" si="3">C21/C23</f>
        <v>3.9587283718765387</v>
      </c>
      <c r="D25" s="25">
        <f t="shared" si="3"/>
        <v>4.7526468291457551</v>
      </c>
      <c r="E25" s="25">
        <f t="shared" si="3"/>
        <v>6.4052561001812567</v>
      </c>
      <c r="F25" s="62">
        <f t="shared" si="3"/>
        <v>6.4052561001812567</v>
      </c>
      <c r="G25" s="63">
        <f t="shared" si="3"/>
        <v>7.8291992918996662</v>
      </c>
      <c r="H25" s="25">
        <f t="shared" si="3"/>
        <v>8.7876012741839329</v>
      </c>
      <c r="I25" s="62">
        <f t="shared" si="3"/>
        <v>9.5981110317061642</v>
      </c>
      <c r="J25" s="81"/>
      <c r="K25" s="82" t="s">
        <v>46</v>
      </c>
      <c r="L25" s="83"/>
      <c r="M25" s="83"/>
      <c r="N25" s="93"/>
      <c r="O25" s="93"/>
      <c r="P25" s="93"/>
      <c r="Q25" s="93"/>
      <c r="R25" s="93"/>
      <c r="S25" s="93"/>
      <c r="T25" s="93"/>
      <c r="U25" s="93"/>
      <c r="V25" s="93"/>
      <c r="W25" s="111"/>
    </row>
    <row r="26" spans="1:23" ht="15.75" customHeight="1" x14ac:dyDescent="0.5">
      <c r="A26" s="6"/>
      <c r="B26" s="21"/>
      <c r="C26" s="5"/>
      <c r="D26" s="5"/>
      <c r="E26" s="5"/>
      <c r="F26" s="64"/>
      <c r="G26" s="21"/>
      <c r="H26" s="5"/>
      <c r="I26" s="64"/>
      <c r="J26" s="81"/>
      <c r="K26" s="89" t="s">
        <v>47</v>
      </c>
      <c r="L26" s="32" t="s">
        <v>48</v>
      </c>
      <c r="M26" s="168">
        <v>0.114308846905365</v>
      </c>
      <c r="N26" s="5"/>
      <c r="O26" s="5"/>
      <c r="P26" s="5"/>
      <c r="Q26" s="5"/>
      <c r="R26" s="5"/>
      <c r="S26" s="5"/>
      <c r="T26" s="5"/>
      <c r="U26" s="5"/>
      <c r="V26" s="5"/>
      <c r="W26" s="95"/>
    </row>
    <row r="27" spans="1:23" ht="15.75" customHeight="1" x14ac:dyDescent="0.5">
      <c r="A27" s="6"/>
      <c r="B27" s="16" t="s">
        <v>49</v>
      </c>
      <c r="C27" s="26"/>
      <c r="D27" s="26"/>
      <c r="E27" s="26"/>
      <c r="F27" s="65"/>
      <c r="G27" s="66">
        <f>M35</f>
        <v>26.159844054580894</v>
      </c>
      <c r="H27" s="26">
        <f>G27</f>
        <v>26.159844054580894</v>
      </c>
      <c r="I27" s="65">
        <f>H27</f>
        <v>26.159844054580894</v>
      </c>
      <c r="J27" s="81"/>
      <c r="K27" s="89" t="s">
        <v>50</v>
      </c>
      <c r="L27" s="32" t="s">
        <v>48</v>
      </c>
      <c r="M27" s="168">
        <v>0.188679606152059</v>
      </c>
      <c r="N27" s="5"/>
      <c r="O27" s="5"/>
      <c r="P27" s="5"/>
      <c r="Q27" s="5"/>
      <c r="R27" s="5"/>
      <c r="S27" s="5"/>
      <c r="T27" s="5"/>
      <c r="U27" s="5"/>
      <c r="V27" s="5"/>
      <c r="W27" s="95"/>
    </row>
    <row r="28" spans="1:23" ht="15.75" customHeight="1" x14ac:dyDescent="0.5">
      <c r="A28" s="6"/>
      <c r="B28" s="21"/>
      <c r="C28" s="26"/>
      <c r="D28" s="26"/>
      <c r="E28" s="26"/>
      <c r="F28" s="65"/>
      <c r="G28" s="67"/>
      <c r="H28" s="68"/>
      <c r="I28" s="88"/>
      <c r="J28" s="81"/>
      <c r="K28" s="89" t="s">
        <v>51</v>
      </c>
      <c r="L28" s="32" t="s">
        <v>52</v>
      </c>
      <c r="M28" s="101">
        <f>(H12/E12)^(1/2)-1</f>
        <v>0.20102553041225235</v>
      </c>
      <c r="N28" s="5"/>
      <c r="O28" s="5"/>
      <c r="P28" s="5"/>
      <c r="Q28" s="5"/>
      <c r="R28" s="5"/>
      <c r="S28" s="5"/>
      <c r="T28" s="5"/>
      <c r="U28" s="5"/>
      <c r="V28" s="5"/>
      <c r="W28" s="95"/>
    </row>
    <row r="29" spans="1:23" ht="15.75" customHeight="1" x14ac:dyDescent="0.5">
      <c r="A29" s="6"/>
      <c r="B29" s="16" t="s">
        <v>53</v>
      </c>
      <c r="C29" s="124">
        <v>-6.7506048027017203</v>
      </c>
      <c r="D29" s="124">
        <v>-7.3409221225310004</v>
      </c>
      <c r="E29" s="124">
        <v>-7.0890028703494599</v>
      </c>
      <c r="F29" s="150">
        <v>-7.0890028703494599</v>
      </c>
      <c r="G29" s="63">
        <f>M19</f>
        <v>0.28287433308174226</v>
      </c>
      <c r="H29" s="25">
        <f>N19</f>
        <v>8.5446232368859185</v>
      </c>
      <c r="I29" s="62">
        <f>O19</f>
        <v>17.616881898212327</v>
      </c>
      <c r="J29" s="81"/>
      <c r="K29" s="89" t="s">
        <v>50</v>
      </c>
      <c r="L29" s="32" t="s">
        <v>54</v>
      </c>
      <c r="M29" s="101">
        <f>(I14/E14)^(1/3)-1</f>
        <v>0.10523658368757816</v>
      </c>
      <c r="N29" s="5"/>
      <c r="O29" s="5"/>
      <c r="P29" s="5"/>
      <c r="Q29" s="5"/>
      <c r="R29" s="5"/>
      <c r="S29" s="5"/>
      <c r="T29" s="5"/>
      <c r="U29" s="5"/>
      <c r="V29" s="5"/>
      <c r="W29" s="95"/>
    </row>
    <row r="30" spans="1:23" ht="15.75" customHeight="1" x14ac:dyDescent="0.5">
      <c r="A30" s="6"/>
      <c r="B30" s="21"/>
      <c r="C30" s="25"/>
      <c r="D30" s="25"/>
      <c r="E30" s="25"/>
      <c r="F30" s="62"/>
      <c r="G30" s="63"/>
      <c r="H30" s="25"/>
      <c r="I30" s="62"/>
      <c r="J30" s="81"/>
      <c r="K30" s="89" t="s">
        <v>55</v>
      </c>
      <c r="L30" s="5"/>
      <c r="M30" s="60">
        <v>0.11</v>
      </c>
      <c r="N30" s="102" t="s">
        <v>56</v>
      </c>
      <c r="O30" s="5"/>
      <c r="P30" s="5"/>
      <c r="Q30" s="5"/>
      <c r="R30" s="5"/>
      <c r="S30" s="5"/>
      <c r="T30" s="5"/>
      <c r="U30" s="5"/>
      <c r="V30" s="5"/>
      <c r="W30" s="95"/>
    </row>
    <row r="31" spans="1:23" ht="15.75" customHeight="1" x14ac:dyDescent="0.5">
      <c r="A31" s="6"/>
      <c r="B31" s="16" t="s">
        <v>57</v>
      </c>
      <c r="C31" s="25"/>
      <c r="D31" s="25"/>
      <c r="E31" s="25"/>
      <c r="F31" s="62"/>
      <c r="G31" s="63">
        <f>G25*G27+G29</f>
        <v>205.09350688141217</v>
      </c>
      <c r="H31" s="25">
        <f>H25*H27+H29</f>
        <v>238.42690218337395</v>
      </c>
      <c r="I31" s="62">
        <f>I25*I27+I29</f>
        <v>268.7019697061981</v>
      </c>
      <c r="J31" s="81"/>
      <c r="K31" s="89" t="s">
        <v>58</v>
      </c>
      <c r="L31" s="5"/>
      <c r="M31" s="68">
        <v>8.5</v>
      </c>
      <c r="N31" s="102" t="s">
        <v>59</v>
      </c>
      <c r="O31" s="5"/>
      <c r="P31" s="5"/>
      <c r="Q31" s="5"/>
      <c r="R31" s="5"/>
      <c r="S31" s="5"/>
      <c r="T31" s="5"/>
      <c r="U31" s="5"/>
      <c r="V31" s="5"/>
      <c r="W31" s="95"/>
    </row>
    <row r="32" spans="1:23" ht="15.75" customHeight="1" x14ac:dyDescent="0.5">
      <c r="A32" s="6"/>
      <c r="B32" s="21"/>
      <c r="C32" s="5"/>
      <c r="D32" s="5"/>
      <c r="E32" s="5"/>
      <c r="F32" s="64"/>
      <c r="G32" s="21"/>
      <c r="H32" s="5"/>
      <c r="I32" s="64"/>
      <c r="J32" s="81"/>
      <c r="K32" s="89" t="s">
        <v>60</v>
      </c>
      <c r="L32" s="32" t="s">
        <v>61</v>
      </c>
      <c r="M32" s="169">
        <v>2</v>
      </c>
      <c r="N32" s="102" t="s">
        <v>62</v>
      </c>
      <c r="O32" s="5"/>
      <c r="P32" s="5"/>
      <c r="Q32" s="5"/>
      <c r="R32" s="5"/>
      <c r="S32" s="5"/>
      <c r="T32" s="5"/>
      <c r="U32" s="5"/>
      <c r="V32" s="5"/>
      <c r="W32" s="95"/>
    </row>
    <row r="33" spans="1:23" ht="15.75" customHeight="1" x14ac:dyDescent="0.5">
      <c r="A33" s="6"/>
      <c r="B33" s="28" t="s">
        <v>3</v>
      </c>
      <c r="C33" s="29"/>
      <c r="D33" s="29"/>
      <c r="E33" s="29"/>
      <c r="F33" s="70"/>
      <c r="G33" s="71">
        <f>G31/$L$22-1</f>
        <v>-0.50404201174905761</v>
      </c>
      <c r="H33" s="29">
        <f>H31/$L$22-1</f>
        <v>-0.42343505384524949</v>
      </c>
      <c r="I33" s="70">
        <f>I31/$L$22-1</f>
        <v>-0.35022375714894172</v>
      </c>
      <c r="J33" s="81"/>
      <c r="K33" s="89" t="s">
        <v>63</v>
      </c>
      <c r="L33" s="32" t="s">
        <v>64</v>
      </c>
      <c r="M33" s="170">
        <v>4.3999999999999997E-2</v>
      </c>
      <c r="N33" s="105"/>
      <c r="O33" s="5"/>
      <c r="P33" s="5"/>
      <c r="Q33" s="5"/>
      <c r="R33" s="5"/>
      <c r="S33" s="5"/>
      <c r="T33" s="5"/>
      <c r="U33" s="5"/>
      <c r="V33" s="5"/>
      <c r="W33" s="95"/>
    </row>
    <row r="34" spans="1:23" ht="15.75" customHeight="1" x14ac:dyDescent="0.5">
      <c r="A34" s="6"/>
      <c r="B34" s="21"/>
      <c r="C34" s="5"/>
      <c r="D34" s="5"/>
      <c r="E34" s="5"/>
      <c r="F34" s="64"/>
      <c r="G34" s="21"/>
      <c r="H34" s="5"/>
      <c r="I34" s="64"/>
      <c r="J34" s="81"/>
      <c r="K34" s="89" t="s">
        <v>65</v>
      </c>
      <c r="L34" s="5"/>
      <c r="M34" s="170">
        <v>5.1299999999999998E-2</v>
      </c>
      <c r="N34" s="106" t="s">
        <v>66</v>
      </c>
      <c r="O34" s="5"/>
      <c r="P34" s="5"/>
      <c r="Q34" s="5"/>
      <c r="R34" s="5"/>
      <c r="S34" s="5"/>
      <c r="T34" s="5"/>
      <c r="U34" s="5"/>
      <c r="V34" s="5"/>
      <c r="W34" s="95"/>
    </row>
    <row r="35" spans="1:23" ht="16.5" customHeight="1" x14ac:dyDescent="0.5">
      <c r="A35" s="6"/>
      <c r="B35" s="16" t="s">
        <v>67</v>
      </c>
      <c r="C35" s="5"/>
      <c r="D35" s="5"/>
      <c r="E35" s="5"/>
      <c r="F35" s="64"/>
      <c r="G35" s="51">
        <f>G31*G23</f>
        <v>37226.727527552001</v>
      </c>
      <c r="H35" s="20">
        <f>H31*H23</f>
        <v>43277.10544220639</v>
      </c>
      <c r="I35" s="50">
        <f>I31*I23</f>
        <v>48772.363223341723</v>
      </c>
      <c r="J35" s="81"/>
      <c r="K35" s="91" t="s">
        <v>68</v>
      </c>
      <c r="L35" s="97"/>
      <c r="M35" s="107">
        <f>((M31+M32*M30*100)*M33)/M34</f>
        <v>26.159844054580894</v>
      </c>
      <c r="N35" s="80"/>
      <c r="O35" s="80"/>
      <c r="P35" s="80"/>
      <c r="Q35" s="80"/>
      <c r="R35" s="80"/>
      <c r="S35" s="80"/>
      <c r="T35" s="80"/>
      <c r="U35" s="80"/>
      <c r="V35" s="80"/>
      <c r="W35" s="112"/>
    </row>
    <row r="36" spans="1:23" ht="15.75" customHeight="1" x14ac:dyDescent="0.5">
      <c r="A36" s="6"/>
      <c r="B36" s="16" t="s">
        <v>69</v>
      </c>
      <c r="C36" s="5"/>
      <c r="D36" s="5"/>
      <c r="E36" s="5"/>
      <c r="F36" s="64"/>
      <c r="G36" s="51">
        <f>G35-M16+M17</f>
        <v>37175.382724479998</v>
      </c>
      <c r="H36" s="20">
        <f>H35-N16+N17</f>
        <v>41726.162333855988</v>
      </c>
      <c r="I36" s="50">
        <f>I35-O16+O17</f>
        <v>45574.705373115299</v>
      </c>
      <c r="J36" s="21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113"/>
    </row>
    <row r="37" spans="1:23" ht="15.75" customHeight="1" x14ac:dyDescent="0.5">
      <c r="A37" s="6"/>
      <c r="B37" s="30" t="s">
        <v>70</v>
      </c>
      <c r="C37" s="31"/>
      <c r="D37" s="31"/>
      <c r="E37" s="31"/>
      <c r="F37" s="72"/>
      <c r="G37" s="73">
        <f>G36/G14</f>
        <v>17.471604938271604</v>
      </c>
      <c r="H37" s="74">
        <f>H36/H14</f>
        <v>17.542483660130717</v>
      </c>
      <c r="I37" s="94">
        <f>I36/I14</f>
        <v>17.659433551198251</v>
      </c>
      <c r="J37" s="2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109"/>
    </row>
    <row r="38" spans="1:23" ht="15.75" customHeight="1" x14ac:dyDescent="0.5">
      <c r="A38" s="4"/>
      <c r="B38" s="15"/>
      <c r="C38" s="15"/>
      <c r="D38" s="15"/>
      <c r="E38" s="15"/>
      <c r="F38" s="15"/>
      <c r="G38" s="15"/>
      <c r="H38" s="15"/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109"/>
    </row>
    <row r="39" spans="1:23" ht="15.75" customHeight="1" x14ac:dyDescent="0.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32" t="s">
        <v>71</v>
      </c>
      <c r="O39" s="5"/>
      <c r="P39" s="5"/>
      <c r="Q39" s="5"/>
      <c r="R39" s="5"/>
      <c r="S39" s="5"/>
      <c r="T39" s="5"/>
      <c r="U39" s="5"/>
      <c r="V39" s="5"/>
      <c r="W39" s="109"/>
    </row>
    <row r="40" spans="1:23" ht="15.75" customHeight="1" x14ac:dyDescent="0.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109"/>
    </row>
    <row r="41" spans="1:23" ht="15.75" customHeight="1" x14ac:dyDescent="0.5">
      <c r="A41" s="125" t="s">
        <v>72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109"/>
    </row>
    <row r="42" spans="1:23" ht="15.75" customHeight="1" x14ac:dyDescent="0.5">
      <c r="A42" s="126">
        <v>1</v>
      </c>
      <c r="B42" s="32" t="s">
        <v>73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09"/>
    </row>
    <row r="43" spans="1:23" ht="15.75" customHeight="1" x14ac:dyDescent="0.5">
      <c r="A43" s="4"/>
      <c r="B43" s="32" t="s">
        <v>74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09"/>
    </row>
    <row r="44" spans="1:23" ht="15.75" customHeight="1" x14ac:dyDescent="0.5">
      <c r="A44" s="126">
        <v>2</v>
      </c>
      <c r="B44" s="32" t="s">
        <v>75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109"/>
    </row>
    <row r="45" spans="1:23" ht="15.75" customHeight="1" x14ac:dyDescent="0.5">
      <c r="A45" s="4"/>
      <c r="B45" s="32" t="s">
        <v>76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109"/>
    </row>
    <row r="46" spans="1:23" ht="15.75" customHeight="1" x14ac:dyDescent="0.5">
      <c r="A46" s="4"/>
      <c r="B46" s="32" t="s">
        <v>77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109"/>
    </row>
    <row r="47" spans="1:23" ht="15.75" customHeight="1" x14ac:dyDescent="0.5">
      <c r="A47" s="4"/>
      <c r="B47" s="32" t="s">
        <v>78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109"/>
    </row>
    <row r="48" spans="1:23" ht="15.75" customHeight="1" x14ac:dyDescent="0.5">
      <c r="A48" s="4"/>
      <c r="B48" s="32" t="s">
        <v>79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109"/>
    </row>
    <row r="49" spans="1:23" ht="15.75" customHeight="1" x14ac:dyDescent="0.5">
      <c r="A49" s="126">
        <v>3</v>
      </c>
      <c r="B49" s="85" t="s">
        <v>80</v>
      </c>
      <c r="C49" s="31"/>
      <c r="D49" s="31"/>
      <c r="E49" s="31"/>
      <c r="F49" s="3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109"/>
    </row>
    <row r="50" spans="1:23" ht="15.75" customHeight="1" x14ac:dyDescent="0.5">
      <c r="A50" s="6"/>
      <c r="B50" s="14"/>
      <c r="C50" s="127">
        <f>C5</f>
        <v>44561</v>
      </c>
      <c r="D50" s="127">
        <f>D5</f>
        <v>44926</v>
      </c>
      <c r="E50" s="127">
        <f>E5</f>
        <v>45291</v>
      </c>
      <c r="F50" s="151">
        <f>F5</f>
        <v>45291</v>
      </c>
      <c r="G50" s="2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109"/>
    </row>
    <row r="51" spans="1:23" ht="15.75" customHeight="1" x14ac:dyDescent="0.5">
      <c r="A51" s="6"/>
      <c r="B51" s="16" t="s">
        <v>81</v>
      </c>
      <c r="C51" s="122">
        <v>13.895</v>
      </c>
      <c r="D51" s="122">
        <v>20.86</v>
      </c>
      <c r="E51" s="122">
        <v>29.939</v>
      </c>
      <c r="F51" s="137">
        <v>29.939</v>
      </c>
      <c r="G51" s="2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109"/>
    </row>
    <row r="52" spans="1:23" ht="15.75" customHeight="1" x14ac:dyDescent="0.5">
      <c r="A52" s="6"/>
      <c r="B52" s="30" t="s">
        <v>33</v>
      </c>
      <c r="C52" s="128">
        <f>C51/C7</f>
        <v>3.2534172002395747E-3</v>
      </c>
      <c r="D52" s="128">
        <f>D51/D7</f>
        <v>4.0940059121684609E-3</v>
      </c>
      <c r="E52" s="128">
        <f>E51/E7</f>
        <v>5.0147852330579522E-3</v>
      </c>
      <c r="F52" s="152">
        <f>F51/F7</f>
        <v>5.0147852330579522E-3</v>
      </c>
      <c r="G52" s="2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109"/>
    </row>
    <row r="53" spans="1:23" ht="15.75" customHeight="1" x14ac:dyDescent="0.5">
      <c r="A53" s="126">
        <v>4</v>
      </c>
      <c r="B53" s="129" t="s">
        <v>82</v>
      </c>
      <c r="C53" s="11"/>
      <c r="D53" s="11"/>
      <c r="E53" s="11"/>
      <c r="F53" s="1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109"/>
    </row>
    <row r="54" spans="1:23" ht="15.75" customHeight="1" x14ac:dyDescent="0.5">
      <c r="A54" s="6"/>
      <c r="B54" s="130"/>
      <c r="C54" s="131">
        <f>G5</f>
        <v>2024</v>
      </c>
      <c r="D54" s="132">
        <f>H5</f>
        <v>2025</v>
      </c>
      <c r="E54" s="153">
        <f>I5</f>
        <v>2026</v>
      </c>
      <c r="F54" s="21"/>
      <c r="G54" s="5"/>
      <c r="H54" s="5"/>
      <c r="I54" s="5"/>
      <c r="J54" s="16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109"/>
    </row>
    <row r="55" spans="1:23" ht="15.75" customHeight="1" x14ac:dyDescent="0.5">
      <c r="A55" s="6"/>
      <c r="B55" s="133" t="s">
        <v>81</v>
      </c>
      <c r="C55" s="134">
        <f>C56*G7</f>
        <v>28.218827211281564</v>
      </c>
      <c r="D55" s="135">
        <f>D56*H7</f>
        <v>30.32849797236603</v>
      </c>
      <c r="E55" s="154">
        <f>E56*I7</f>
        <v>32.442847011104199</v>
      </c>
      <c r="F55" s="15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109"/>
    </row>
    <row r="56" spans="1:23" ht="15.75" customHeight="1" x14ac:dyDescent="0.5">
      <c r="A56" s="6"/>
      <c r="B56" s="133" t="s">
        <v>33</v>
      </c>
      <c r="C56" s="49">
        <f>AVERAGE(C52:F52)</f>
        <v>4.3442483946309852E-3</v>
      </c>
      <c r="D56" s="19">
        <f>C56</f>
        <v>4.3442483946309852E-3</v>
      </c>
      <c r="E56" s="52">
        <f>D56</f>
        <v>4.3442483946309852E-3</v>
      </c>
      <c r="F56" s="2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109"/>
    </row>
    <row r="57" spans="1:23" ht="15.75" customHeight="1" x14ac:dyDescent="0.5">
      <c r="A57" s="6"/>
      <c r="B57" s="133" t="s">
        <v>83</v>
      </c>
      <c r="C57" s="134">
        <f>G12-C55</f>
        <v>2483.7173127887181</v>
      </c>
      <c r="D57" s="135">
        <f>H12-D55</f>
        <v>2726.9829520276339</v>
      </c>
      <c r="E57" s="154">
        <f>I12-E55</f>
        <v>2960.5571529888957</v>
      </c>
      <c r="F57" s="2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09"/>
    </row>
    <row r="58" spans="1:23" ht="15.75" customHeight="1" x14ac:dyDescent="0.5">
      <c r="A58" s="6"/>
      <c r="B58" s="172" t="s">
        <v>23</v>
      </c>
      <c r="C58" s="173">
        <f>C57/G7</f>
        <v>0.38236475485012006</v>
      </c>
      <c r="D58" s="128">
        <f>D57/H7</f>
        <v>0.39061252958607734</v>
      </c>
      <c r="E58" s="152">
        <f>E57/I7</f>
        <v>0.39643239863268553</v>
      </c>
      <c r="F58" s="2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109"/>
    </row>
    <row r="59" spans="1:23" ht="15.75" customHeight="1" x14ac:dyDescent="0.5">
      <c r="A59" s="4"/>
      <c r="B59" s="99" t="s">
        <v>84</v>
      </c>
      <c r="C59" s="15"/>
      <c r="D59" s="15"/>
      <c r="E59" s="1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109"/>
    </row>
    <row r="60" spans="1:23" ht="15.75" customHeight="1" x14ac:dyDescent="0.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109"/>
    </row>
    <row r="61" spans="1:23" ht="15.75" customHeight="1" x14ac:dyDescent="0.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109"/>
    </row>
    <row r="62" spans="1:23" ht="15.75" customHeight="1" x14ac:dyDescent="0.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109"/>
    </row>
    <row r="63" spans="1:23" ht="15.75" customHeight="1" x14ac:dyDescent="0.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109"/>
    </row>
    <row r="64" spans="1:23" ht="15.75" customHeight="1" x14ac:dyDescent="0.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109"/>
    </row>
    <row r="65" spans="1:23" ht="15.75" customHeight="1" x14ac:dyDescent="0.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109"/>
    </row>
    <row r="66" spans="1:23" ht="15.75" customHeight="1" x14ac:dyDescent="0.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109"/>
    </row>
    <row r="67" spans="1:23" ht="15.75" customHeight="1" x14ac:dyDescent="0.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109"/>
    </row>
    <row r="68" spans="1:23" ht="15.75" customHeight="1" x14ac:dyDescent="0.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109"/>
    </row>
    <row r="69" spans="1:23" ht="15.75" customHeight="1" x14ac:dyDescent="0.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109"/>
    </row>
    <row r="70" spans="1:23" ht="15.75" customHeight="1" x14ac:dyDescent="0.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109"/>
    </row>
    <row r="71" spans="1:23" ht="15.75" customHeight="1" x14ac:dyDescent="0.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109"/>
    </row>
    <row r="72" spans="1:23" ht="15.75" customHeight="1" x14ac:dyDescent="0.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109"/>
    </row>
    <row r="73" spans="1:23" ht="15.75" customHeight="1" x14ac:dyDescent="0.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109"/>
    </row>
    <row r="74" spans="1:23" ht="15.75" customHeight="1" x14ac:dyDescent="0.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109"/>
    </row>
    <row r="75" spans="1:23" ht="15.75" customHeight="1" x14ac:dyDescent="0.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109"/>
    </row>
    <row r="76" spans="1:23" ht="15.75" customHeight="1" x14ac:dyDescent="0.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109"/>
    </row>
    <row r="77" spans="1:23" ht="15.75" customHeight="1" x14ac:dyDescent="0.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109"/>
    </row>
    <row r="78" spans="1:23" ht="15.75" customHeight="1" x14ac:dyDescent="0.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109"/>
    </row>
    <row r="79" spans="1:23" ht="15.75" customHeight="1" x14ac:dyDescent="0.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109"/>
    </row>
    <row r="80" spans="1:23" ht="15.75" customHeight="1" x14ac:dyDescent="0.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109"/>
    </row>
    <row r="81" spans="1:23" ht="15.75" customHeight="1" x14ac:dyDescent="0.5">
      <c r="A81" s="35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174"/>
      <c r="M81" s="175"/>
      <c r="N81" s="36"/>
      <c r="O81" s="36"/>
      <c r="P81" s="36"/>
      <c r="Q81" s="36"/>
      <c r="R81" s="36"/>
      <c r="S81" s="36"/>
      <c r="T81" s="36"/>
      <c r="U81" s="36"/>
      <c r="V81" s="36"/>
      <c r="W81" s="176"/>
    </row>
  </sheetData>
  <mergeCells count="1">
    <mergeCell ref="G4:I4"/>
  </mergeCells>
  <phoneticPr fontId="17" type="noConversion"/>
  <conditionalFormatting sqref="G25:I25">
    <cfRule type="cellIs" dxfId="0" priority="1" stopIfTrue="1" operator="lessThan">
      <formula>0</formula>
    </cfRule>
  </conditionalFormatting>
  <hyperlinks>
    <hyperlink ref="N34" r:id="rId1" xr:uid="{00000000-0004-0000-0200-00000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5"/>
  <sheetViews>
    <sheetView showGridLines="0" topLeftCell="A28" zoomScale="110" zoomScaleNormal="110" workbookViewId="0">
      <selection activeCell="G10" sqref="G10:I19"/>
    </sheetView>
  </sheetViews>
  <sheetFormatPr defaultColWidth="10.8125" defaultRowHeight="15.75" customHeight="1" x14ac:dyDescent="0.5"/>
  <cols>
    <col min="1" max="1" width="10.8125" style="1" customWidth="1"/>
    <col min="2" max="2" width="25.5" style="1" customWidth="1"/>
    <col min="3" max="6" width="10.8125" style="1" customWidth="1"/>
    <col min="7" max="9" width="11.3125" style="1" customWidth="1"/>
    <col min="10" max="10" width="10.8125" style="1" customWidth="1"/>
    <col min="11" max="11" width="17.5" style="1" customWidth="1"/>
    <col min="12" max="12" width="10.8125" style="1" customWidth="1"/>
    <col min="13" max="13" width="12" style="1" customWidth="1"/>
    <col min="14" max="24" width="10.8125" style="1" customWidth="1"/>
    <col min="25" max="16384" width="10.8125" style="1"/>
  </cols>
  <sheetData>
    <row r="1" spans="1:23" ht="15.3" customHeight="1" x14ac:dyDescent="0.5">
      <c r="A1" s="114"/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09"/>
    </row>
    <row r="2" spans="1:23" ht="15.3" customHeight="1" x14ac:dyDescent="0.5">
      <c r="A2" s="114"/>
      <c r="B2" s="11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09"/>
    </row>
    <row r="3" spans="1:23" ht="15.3" customHeight="1" x14ac:dyDescent="0.5">
      <c r="A3" s="6"/>
      <c r="B3" s="7" t="s">
        <v>85</v>
      </c>
      <c r="C3" s="8"/>
      <c r="D3" s="9"/>
      <c r="E3" s="37"/>
      <c r="F3" s="38"/>
      <c r="G3" s="39"/>
      <c r="H3" s="39"/>
      <c r="I3" s="75"/>
      <c r="J3" s="2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9"/>
    </row>
    <row r="4" spans="1:23" ht="15.3" customHeight="1" x14ac:dyDescent="0.5">
      <c r="A4" s="6"/>
      <c r="B4" s="10"/>
      <c r="C4" s="11"/>
      <c r="D4" s="11"/>
      <c r="E4" s="11"/>
      <c r="F4" s="40" t="s">
        <v>13</v>
      </c>
      <c r="G4" s="41"/>
      <c r="H4" s="31"/>
      <c r="I4" s="72"/>
      <c r="J4" s="2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9"/>
    </row>
    <row r="5" spans="1:23" ht="15.3" customHeight="1" x14ac:dyDescent="0.5">
      <c r="A5" s="6"/>
      <c r="B5" s="12" t="s">
        <v>15</v>
      </c>
      <c r="C5" s="13">
        <f>'Base Case'!C5</f>
        <v>44561</v>
      </c>
      <c r="D5" s="13">
        <f>'Base Case'!D5</f>
        <v>44926</v>
      </c>
      <c r="E5" s="13">
        <f>'Base Case'!E5</f>
        <v>45291</v>
      </c>
      <c r="F5" s="42">
        <f>'Base Case'!F5</f>
        <v>45291</v>
      </c>
      <c r="G5" s="43">
        <f>'Base Case'!G5</f>
        <v>2024</v>
      </c>
      <c r="H5" s="44">
        <f>'Bull case'!H5</f>
        <v>2025</v>
      </c>
      <c r="I5" s="76">
        <f>'Bull case'!I5</f>
        <v>2026</v>
      </c>
      <c r="J5" s="2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9"/>
    </row>
    <row r="6" spans="1:23" ht="15.3" customHeight="1" x14ac:dyDescent="0.5">
      <c r="A6" s="6"/>
      <c r="B6" s="14"/>
      <c r="C6" s="15"/>
      <c r="D6" s="15"/>
      <c r="E6" s="15"/>
      <c r="F6" s="45"/>
      <c r="G6" s="14"/>
      <c r="H6" s="15"/>
      <c r="I6" s="45"/>
      <c r="J6" s="2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9"/>
    </row>
    <row r="7" spans="1:23" ht="15.3" customHeight="1" x14ac:dyDescent="0.5">
      <c r="A7" s="6"/>
      <c r="B7" s="16" t="s">
        <v>16</v>
      </c>
      <c r="C7" s="17">
        <f>'Base Case'!C7</f>
        <v>4270.8940000000002</v>
      </c>
      <c r="D7" s="17">
        <f>'Base Case'!D7</f>
        <v>5095.2539999999999</v>
      </c>
      <c r="E7" s="17">
        <f>'Base Case'!E7</f>
        <v>5970.1459999999997</v>
      </c>
      <c r="F7" s="46">
        <f>'Base Case'!F7</f>
        <v>5970.1459999999997</v>
      </c>
      <c r="G7" s="47">
        <f>'Base Case'!G7</f>
        <v>6495.6753500000004</v>
      </c>
      <c r="H7" s="17">
        <f>'Base Case'!H7</f>
        <v>6981.2992299999996</v>
      </c>
      <c r="I7" s="46">
        <f>'Base Case'!I7</f>
        <v>7468</v>
      </c>
      <c r="J7" s="2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09"/>
    </row>
    <row r="8" spans="1:23" ht="15.3" customHeight="1" x14ac:dyDescent="0.5">
      <c r="A8" s="6"/>
      <c r="B8" s="16" t="s">
        <v>17</v>
      </c>
      <c r="C8" s="18">
        <f>'Base Case'!C8</f>
        <v>0.23400000000000001</v>
      </c>
      <c r="D8" s="19">
        <f>D7/C7-1</f>
        <v>0.19301813624969366</v>
      </c>
      <c r="E8" s="19">
        <f>E7/D7-1</f>
        <v>0.17170723971758806</v>
      </c>
      <c r="F8" s="48">
        <f>'Base Case'!F8</f>
        <v>0.17199999999999999</v>
      </c>
      <c r="G8" s="49">
        <f>G7/E7-1</f>
        <v>8.8026214099286904E-2</v>
      </c>
      <c r="H8" s="19">
        <f>H7/G7-1</f>
        <v>7.4761107018687323E-2</v>
      </c>
      <c r="I8" s="52">
        <f>I7/H7-1</f>
        <v>6.9714927546516314E-2</v>
      </c>
      <c r="J8" s="2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9"/>
    </row>
    <row r="9" spans="1:23" ht="15.3" customHeight="1" x14ac:dyDescent="0.5">
      <c r="A9" s="6"/>
      <c r="B9" s="16" t="s">
        <v>18</v>
      </c>
      <c r="C9" s="20">
        <f t="shared" ref="C9:F10" si="0">C7</f>
        <v>4270.8940000000002</v>
      </c>
      <c r="D9" s="20">
        <f t="shared" si="0"/>
        <v>5095.2539999999999</v>
      </c>
      <c r="E9" s="20">
        <f t="shared" si="0"/>
        <v>5970.1459999999997</v>
      </c>
      <c r="F9" s="50">
        <f t="shared" si="0"/>
        <v>5970.1459999999997</v>
      </c>
      <c r="G9" s="51">
        <f>E9*(1+G10)</f>
        <v>6328.3547600000002</v>
      </c>
      <c r="H9" s="20">
        <f>G9*(1+H10)</f>
        <v>6708.0560456000003</v>
      </c>
      <c r="I9" s="50">
        <f>H9*(1+I10)</f>
        <v>7110.5394083360006</v>
      </c>
      <c r="J9" s="2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9"/>
    </row>
    <row r="10" spans="1:23" ht="15.3" customHeight="1" x14ac:dyDescent="0.5">
      <c r="A10" s="6"/>
      <c r="B10" s="16" t="s">
        <v>17</v>
      </c>
      <c r="C10" s="19">
        <f t="shared" si="0"/>
        <v>0.23400000000000001</v>
      </c>
      <c r="D10" s="19">
        <f t="shared" si="0"/>
        <v>0.19301813624969366</v>
      </c>
      <c r="E10" s="19">
        <f t="shared" si="0"/>
        <v>0.17170723971758806</v>
      </c>
      <c r="F10" s="52">
        <f t="shared" si="0"/>
        <v>0.17199999999999999</v>
      </c>
      <c r="G10" s="139">
        <v>0.06</v>
      </c>
      <c r="H10" s="140">
        <v>0.06</v>
      </c>
      <c r="I10" s="156">
        <v>0.06</v>
      </c>
      <c r="J10" s="2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9"/>
    </row>
    <row r="11" spans="1:23" ht="15.3" customHeight="1" x14ac:dyDescent="0.5">
      <c r="A11" s="6"/>
      <c r="B11" s="21"/>
      <c r="C11" s="22"/>
      <c r="D11" s="22"/>
      <c r="E11" s="22"/>
      <c r="F11" s="54"/>
      <c r="G11" s="141"/>
      <c r="H11" s="142"/>
      <c r="I11" s="157"/>
      <c r="J11" s="2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9"/>
    </row>
    <row r="12" spans="1:23" ht="15.3" customHeight="1" x14ac:dyDescent="0.5">
      <c r="A12" s="6"/>
      <c r="B12" s="16" t="s">
        <v>22</v>
      </c>
      <c r="C12" s="17">
        <f>'Base Case'!C12</f>
        <v>1314.761</v>
      </c>
      <c r="D12" s="17">
        <f>'Base Case'!D12</f>
        <v>1492.8689999999999</v>
      </c>
      <c r="E12" s="17">
        <f>'Base Case'!E12</f>
        <v>1911.5309999999999</v>
      </c>
      <c r="F12" s="46">
        <f>'Base Case'!F12</f>
        <v>1911.5309999999999</v>
      </c>
      <c r="G12" s="219">
        <f>'Base Case'!G12</f>
        <v>2511.9361399999998</v>
      </c>
      <c r="H12" s="220">
        <f>'Base Case'!H12</f>
        <v>2757.3114500000001</v>
      </c>
      <c r="I12" s="221">
        <f>'Base Case'!I12</f>
        <v>2993</v>
      </c>
      <c r="J12" s="2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09"/>
    </row>
    <row r="13" spans="1:23" ht="15.3" customHeight="1" x14ac:dyDescent="0.5">
      <c r="A13" s="6"/>
      <c r="B13" s="16" t="s">
        <v>23</v>
      </c>
      <c r="C13" s="19">
        <f t="shared" ref="C13:I13" si="1">C12/C7</f>
        <v>0.30784210518921795</v>
      </c>
      <c r="D13" s="19">
        <f t="shared" si="1"/>
        <v>0.29299206673504402</v>
      </c>
      <c r="E13" s="19">
        <f t="shared" si="1"/>
        <v>0.32018161699898129</v>
      </c>
      <c r="F13" s="52">
        <f t="shared" si="1"/>
        <v>0.32018161699898129</v>
      </c>
      <c r="G13" s="116">
        <f t="shared" si="1"/>
        <v>0.3867090032447511</v>
      </c>
      <c r="H13" s="117">
        <f t="shared" si="1"/>
        <v>0.39495677798070838</v>
      </c>
      <c r="I13" s="118">
        <f t="shared" si="1"/>
        <v>0.40077664702731652</v>
      </c>
      <c r="J13" s="2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109"/>
    </row>
    <row r="14" spans="1:23" ht="15.3" customHeight="1" x14ac:dyDescent="0.5">
      <c r="A14" s="6"/>
      <c r="B14" s="16" t="s">
        <v>25</v>
      </c>
      <c r="C14" s="20">
        <f>C12</f>
        <v>1314.761</v>
      </c>
      <c r="D14" s="20">
        <f>D12</f>
        <v>1492.8689999999999</v>
      </c>
      <c r="E14" s="20">
        <f>E12</f>
        <v>1911.5309999999999</v>
      </c>
      <c r="F14" s="50">
        <f>F12</f>
        <v>1911.5309999999999</v>
      </c>
      <c r="G14" s="145">
        <f>G15*G9</f>
        <v>1961.7899755999999</v>
      </c>
      <c r="H14" s="146">
        <f>H15*H9</f>
        <v>2146.577934592</v>
      </c>
      <c r="I14" s="160">
        <f>I15*I9</f>
        <v>2275.3726106675203</v>
      </c>
      <c r="J14" s="2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09"/>
    </row>
    <row r="15" spans="1:23" ht="15.3" customHeight="1" x14ac:dyDescent="0.5">
      <c r="A15" s="6"/>
      <c r="B15" s="16" t="s">
        <v>23</v>
      </c>
      <c r="C15" s="19">
        <f>C14/C7</f>
        <v>0.30784210518921795</v>
      </c>
      <c r="D15" s="19">
        <f>D14/D7</f>
        <v>0.29299206673504402</v>
      </c>
      <c r="E15" s="19">
        <f>E14/E7</f>
        <v>0.32018161699898129</v>
      </c>
      <c r="F15" s="52">
        <f>F14/F7</f>
        <v>0.32018161699898129</v>
      </c>
      <c r="G15" s="139">
        <v>0.31</v>
      </c>
      <c r="H15" s="140">
        <v>0.32</v>
      </c>
      <c r="I15" s="156">
        <v>0.32</v>
      </c>
      <c r="J15" s="2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109"/>
    </row>
    <row r="16" spans="1:23" ht="15.3" customHeight="1" x14ac:dyDescent="0.5">
      <c r="A16" s="6"/>
      <c r="B16" s="16" t="s">
        <v>17</v>
      </c>
      <c r="C16" s="18">
        <f>'Base Case'!C16</f>
        <v>0.91109167759801801</v>
      </c>
      <c r="D16" s="18">
        <f>'Base Case'!D16</f>
        <v>0.57039353264185499</v>
      </c>
      <c r="E16" s="18">
        <f>'Base Case'!E16</f>
        <v>-0.367733475790394</v>
      </c>
      <c r="F16" s="48">
        <f>'Base Case'!F16</f>
        <v>-0.367733475790394</v>
      </c>
      <c r="G16" s="116">
        <f>G14/E14-1</f>
        <v>2.6292524473837897E-2</v>
      </c>
      <c r="H16" s="117">
        <f>H14/G14-1</f>
        <v>9.4193548387096815E-2</v>
      </c>
      <c r="I16" s="118">
        <f>I14/H14-1</f>
        <v>6.0000000000000053E-2</v>
      </c>
      <c r="J16" s="2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09"/>
    </row>
    <row r="17" spans="1:23" ht="15.3" customHeight="1" x14ac:dyDescent="0.5">
      <c r="A17" s="6"/>
      <c r="B17" s="21"/>
      <c r="C17" s="19"/>
      <c r="D17" s="19"/>
      <c r="E17" s="19"/>
      <c r="F17" s="52"/>
      <c r="G17" s="147"/>
      <c r="H17" s="148"/>
      <c r="I17" s="162"/>
      <c r="J17" s="2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109"/>
    </row>
    <row r="18" spans="1:23" ht="15.3" customHeight="1" x14ac:dyDescent="0.5">
      <c r="A18" s="6"/>
      <c r="B18" s="16" t="s">
        <v>31</v>
      </c>
      <c r="C18" s="17">
        <f>'Base Case'!C18</f>
        <v>352.31599999999997</v>
      </c>
      <c r="D18" s="17">
        <f>'Base Case'!D18</f>
        <v>347.72500000000002</v>
      </c>
      <c r="E18" s="17">
        <f>'Base Case'!E18</f>
        <v>381.762</v>
      </c>
      <c r="F18" s="46">
        <f>'Base Case'!F18</f>
        <v>381.762</v>
      </c>
      <c r="G18" s="145">
        <f>G19*G9</f>
        <v>405.01470464000005</v>
      </c>
      <c r="H18" s="146">
        <f>H19*H9</f>
        <v>429.31558691840002</v>
      </c>
      <c r="I18" s="160">
        <f>I19*I9</f>
        <v>455.07452213350405</v>
      </c>
      <c r="J18" s="2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9"/>
    </row>
    <row r="19" spans="1:23" ht="15.3" customHeight="1" x14ac:dyDescent="0.5">
      <c r="A19" s="6"/>
      <c r="B19" s="16" t="s">
        <v>33</v>
      </c>
      <c r="C19" s="19">
        <f>C18/C9</f>
        <v>8.2492330645527606E-2</v>
      </c>
      <c r="D19" s="19">
        <f>D18/D9</f>
        <v>6.8244880431868563E-2</v>
      </c>
      <c r="E19" s="19">
        <f>E18/E9</f>
        <v>6.394516985011757E-2</v>
      </c>
      <c r="F19" s="52">
        <f>F18/F9</f>
        <v>6.394516985011757E-2</v>
      </c>
      <c r="G19" s="139">
        <v>6.4000000000000001E-2</v>
      </c>
      <c r="H19" s="140">
        <v>6.4000000000000001E-2</v>
      </c>
      <c r="I19" s="156">
        <v>6.4000000000000001E-2</v>
      </c>
      <c r="J19" s="2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09"/>
    </row>
    <row r="20" spans="1:23" ht="15.3" customHeight="1" x14ac:dyDescent="0.5">
      <c r="A20" s="6"/>
      <c r="B20" s="21"/>
      <c r="C20" s="19"/>
      <c r="D20" s="19"/>
      <c r="E20" s="19"/>
      <c r="F20" s="52"/>
      <c r="G20" s="56"/>
      <c r="H20" s="57"/>
      <c r="I20" s="77"/>
      <c r="J20" s="2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109"/>
    </row>
    <row r="21" spans="1:23" ht="15.3" customHeight="1" x14ac:dyDescent="0.5">
      <c r="A21" s="6"/>
      <c r="B21" s="16" t="s">
        <v>39</v>
      </c>
      <c r="C21" s="20">
        <f t="shared" ref="C21:I21" si="2">(C14-C18)*(1-$L$33)</f>
        <v>731.45819999999992</v>
      </c>
      <c r="D21" s="20">
        <f t="shared" si="2"/>
        <v>870.30943999999988</v>
      </c>
      <c r="E21" s="20">
        <f t="shared" si="2"/>
        <v>1162.62444</v>
      </c>
      <c r="F21" s="50">
        <f t="shared" si="2"/>
        <v>1162.62444</v>
      </c>
      <c r="G21" s="51">
        <f t="shared" si="2"/>
        <v>1183.1492059295999</v>
      </c>
      <c r="H21" s="20">
        <f t="shared" si="2"/>
        <v>1305.119384231936</v>
      </c>
      <c r="I21" s="50">
        <f t="shared" si="2"/>
        <v>1383.4265472858524</v>
      </c>
      <c r="J21" s="2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09"/>
    </row>
    <row r="22" spans="1:23" ht="15.3" customHeight="1" x14ac:dyDescent="0.5">
      <c r="A22" s="6"/>
      <c r="B22" s="21"/>
      <c r="C22" s="19"/>
      <c r="D22" s="19"/>
      <c r="E22" s="19"/>
      <c r="F22" s="52"/>
      <c r="G22" s="56"/>
      <c r="H22" s="57"/>
      <c r="I22" s="77"/>
      <c r="J22" s="2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09"/>
    </row>
    <row r="23" spans="1:23" ht="15.3" customHeight="1" x14ac:dyDescent="0.5">
      <c r="A23" s="6"/>
      <c r="B23" s="16" t="s">
        <v>43</v>
      </c>
      <c r="C23" s="24">
        <f>'Base Case'!C23</f>
        <v>184.77099999999999</v>
      </c>
      <c r="D23" s="24">
        <f>'Base Case'!D23</f>
        <v>183.12100000000001</v>
      </c>
      <c r="E23" s="24">
        <f>'Base Case'!E23</f>
        <v>181.511</v>
      </c>
      <c r="F23" s="61">
        <f>'Base Case'!F23</f>
        <v>181.511</v>
      </c>
      <c r="G23" s="55">
        <f>F23</f>
        <v>181.511</v>
      </c>
      <c r="H23" s="22">
        <f>G23</f>
        <v>181.511</v>
      </c>
      <c r="I23" s="54">
        <f>H23</f>
        <v>181.511</v>
      </c>
      <c r="J23" s="21"/>
      <c r="K23" s="7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109"/>
    </row>
    <row r="24" spans="1:23" ht="16.5" customHeight="1" x14ac:dyDescent="0.5">
      <c r="A24" s="6"/>
      <c r="B24" s="21"/>
      <c r="C24" s="19"/>
      <c r="D24" s="19"/>
      <c r="E24" s="19"/>
      <c r="F24" s="52"/>
      <c r="G24" s="56"/>
      <c r="H24" s="57"/>
      <c r="I24" s="77"/>
      <c r="J24" s="21"/>
      <c r="K24" s="80"/>
      <c r="L24" s="80"/>
      <c r="M24" s="80"/>
      <c r="N24" s="80"/>
      <c r="O24" s="80"/>
      <c r="P24" s="80"/>
      <c r="Q24" s="5"/>
      <c r="R24" s="5"/>
      <c r="S24" s="5"/>
      <c r="T24" s="5"/>
      <c r="U24" s="5"/>
      <c r="V24" s="5"/>
      <c r="W24" s="109"/>
    </row>
    <row r="25" spans="1:23" ht="15.75" customHeight="1" x14ac:dyDescent="0.5">
      <c r="A25" s="6"/>
      <c r="B25" s="16" t="s">
        <v>45</v>
      </c>
      <c r="C25" s="25">
        <f t="shared" ref="C25:I25" si="3">C21/C23</f>
        <v>3.9587283718765387</v>
      </c>
      <c r="D25" s="25">
        <f t="shared" si="3"/>
        <v>4.7526468291457551</v>
      </c>
      <c r="E25" s="25">
        <f t="shared" si="3"/>
        <v>6.4052561001812567</v>
      </c>
      <c r="F25" s="62">
        <f t="shared" si="3"/>
        <v>6.4052561001812567</v>
      </c>
      <c r="G25" s="63">
        <f t="shared" si="3"/>
        <v>6.5183333568191459</v>
      </c>
      <c r="H25" s="25">
        <f t="shared" si="3"/>
        <v>7.1903046329530227</v>
      </c>
      <c r="I25" s="62">
        <f t="shared" si="3"/>
        <v>7.6217229109302052</v>
      </c>
      <c r="J25" s="81"/>
      <c r="K25" s="82" t="s">
        <v>24</v>
      </c>
      <c r="L25" s="83"/>
      <c r="M25" s="83"/>
      <c r="N25" s="83"/>
      <c r="O25" s="83"/>
      <c r="P25" s="83"/>
      <c r="Q25" s="5"/>
      <c r="R25" s="5"/>
      <c r="S25" s="5"/>
      <c r="T25" s="5"/>
      <c r="U25" s="5"/>
      <c r="V25" s="5"/>
      <c r="W25" s="109"/>
    </row>
    <row r="26" spans="1:23" ht="15.3" customHeight="1" x14ac:dyDescent="0.5">
      <c r="A26" s="6"/>
      <c r="B26" s="21"/>
      <c r="C26" s="5"/>
      <c r="D26" s="5"/>
      <c r="E26" s="5"/>
      <c r="F26" s="64"/>
      <c r="G26" s="21"/>
      <c r="H26" s="5"/>
      <c r="I26" s="64"/>
      <c r="J26" s="81"/>
      <c r="K26" s="84"/>
      <c r="L26" s="85" t="s">
        <v>26</v>
      </c>
      <c r="M26" s="98" t="s">
        <v>27</v>
      </c>
      <c r="N26" s="31"/>
      <c r="O26" s="31"/>
      <c r="P26" s="31"/>
      <c r="Q26" s="5"/>
      <c r="R26" s="5"/>
      <c r="S26" s="5"/>
      <c r="T26" s="5"/>
      <c r="U26" s="5"/>
      <c r="V26" s="5"/>
      <c r="W26" s="109"/>
    </row>
    <row r="27" spans="1:23" ht="15.3" customHeight="1" x14ac:dyDescent="0.5">
      <c r="A27" s="6"/>
      <c r="B27" s="16" t="s">
        <v>49</v>
      </c>
      <c r="C27" s="26"/>
      <c r="D27" s="26"/>
      <c r="E27" s="26"/>
      <c r="F27" s="65"/>
      <c r="G27" s="66">
        <f>M55</f>
        <v>12.436647173489279</v>
      </c>
      <c r="H27" s="26">
        <f>G27</f>
        <v>12.436647173489279</v>
      </c>
      <c r="I27" s="65">
        <f>H27</f>
        <v>12.436647173489279</v>
      </c>
      <c r="J27" s="81"/>
      <c r="K27" s="86" t="s">
        <v>15</v>
      </c>
      <c r="L27" s="87">
        <v>2021</v>
      </c>
      <c r="M27" s="87">
        <v>2022</v>
      </c>
      <c r="N27" s="87">
        <v>2023</v>
      </c>
      <c r="O27" s="87">
        <v>2024</v>
      </c>
      <c r="P27" s="99" t="s">
        <v>28</v>
      </c>
      <c r="Q27" s="5"/>
      <c r="R27" s="5"/>
      <c r="S27" s="5"/>
      <c r="T27" s="5"/>
      <c r="U27" s="5"/>
      <c r="V27" s="5"/>
      <c r="W27" s="109"/>
    </row>
    <row r="28" spans="1:23" ht="15.3" customHeight="1" x14ac:dyDescent="0.5">
      <c r="A28" s="6"/>
      <c r="B28" s="21"/>
      <c r="C28" s="26"/>
      <c r="D28" s="26"/>
      <c r="E28" s="26"/>
      <c r="F28" s="65"/>
      <c r="G28" s="67"/>
      <c r="H28" s="68"/>
      <c r="I28" s="88"/>
      <c r="J28" s="81"/>
      <c r="K28" s="89" t="s">
        <v>29</v>
      </c>
      <c r="L28" s="17">
        <f>'Base Case'!L16</f>
        <v>1212.627</v>
      </c>
      <c r="M28" s="20">
        <f>M29+M30</f>
        <v>2300.3282163295999</v>
      </c>
      <c r="N28" s="20">
        <f>N29+N30</f>
        <v>3509.9996109615358</v>
      </c>
      <c r="O28" s="20">
        <f>O29+O30</f>
        <v>4797.9781686473889</v>
      </c>
      <c r="P28" s="79"/>
      <c r="Q28" s="5"/>
      <c r="R28" s="5"/>
      <c r="S28" s="5"/>
      <c r="T28" s="5"/>
      <c r="U28" s="5"/>
      <c r="V28" s="5"/>
      <c r="W28" s="109"/>
    </row>
    <row r="29" spans="1:23" ht="15.3" customHeight="1" x14ac:dyDescent="0.5">
      <c r="A29" s="6"/>
      <c r="B29" s="16" t="s">
        <v>53</v>
      </c>
      <c r="C29" s="27">
        <f>'Base Case'!C29</f>
        <v>-6.7506048027017203</v>
      </c>
      <c r="D29" s="27">
        <f>'Base Case'!D29</f>
        <v>-7.3409221225310004</v>
      </c>
      <c r="E29" s="27">
        <f>'Base Case'!E29</f>
        <v>-7.0890028703494599</v>
      </c>
      <c r="F29" s="69">
        <f>'Base Case'!F29</f>
        <v>-7.0890028703494599</v>
      </c>
      <c r="G29" s="63">
        <f>M31</f>
        <v>-1.0279916019987783</v>
      </c>
      <c r="H29" s="25">
        <f>N31</f>
        <v>5.6364606605744871</v>
      </c>
      <c r="I29" s="62">
        <f>O31</f>
        <v>12.732331201124937</v>
      </c>
      <c r="J29" s="81"/>
      <c r="K29" s="89" t="s">
        <v>30</v>
      </c>
      <c r="L29" s="17">
        <f>'Base Case'!L17</f>
        <v>2486.92</v>
      </c>
      <c r="M29" s="20">
        <f>L29</f>
        <v>2486.92</v>
      </c>
      <c r="N29" s="20">
        <f>M29</f>
        <v>2486.92</v>
      </c>
      <c r="O29" s="20">
        <f>N29</f>
        <v>2486.92</v>
      </c>
      <c r="P29" s="79"/>
      <c r="Q29" s="5"/>
      <c r="R29" s="5"/>
      <c r="S29" s="5"/>
      <c r="T29" s="5"/>
      <c r="U29" s="5"/>
      <c r="V29" s="5"/>
      <c r="W29" s="109"/>
    </row>
    <row r="30" spans="1:23" ht="15.3" customHeight="1" x14ac:dyDescent="0.5">
      <c r="A30" s="6"/>
      <c r="B30" s="21"/>
      <c r="C30" s="5"/>
      <c r="D30" s="5"/>
      <c r="E30" s="5"/>
      <c r="F30" s="64"/>
      <c r="G30" s="21"/>
      <c r="H30" s="5"/>
      <c r="I30" s="64"/>
      <c r="J30" s="81"/>
      <c r="K30" s="89" t="s">
        <v>32</v>
      </c>
      <c r="L30" s="20">
        <f>L28-L29</f>
        <v>-1274.2930000000001</v>
      </c>
      <c r="M30" s="20">
        <f>L30+(G23*G25)-(M29*$L$32)*(1-$L$33)</f>
        <v>-186.59178367040022</v>
      </c>
      <c r="N30" s="20">
        <f>M30+(H23*H25)-(N29*$L$32)*(1-$L$33)</f>
        <v>1023.0796109615358</v>
      </c>
      <c r="O30" s="20">
        <f>N30+(I23*I25)-(O29*$L$32)*(1-$L$33)</f>
        <v>2311.0581686473884</v>
      </c>
      <c r="P30" s="100"/>
      <c r="Q30" s="5"/>
      <c r="R30" s="5"/>
      <c r="S30" s="5"/>
      <c r="T30" s="5"/>
      <c r="U30" s="5"/>
      <c r="V30" s="5"/>
      <c r="W30" s="109"/>
    </row>
    <row r="31" spans="1:23" ht="15.3" customHeight="1" x14ac:dyDescent="0.5">
      <c r="A31" s="6"/>
      <c r="B31" s="16" t="s">
        <v>57</v>
      </c>
      <c r="C31" s="5"/>
      <c r="D31" s="5"/>
      <c r="E31" s="5"/>
      <c r="F31" s="64"/>
      <c r="G31" s="63">
        <f>G25*G27+G29</f>
        <v>80.038220515946932</v>
      </c>
      <c r="H31" s="25">
        <f>H25*H27+H29</f>
        <v>95.059742450516566</v>
      </c>
      <c r="I31" s="62">
        <f>I25*I27+I29</f>
        <v>107.52100989846355</v>
      </c>
      <c r="J31" s="81"/>
      <c r="K31" s="89" t="s">
        <v>34</v>
      </c>
      <c r="L31" s="25">
        <f>L30/E23</f>
        <v>-7.0204725884381673</v>
      </c>
      <c r="M31" s="25">
        <f>M30/G23</f>
        <v>-1.0279916019987783</v>
      </c>
      <c r="N31" s="25">
        <f>N30/H23</f>
        <v>5.6364606605744871</v>
      </c>
      <c r="O31" s="25">
        <f>O30/I23</f>
        <v>12.732331201124937</v>
      </c>
      <c r="P31" s="79"/>
      <c r="Q31" s="5"/>
      <c r="R31" s="5"/>
      <c r="S31" s="5"/>
      <c r="T31" s="5"/>
      <c r="U31" s="5"/>
      <c r="V31" s="5"/>
      <c r="W31" s="109"/>
    </row>
    <row r="32" spans="1:23" ht="15.3" customHeight="1" x14ac:dyDescent="0.5">
      <c r="A32" s="6"/>
      <c r="B32" s="21"/>
      <c r="C32" s="5"/>
      <c r="D32" s="5"/>
      <c r="E32" s="5"/>
      <c r="F32" s="64"/>
      <c r="G32" s="21"/>
      <c r="H32" s="5"/>
      <c r="I32" s="64"/>
      <c r="J32" s="81"/>
      <c r="K32" s="89" t="s">
        <v>35</v>
      </c>
      <c r="L32" s="90">
        <f>'Base Case'!L20</f>
        <v>5.0500000000000003E-2</v>
      </c>
      <c r="M32" s="5"/>
      <c r="N32" s="5"/>
      <c r="O32" s="5"/>
      <c r="P32" s="79"/>
      <c r="Q32" s="5"/>
      <c r="R32" s="5"/>
      <c r="S32" s="5"/>
      <c r="T32" s="5"/>
      <c r="U32" s="5"/>
      <c r="V32" s="5"/>
      <c r="W32" s="109"/>
    </row>
    <row r="33" spans="1:23" ht="15.3" customHeight="1" x14ac:dyDescent="0.5">
      <c r="A33" s="6"/>
      <c r="B33" s="28" t="s">
        <v>3</v>
      </c>
      <c r="C33" s="29"/>
      <c r="D33" s="29"/>
      <c r="E33" s="29"/>
      <c r="F33" s="70"/>
      <c r="G33" s="71">
        <f>G31/$L$34-1</f>
        <v>-0.8064512356638045</v>
      </c>
      <c r="H33" s="29">
        <f>H31/$L$34-1</f>
        <v>-0.77012612760738863</v>
      </c>
      <c r="I33" s="70">
        <f>I31/$L$34-1</f>
        <v>-0.73999223780992063</v>
      </c>
      <c r="J33" s="81"/>
      <c r="K33" s="89" t="s">
        <v>40</v>
      </c>
      <c r="L33" s="90">
        <f>'Base Case'!L21</f>
        <v>0.24</v>
      </c>
      <c r="M33" s="5"/>
      <c r="N33" s="5"/>
      <c r="O33" s="5"/>
      <c r="P33" s="79"/>
      <c r="Q33" s="5"/>
      <c r="R33" s="5"/>
      <c r="S33" s="5"/>
      <c r="T33" s="5"/>
      <c r="U33" s="5"/>
      <c r="V33" s="5"/>
      <c r="W33" s="109"/>
    </row>
    <row r="34" spans="1:23" ht="16.5" customHeight="1" x14ac:dyDescent="0.5">
      <c r="A34" s="6"/>
      <c r="B34" s="21"/>
      <c r="C34" s="5"/>
      <c r="D34" s="5"/>
      <c r="E34" s="5"/>
      <c r="F34" s="64"/>
      <c r="G34" s="21"/>
      <c r="H34" s="5"/>
      <c r="I34" s="64"/>
      <c r="J34" s="81"/>
      <c r="K34" s="91" t="s">
        <v>42</v>
      </c>
      <c r="L34" s="92">
        <f>'Base Case'!L22</f>
        <v>413.53</v>
      </c>
      <c r="M34" s="80"/>
      <c r="N34" s="80"/>
      <c r="O34" s="80"/>
      <c r="P34" s="80"/>
      <c r="Q34" s="5"/>
      <c r="R34" s="5"/>
      <c r="S34" s="5"/>
      <c r="T34" s="5"/>
      <c r="U34" s="5"/>
      <c r="V34" s="5"/>
      <c r="W34" s="109"/>
    </row>
    <row r="35" spans="1:23" ht="15.75" customHeight="1" x14ac:dyDescent="0.5">
      <c r="A35" s="6"/>
      <c r="B35" s="16" t="s">
        <v>67</v>
      </c>
      <c r="C35" s="5"/>
      <c r="D35" s="5"/>
      <c r="E35" s="5"/>
      <c r="F35" s="64"/>
      <c r="G35" s="51">
        <f>G31*G23</f>
        <v>14527.817444070044</v>
      </c>
      <c r="H35" s="20">
        <f>H31*H23</f>
        <v>17254.388911935712</v>
      </c>
      <c r="I35" s="50">
        <f>I31*I23</f>
        <v>19516.246027680016</v>
      </c>
      <c r="J35" s="21"/>
      <c r="K35" s="93"/>
      <c r="L35" s="93"/>
      <c r="M35" s="93"/>
      <c r="N35" s="93"/>
      <c r="O35" s="93"/>
      <c r="P35" s="93"/>
      <c r="Q35" s="5"/>
      <c r="R35" s="5"/>
      <c r="S35" s="5"/>
      <c r="T35" s="5"/>
      <c r="U35" s="5"/>
      <c r="V35" s="5"/>
      <c r="W35" s="109"/>
    </row>
    <row r="36" spans="1:23" ht="15.3" customHeight="1" x14ac:dyDescent="0.5">
      <c r="A36" s="6"/>
      <c r="B36" s="16" t="s">
        <v>69</v>
      </c>
      <c r="C36" s="5"/>
      <c r="D36" s="5"/>
      <c r="E36" s="5"/>
      <c r="F36" s="64"/>
      <c r="G36" s="51">
        <f>G35-M28+M29</f>
        <v>14714.409227740443</v>
      </c>
      <c r="H36" s="20">
        <f>H35-N28+N29</f>
        <v>16231.309300974177</v>
      </c>
      <c r="I36" s="50">
        <f>I35-O28+O29</f>
        <v>17205.187859032627</v>
      </c>
      <c r="J36" s="2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109"/>
    </row>
    <row r="37" spans="1:23" ht="15.3" customHeight="1" x14ac:dyDescent="0.5">
      <c r="A37" s="6"/>
      <c r="B37" s="30" t="s">
        <v>70</v>
      </c>
      <c r="C37" s="31"/>
      <c r="D37" s="31"/>
      <c r="E37" s="31"/>
      <c r="F37" s="72"/>
      <c r="G37" s="73">
        <f>G36/G14</f>
        <v>7.5005017921146955</v>
      </c>
      <c r="H37" s="74">
        <f>H36/H14</f>
        <v>7.5614814814814828</v>
      </c>
      <c r="I37" s="94">
        <f>I36/I14</f>
        <v>7.561481481481481</v>
      </c>
      <c r="J37" s="2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109"/>
    </row>
    <row r="38" spans="1:23" ht="15.3" customHeight="1" x14ac:dyDescent="0.5">
      <c r="A38" s="4"/>
      <c r="B38" s="15"/>
      <c r="C38" s="15"/>
      <c r="D38" s="15"/>
      <c r="E38" s="15"/>
      <c r="F38" s="15"/>
      <c r="G38" s="15"/>
      <c r="H38" s="15"/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109"/>
    </row>
    <row r="39" spans="1:23" ht="15.3" customHeight="1" x14ac:dyDescent="0.5">
      <c r="A39" s="4"/>
      <c r="B39" s="11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109"/>
    </row>
    <row r="40" spans="1:23" ht="15.3" customHeight="1" x14ac:dyDescent="0.5">
      <c r="A40" s="4"/>
      <c r="B40" s="11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109"/>
    </row>
    <row r="41" spans="1:23" ht="15.3" customHeight="1" x14ac:dyDescent="0.5">
      <c r="A41" s="4"/>
      <c r="B41" s="11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109"/>
    </row>
    <row r="42" spans="1:23" ht="15.3" customHeight="1" x14ac:dyDescent="0.5">
      <c r="A42" s="4"/>
      <c r="B42" s="11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09"/>
    </row>
    <row r="43" spans="1:23" ht="15.3" customHeight="1" x14ac:dyDescent="0.5">
      <c r="A43" s="4"/>
      <c r="B43" s="11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09"/>
    </row>
    <row r="44" spans="1:23" ht="16.5" customHeight="1" x14ac:dyDescent="0.5">
      <c r="A44" s="4"/>
      <c r="B44" s="119"/>
      <c r="C44" s="5"/>
      <c r="D44" s="5"/>
      <c r="E44" s="5"/>
      <c r="F44" s="5"/>
      <c r="G44" s="5"/>
      <c r="H44" s="5"/>
      <c r="I44" s="5"/>
      <c r="J44" s="5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110"/>
    </row>
    <row r="45" spans="1:23" ht="15.75" customHeight="1" x14ac:dyDescent="0.5">
      <c r="A45" s="4"/>
      <c r="B45" s="119"/>
      <c r="C45" s="5"/>
      <c r="D45" s="5"/>
      <c r="E45" s="5"/>
      <c r="F45" s="5"/>
      <c r="G45" s="5"/>
      <c r="H45" s="5"/>
      <c r="I45" s="5"/>
      <c r="J45" s="95"/>
      <c r="K45" s="82" t="s">
        <v>46</v>
      </c>
      <c r="L45" s="83"/>
      <c r="M45" s="83"/>
      <c r="N45" s="93"/>
      <c r="O45" s="93"/>
      <c r="P45" s="93"/>
      <c r="Q45" s="93"/>
      <c r="R45" s="93"/>
      <c r="S45" s="93"/>
      <c r="T45" s="93"/>
      <c r="U45" s="93"/>
      <c r="V45" s="93"/>
      <c r="W45" s="111"/>
    </row>
    <row r="46" spans="1:23" ht="15.3" customHeight="1" x14ac:dyDescent="0.5">
      <c r="A46" s="4"/>
      <c r="B46" s="119"/>
      <c r="C46" s="5"/>
      <c r="D46" s="5"/>
      <c r="E46" s="5"/>
      <c r="F46" s="5"/>
      <c r="G46" s="5"/>
      <c r="H46" s="5"/>
      <c r="I46" s="5"/>
      <c r="J46" s="95"/>
      <c r="K46" s="89" t="s">
        <v>47</v>
      </c>
      <c r="L46" s="32" t="s">
        <v>48</v>
      </c>
      <c r="M46" s="90">
        <f>'Base Case'!M26</f>
        <v>0.114308846905365</v>
      </c>
      <c r="N46" s="5"/>
      <c r="O46" s="5"/>
      <c r="P46" s="5"/>
      <c r="Q46" s="5"/>
      <c r="R46" s="5"/>
      <c r="S46" s="5"/>
      <c r="T46" s="5"/>
      <c r="U46" s="5"/>
      <c r="V46" s="5"/>
      <c r="W46" s="95"/>
    </row>
    <row r="47" spans="1:23" ht="15.3" customHeight="1" x14ac:dyDescent="0.5">
      <c r="A47" s="4"/>
      <c r="B47" s="5"/>
      <c r="C47" s="5"/>
      <c r="D47" s="5"/>
      <c r="E47" s="5"/>
      <c r="F47" s="5"/>
      <c r="G47" s="5"/>
      <c r="H47" s="5"/>
      <c r="I47" s="5"/>
      <c r="J47" s="95"/>
      <c r="K47" s="89" t="s">
        <v>50</v>
      </c>
      <c r="L47" s="32" t="s">
        <v>48</v>
      </c>
      <c r="M47" s="90">
        <f>'Base Case'!M27</f>
        <v>0.188679606152059</v>
      </c>
      <c r="N47" s="5"/>
      <c r="O47" s="5"/>
      <c r="P47" s="5"/>
      <c r="Q47" s="5"/>
      <c r="R47" s="5"/>
      <c r="S47" s="5"/>
      <c r="T47" s="5"/>
      <c r="U47" s="5"/>
      <c r="V47" s="5"/>
      <c r="W47" s="95"/>
    </row>
    <row r="48" spans="1:23" ht="15.3" customHeight="1" x14ac:dyDescent="0.5">
      <c r="A48" s="4"/>
      <c r="B48" s="5"/>
      <c r="C48" s="5"/>
      <c r="D48" s="5"/>
      <c r="E48" s="5"/>
      <c r="F48" s="5"/>
      <c r="G48" s="5"/>
      <c r="H48" s="5"/>
      <c r="I48" s="5"/>
      <c r="J48" s="95"/>
      <c r="K48" s="89" t="s">
        <v>51</v>
      </c>
      <c r="L48" s="32" t="s">
        <v>52</v>
      </c>
      <c r="M48" s="101">
        <f>(H12/E12)^(1/2)-1</f>
        <v>0.20102553041225235</v>
      </c>
      <c r="N48" s="5"/>
      <c r="O48" s="5"/>
      <c r="P48" s="5"/>
      <c r="Q48" s="5"/>
      <c r="R48" s="5"/>
      <c r="S48" s="5"/>
      <c r="T48" s="5"/>
      <c r="U48" s="5"/>
      <c r="V48" s="5"/>
      <c r="W48" s="95"/>
    </row>
    <row r="49" spans="1:23" ht="15.3" customHeight="1" x14ac:dyDescent="0.5">
      <c r="A49" s="4"/>
      <c r="B49" s="5"/>
      <c r="C49" s="5"/>
      <c r="D49" s="5"/>
      <c r="E49" s="5"/>
      <c r="F49" s="5"/>
      <c r="G49" s="5"/>
      <c r="H49" s="5"/>
      <c r="I49" s="5"/>
      <c r="J49" s="95"/>
      <c r="K49" s="89" t="s">
        <v>50</v>
      </c>
      <c r="L49" s="32" t="s">
        <v>54</v>
      </c>
      <c r="M49" s="101">
        <f>(I14/E14)^(1/3)-1</f>
        <v>5.9799540406488605E-2</v>
      </c>
      <c r="N49" s="5"/>
      <c r="O49" s="5"/>
      <c r="P49" s="5"/>
      <c r="Q49" s="5"/>
      <c r="R49" s="5"/>
      <c r="S49" s="5"/>
      <c r="T49" s="5"/>
      <c r="U49" s="5"/>
      <c r="V49" s="5"/>
      <c r="W49" s="95"/>
    </row>
    <row r="50" spans="1:23" ht="15.3" customHeight="1" x14ac:dyDescent="0.5">
      <c r="A50" s="4"/>
      <c r="B50" s="5"/>
      <c r="C50" s="5"/>
      <c r="D50" s="5"/>
      <c r="E50" s="5"/>
      <c r="F50" s="5"/>
      <c r="G50" s="5"/>
      <c r="H50" s="5"/>
      <c r="I50" s="5"/>
      <c r="J50" s="95"/>
      <c r="K50" s="89" t="s">
        <v>55</v>
      </c>
      <c r="L50" s="5"/>
      <c r="M50" s="60">
        <v>0.06</v>
      </c>
      <c r="N50" s="102" t="s">
        <v>56</v>
      </c>
      <c r="O50" s="5"/>
      <c r="P50" s="5"/>
      <c r="Q50" s="5"/>
      <c r="R50" s="5"/>
      <c r="S50" s="5"/>
      <c r="T50" s="5"/>
      <c r="U50" s="5"/>
      <c r="V50" s="5"/>
      <c r="W50" s="95"/>
    </row>
    <row r="51" spans="1:23" ht="15.3" customHeight="1" x14ac:dyDescent="0.5">
      <c r="A51" s="4"/>
      <c r="B51" s="5"/>
      <c r="C51" s="5"/>
      <c r="D51" s="5"/>
      <c r="E51" s="5"/>
      <c r="F51" s="5"/>
      <c r="G51" s="5"/>
      <c r="H51" s="5"/>
      <c r="I51" s="5"/>
      <c r="J51" s="95"/>
      <c r="K51" s="89" t="s">
        <v>58</v>
      </c>
      <c r="L51" s="5"/>
      <c r="M51" s="103">
        <f>'Base Case'!M31</f>
        <v>8.5</v>
      </c>
      <c r="N51" s="5"/>
      <c r="O51" s="5"/>
      <c r="P51" s="5"/>
      <c r="Q51" s="5"/>
      <c r="R51" s="5"/>
      <c r="S51" s="5"/>
      <c r="T51" s="5"/>
      <c r="U51" s="5"/>
      <c r="V51" s="5"/>
      <c r="W51" s="95"/>
    </row>
    <row r="52" spans="1:23" ht="15.3" customHeight="1" x14ac:dyDescent="0.5">
      <c r="A52" s="4"/>
      <c r="B52" s="5"/>
      <c r="C52" s="5"/>
      <c r="D52" s="5"/>
      <c r="E52" s="5"/>
      <c r="F52" s="5"/>
      <c r="G52" s="5"/>
      <c r="H52" s="5"/>
      <c r="I52" s="5"/>
      <c r="J52" s="95"/>
      <c r="K52" s="89" t="s">
        <v>60</v>
      </c>
      <c r="L52" s="32" t="s">
        <v>61</v>
      </c>
      <c r="M52" s="68">
        <v>1</v>
      </c>
      <c r="N52" s="102" t="s">
        <v>62</v>
      </c>
      <c r="O52" s="5"/>
      <c r="P52" s="5"/>
      <c r="Q52" s="5"/>
      <c r="R52" s="5"/>
      <c r="S52" s="5"/>
      <c r="T52" s="5"/>
      <c r="U52" s="5"/>
      <c r="V52" s="5"/>
      <c r="W52" s="95"/>
    </row>
    <row r="53" spans="1:23" ht="15.3" customHeight="1" x14ac:dyDescent="0.5">
      <c r="A53" s="4"/>
      <c r="B53" s="5"/>
      <c r="C53" s="5"/>
      <c r="D53" s="5"/>
      <c r="E53" s="5"/>
      <c r="F53" s="5"/>
      <c r="G53" s="5"/>
      <c r="H53" s="5"/>
      <c r="I53" s="5"/>
      <c r="J53" s="95"/>
      <c r="K53" s="89" t="s">
        <v>63</v>
      </c>
      <c r="L53" s="32" t="s">
        <v>64</v>
      </c>
      <c r="M53" s="104">
        <f>'Base Case'!M33</f>
        <v>4.3999999999999997E-2</v>
      </c>
      <c r="N53" s="105"/>
      <c r="O53" s="5"/>
      <c r="P53" s="5"/>
      <c r="Q53" s="5"/>
      <c r="R53" s="5"/>
      <c r="S53" s="5"/>
      <c r="T53" s="5"/>
      <c r="U53" s="5"/>
      <c r="V53" s="5"/>
      <c r="W53" s="95"/>
    </row>
    <row r="54" spans="1:23" ht="15.3" customHeight="1" x14ac:dyDescent="0.5">
      <c r="A54" s="4"/>
      <c r="B54" s="5"/>
      <c r="C54" s="5"/>
      <c r="D54" s="5"/>
      <c r="E54" s="5"/>
      <c r="F54" s="5"/>
      <c r="G54" s="5"/>
      <c r="H54" s="5"/>
      <c r="I54" s="5"/>
      <c r="J54" s="95"/>
      <c r="K54" s="89" t="s">
        <v>65</v>
      </c>
      <c r="L54" s="5"/>
      <c r="M54" s="104">
        <f>'Base Case'!M34</f>
        <v>5.1299999999999998E-2</v>
      </c>
      <c r="N54" s="106" t="s">
        <v>66</v>
      </c>
      <c r="O54" s="5"/>
      <c r="P54" s="5"/>
      <c r="Q54" s="5"/>
      <c r="R54" s="5"/>
      <c r="S54" s="5"/>
      <c r="T54" s="5"/>
      <c r="U54" s="5"/>
      <c r="V54" s="5"/>
      <c r="W54" s="95"/>
    </row>
    <row r="55" spans="1:23" ht="16.5" customHeight="1" x14ac:dyDescent="0.5">
      <c r="A55" s="35"/>
      <c r="B55" s="36"/>
      <c r="C55" s="36"/>
      <c r="D55" s="36"/>
      <c r="E55" s="36"/>
      <c r="F55" s="36"/>
      <c r="G55" s="36"/>
      <c r="H55" s="36"/>
      <c r="I55" s="36"/>
      <c r="J55" s="96"/>
      <c r="K55" s="91" t="s">
        <v>68</v>
      </c>
      <c r="L55" s="97"/>
      <c r="M55" s="107">
        <f>((M51+M52*M50*100)*M53)/M54</f>
        <v>12.436647173489279</v>
      </c>
      <c r="N55" s="80"/>
      <c r="O55" s="80"/>
      <c r="P55" s="80"/>
      <c r="Q55" s="80"/>
      <c r="R55" s="80"/>
      <c r="S55" s="80"/>
      <c r="T55" s="80"/>
      <c r="U55" s="80"/>
      <c r="V55" s="80"/>
      <c r="W55" s="112"/>
    </row>
  </sheetData>
  <phoneticPr fontId="17" type="noConversion"/>
  <hyperlinks>
    <hyperlink ref="N54" r:id="rId1" xr:uid="{00000000-0004-0000-0300-00000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5"/>
  <sheetViews>
    <sheetView showGridLines="0" topLeftCell="A22" zoomScale="115" zoomScaleNormal="115" workbookViewId="0">
      <selection activeCell="M50" sqref="M50:M52"/>
    </sheetView>
  </sheetViews>
  <sheetFormatPr defaultColWidth="10.8125" defaultRowHeight="15.75" customHeight="1" x14ac:dyDescent="0.5"/>
  <cols>
    <col min="1" max="1" width="10.8125" style="1" customWidth="1"/>
    <col min="2" max="2" width="25.5" style="1" customWidth="1"/>
    <col min="3" max="6" width="10.8125" style="1" customWidth="1"/>
    <col min="7" max="9" width="11.3125" style="1" customWidth="1"/>
    <col min="10" max="10" width="10.8125" style="1" customWidth="1"/>
    <col min="11" max="11" width="17.5" style="1" customWidth="1"/>
    <col min="12" max="12" width="10.8125" style="1" customWidth="1"/>
    <col min="13" max="13" width="12" style="1" customWidth="1"/>
    <col min="14" max="24" width="10.8125" style="1" customWidth="1"/>
    <col min="25" max="16384" width="10.8125" style="1"/>
  </cols>
  <sheetData>
    <row r="1" spans="1:23" ht="15.3" customHeight="1" x14ac:dyDescent="0.5">
      <c r="A1" s="114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08"/>
    </row>
    <row r="2" spans="1:23" ht="15.3" customHeight="1" x14ac:dyDescent="0.5">
      <c r="A2" s="114"/>
      <c r="B2" s="11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09"/>
    </row>
    <row r="3" spans="1:23" ht="15.3" customHeight="1" x14ac:dyDescent="0.5">
      <c r="A3" s="6"/>
      <c r="B3" s="7" t="s">
        <v>86</v>
      </c>
      <c r="C3" s="8"/>
      <c r="D3" s="9"/>
      <c r="E3" s="37"/>
      <c r="F3" s="38"/>
      <c r="G3" s="39"/>
      <c r="H3" s="39"/>
      <c r="I3" s="75"/>
      <c r="J3" s="2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9"/>
    </row>
    <row r="4" spans="1:23" ht="15.3" customHeight="1" x14ac:dyDescent="0.5">
      <c r="A4" s="6"/>
      <c r="B4" s="10"/>
      <c r="C4" s="11"/>
      <c r="D4" s="11"/>
      <c r="E4" s="11"/>
      <c r="F4" s="40" t="s">
        <v>13</v>
      </c>
      <c r="G4" s="41"/>
      <c r="H4" s="31"/>
      <c r="I4" s="72"/>
      <c r="J4" s="2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9"/>
    </row>
    <row r="5" spans="1:23" ht="15.3" customHeight="1" x14ac:dyDescent="0.5">
      <c r="A5" s="6"/>
      <c r="B5" s="12" t="s">
        <v>15</v>
      </c>
      <c r="C5" s="13">
        <f>'Base Case'!C5</f>
        <v>44561</v>
      </c>
      <c r="D5" s="13">
        <f>'Base Case'!D5</f>
        <v>44926</v>
      </c>
      <c r="E5" s="13">
        <f>'Base Case'!E5</f>
        <v>45291</v>
      </c>
      <c r="F5" s="42">
        <f>'Base Case'!F5</f>
        <v>45291</v>
      </c>
      <c r="G5" s="43">
        <f>'Base Case'!G5</f>
        <v>2024</v>
      </c>
      <c r="H5" s="44">
        <f>'Base Case'!H5</f>
        <v>2025</v>
      </c>
      <c r="I5" s="76">
        <f>'Base Case'!I5</f>
        <v>2026</v>
      </c>
      <c r="J5" s="2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9"/>
    </row>
    <row r="6" spans="1:23" ht="15.3" customHeight="1" x14ac:dyDescent="0.5">
      <c r="A6" s="6"/>
      <c r="B6" s="14"/>
      <c r="C6" s="15"/>
      <c r="D6" s="15"/>
      <c r="E6" s="15"/>
      <c r="F6" s="45"/>
      <c r="G6" s="14"/>
      <c r="H6" s="15"/>
      <c r="I6" s="45"/>
      <c r="J6" s="2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9"/>
    </row>
    <row r="7" spans="1:23" ht="15.3" customHeight="1" x14ac:dyDescent="0.5">
      <c r="A7" s="6"/>
      <c r="B7" s="16" t="s">
        <v>16</v>
      </c>
      <c r="C7" s="17">
        <f>'Base Case'!C7</f>
        <v>4270.8940000000002</v>
      </c>
      <c r="D7" s="17">
        <f>'Base Case'!D7</f>
        <v>5095.2539999999999</v>
      </c>
      <c r="E7" s="17">
        <f>'Base Case'!E7</f>
        <v>5970.1459999999997</v>
      </c>
      <c r="F7" s="46">
        <f>'Base Case'!F7</f>
        <v>5970.1459999999997</v>
      </c>
      <c r="G7" s="47">
        <f>'Base Case'!G7</f>
        <v>6495.6753500000004</v>
      </c>
      <c r="H7" s="17">
        <f>'Base Case'!H7</f>
        <v>6981.2992299999996</v>
      </c>
      <c r="I7" s="46">
        <f>'Base Case'!I7</f>
        <v>7468</v>
      </c>
      <c r="J7" s="2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09"/>
    </row>
    <row r="8" spans="1:23" ht="15.3" customHeight="1" x14ac:dyDescent="0.5">
      <c r="A8" s="6"/>
      <c r="B8" s="16" t="s">
        <v>17</v>
      </c>
      <c r="C8" s="18">
        <f>'Base Case'!C8</f>
        <v>0.23400000000000001</v>
      </c>
      <c r="D8" s="19">
        <f>D7/C7-1</f>
        <v>0.19301813624969366</v>
      </c>
      <c r="E8" s="19">
        <f>E7/D7-1</f>
        <v>0.17170723971758806</v>
      </c>
      <c r="F8" s="48">
        <f>'Base Case'!F8</f>
        <v>0.17199999999999999</v>
      </c>
      <c r="G8" s="49">
        <f>G7/E7-1</f>
        <v>8.8026214099286904E-2</v>
      </c>
      <c r="H8" s="19">
        <f>H7/G7-1</f>
        <v>7.4761107018687323E-2</v>
      </c>
      <c r="I8" s="52">
        <f>I7/H7-1</f>
        <v>6.9714927546516314E-2</v>
      </c>
      <c r="J8" s="2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9"/>
    </row>
    <row r="9" spans="1:23" ht="15.3" customHeight="1" x14ac:dyDescent="0.5">
      <c r="A9" s="6"/>
      <c r="B9" s="16" t="s">
        <v>18</v>
      </c>
      <c r="C9" s="20">
        <f t="shared" ref="C9:F10" si="0">C7</f>
        <v>4270.8940000000002</v>
      </c>
      <c r="D9" s="20">
        <f t="shared" si="0"/>
        <v>5095.2539999999999</v>
      </c>
      <c r="E9" s="20">
        <f t="shared" si="0"/>
        <v>5970.1459999999997</v>
      </c>
      <c r="F9" s="50">
        <f t="shared" si="0"/>
        <v>5970.1459999999997</v>
      </c>
      <c r="G9" s="51">
        <f>E9*(1+G10)</f>
        <v>6567.1606000000002</v>
      </c>
      <c r="H9" s="20">
        <f>G9*(1+H10)</f>
        <v>7289.5482660000007</v>
      </c>
      <c r="I9" s="50">
        <f>H9*(1+I10)</f>
        <v>8091.3985752600011</v>
      </c>
      <c r="J9" s="2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9"/>
    </row>
    <row r="10" spans="1:23" ht="15.3" customHeight="1" x14ac:dyDescent="0.5">
      <c r="A10" s="6"/>
      <c r="B10" s="16" t="s">
        <v>17</v>
      </c>
      <c r="C10" s="19">
        <f t="shared" si="0"/>
        <v>0.23400000000000001</v>
      </c>
      <c r="D10" s="19">
        <f t="shared" si="0"/>
        <v>0.19301813624969366</v>
      </c>
      <c r="E10" s="19">
        <f t="shared" si="0"/>
        <v>0.17170723971758806</v>
      </c>
      <c r="F10" s="52">
        <f t="shared" si="0"/>
        <v>0.17199999999999999</v>
      </c>
      <c r="G10" s="139">
        <v>0.1</v>
      </c>
      <c r="H10" s="140">
        <v>0.11</v>
      </c>
      <c r="I10" s="156">
        <v>0.11</v>
      </c>
      <c r="J10" s="2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9"/>
    </row>
    <row r="11" spans="1:23" ht="15.3" customHeight="1" x14ac:dyDescent="0.5">
      <c r="A11" s="6"/>
      <c r="B11" s="21"/>
      <c r="C11" s="22"/>
      <c r="D11" s="22"/>
      <c r="E11" s="22"/>
      <c r="F11" s="54"/>
      <c r="G11" s="141"/>
      <c r="H11" s="142"/>
      <c r="I11" s="157"/>
      <c r="J11" s="2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9"/>
    </row>
    <row r="12" spans="1:23" ht="15.3" customHeight="1" x14ac:dyDescent="0.5">
      <c r="A12" s="6"/>
      <c r="B12" s="16" t="s">
        <v>22</v>
      </c>
      <c r="C12" s="17">
        <f>'Base Case'!C12</f>
        <v>1314.761</v>
      </c>
      <c r="D12" s="17">
        <f>'Base Case'!D12</f>
        <v>1492.8689999999999</v>
      </c>
      <c r="E12" s="17">
        <f>'Base Case'!E12</f>
        <v>1911.5309999999999</v>
      </c>
      <c r="F12" s="46">
        <f>'Base Case'!F12</f>
        <v>1911.5309999999999</v>
      </c>
      <c r="G12" s="219">
        <f>'Base Case'!G12</f>
        <v>2511.9361399999998</v>
      </c>
      <c r="H12" s="220">
        <f>'Base Case'!H12</f>
        <v>2757.3114500000001</v>
      </c>
      <c r="I12" s="221">
        <f>'Base Case'!I12</f>
        <v>2993</v>
      </c>
      <c r="J12" s="2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09"/>
    </row>
    <row r="13" spans="1:23" ht="15.3" customHeight="1" x14ac:dyDescent="0.5">
      <c r="A13" s="6"/>
      <c r="B13" s="16" t="s">
        <v>23</v>
      </c>
      <c r="C13" s="19">
        <f t="shared" ref="C13:I13" si="1">C12/C7</f>
        <v>0.30784210518921795</v>
      </c>
      <c r="D13" s="19">
        <f t="shared" si="1"/>
        <v>0.29299206673504402</v>
      </c>
      <c r="E13" s="19">
        <f t="shared" si="1"/>
        <v>0.32018161699898129</v>
      </c>
      <c r="F13" s="52">
        <f t="shared" si="1"/>
        <v>0.32018161699898129</v>
      </c>
      <c r="G13" s="116">
        <f t="shared" si="1"/>
        <v>0.3867090032447511</v>
      </c>
      <c r="H13" s="117">
        <f t="shared" si="1"/>
        <v>0.39495677798070838</v>
      </c>
      <c r="I13" s="118">
        <f t="shared" si="1"/>
        <v>0.40077664702731652</v>
      </c>
      <c r="J13" s="2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109"/>
    </row>
    <row r="14" spans="1:23" ht="15.3" customHeight="1" x14ac:dyDescent="0.5">
      <c r="A14" s="6"/>
      <c r="B14" s="16" t="s">
        <v>25</v>
      </c>
      <c r="C14" s="20">
        <f>C12</f>
        <v>1314.761</v>
      </c>
      <c r="D14" s="20">
        <f>D12</f>
        <v>1492.8689999999999</v>
      </c>
      <c r="E14" s="20">
        <f>E12</f>
        <v>1911.5309999999999</v>
      </c>
      <c r="F14" s="50">
        <f>F12</f>
        <v>1911.5309999999999</v>
      </c>
      <c r="G14" s="145">
        <f>G15*G9</f>
        <v>2298.50621</v>
      </c>
      <c r="H14" s="146">
        <f>H15*H9</f>
        <v>2697.13285842</v>
      </c>
      <c r="I14" s="160">
        <f>I15*I9</f>
        <v>2993.8174728462004</v>
      </c>
      <c r="J14" s="2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09"/>
    </row>
    <row r="15" spans="1:23" ht="15.3" customHeight="1" x14ac:dyDescent="0.5">
      <c r="A15" s="6"/>
      <c r="B15" s="16" t="s">
        <v>23</v>
      </c>
      <c r="C15" s="19">
        <f>C14/C7</f>
        <v>0.30784210518921795</v>
      </c>
      <c r="D15" s="19">
        <f>D14/D7</f>
        <v>0.29299206673504402</v>
      </c>
      <c r="E15" s="19">
        <f>E14/E7</f>
        <v>0.32018161699898129</v>
      </c>
      <c r="F15" s="52">
        <f>F14/F7</f>
        <v>0.32018161699898129</v>
      </c>
      <c r="G15" s="139">
        <v>0.35</v>
      </c>
      <c r="H15" s="140">
        <v>0.37</v>
      </c>
      <c r="I15" s="156">
        <v>0.37</v>
      </c>
      <c r="J15" s="2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109"/>
    </row>
    <row r="16" spans="1:23" ht="15.3" customHeight="1" x14ac:dyDescent="0.5">
      <c r="A16" s="6"/>
      <c r="B16" s="16" t="s">
        <v>17</v>
      </c>
      <c r="C16" s="18">
        <f>'Base Case'!C16</f>
        <v>0.91109167759801801</v>
      </c>
      <c r="D16" s="18">
        <f>'Base Case'!D16</f>
        <v>0.57039353264185499</v>
      </c>
      <c r="E16" s="18">
        <f>'Base Case'!E16</f>
        <v>-0.367733475790394</v>
      </c>
      <c r="F16" s="48">
        <f>'Base Case'!F16</f>
        <v>-0.367733475790394</v>
      </c>
      <c r="G16" s="116">
        <f>G14/E14-1</f>
        <v>0.20244254997695577</v>
      </c>
      <c r="H16" s="117">
        <f>H14/G14-1</f>
        <v>0.17342857142857149</v>
      </c>
      <c r="I16" s="118">
        <f>I14/H14-1</f>
        <v>0.1100000000000001</v>
      </c>
      <c r="J16" s="2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09"/>
    </row>
    <row r="17" spans="1:23" ht="15.3" customHeight="1" x14ac:dyDescent="0.5">
      <c r="A17" s="6"/>
      <c r="B17" s="21"/>
      <c r="C17" s="19"/>
      <c r="D17" s="19"/>
      <c r="E17" s="19"/>
      <c r="F17" s="52"/>
      <c r="G17" s="147"/>
      <c r="H17" s="148"/>
      <c r="I17" s="162"/>
      <c r="J17" s="2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109"/>
    </row>
    <row r="18" spans="1:23" ht="15.3" customHeight="1" x14ac:dyDescent="0.5">
      <c r="A18" s="6"/>
      <c r="B18" s="16" t="s">
        <v>31</v>
      </c>
      <c r="C18" s="17">
        <f>'Base Case'!C18</f>
        <v>352.31599999999997</v>
      </c>
      <c r="D18" s="17">
        <f>'Base Case'!D18</f>
        <v>347.72500000000002</v>
      </c>
      <c r="E18" s="17">
        <f>'Base Case'!E18</f>
        <v>381.762</v>
      </c>
      <c r="F18" s="46">
        <f>'Base Case'!F18</f>
        <v>381.762</v>
      </c>
      <c r="G18" s="145">
        <f>G19*G9</f>
        <v>407.16395720000003</v>
      </c>
      <c r="H18" s="146">
        <f>H19*H9</f>
        <v>437.37289596000005</v>
      </c>
      <c r="I18" s="160">
        <f>I19*I9</f>
        <v>445.02692163930004</v>
      </c>
      <c r="J18" s="2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9"/>
    </row>
    <row r="19" spans="1:23" ht="15.3" customHeight="1" x14ac:dyDescent="0.5">
      <c r="A19" s="6"/>
      <c r="B19" s="16" t="s">
        <v>33</v>
      </c>
      <c r="C19" s="19">
        <f>C18/C9</f>
        <v>8.2492330645527606E-2</v>
      </c>
      <c r="D19" s="19">
        <f>D18/D9</f>
        <v>6.8244880431868563E-2</v>
      </c>
      <c r="E19" s="19">
        <f>E18/E9</f>
        <v>6.394516985011757E-2</v>
      </c>
      <c r="F19" s="52">
        <f>F18/F9</f>
        <v>6.394516985011757E-2</v>
      </c>
      <c r="G19" s="139">
        <v>6.2E-2</v>
      </c>
      <c r="H19" s="140">
        <v>0.06</v>
      </c>
      <c r="I19" s="156">
        <v>5.5E-2</v>
      </c>
      <c r="J19" s="2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09"/>
    </row>
    <row r="20" spans="1:23" ht="15.3" customHeight="1" x14ac:dyDescent="0.5">
      <c r="A20" s="6"/>
      <c r="B20" s="21"/>
      <c r="C20" s="19"/>
      <c r="D20" s="19"/>
      <c r="E20" s="19"/>
      <c r="F20" s="52"/>
      <c r="G20" s="56"/>
      <c r="H20" s="57"/>
      <c r="I20" s="77"/>
      <c r="J20" s="2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109"/>
    </row>
    <row r="21" spans="1:23" ht="15.3" customHeight="1" x14ac:dyDescent="0.5">
      <c r="A21" s="6"/>
      <c r="B21" s="16" t="s">
        <v>39</v>
      </c>
      <c r="C21" s="20">
        <f t="shared" ref="C21:I21" si="2">(C14-C18)*(1-$L$33)</f>
        <v>731.45819999999992</v>
      </c>
      <c r="D21" s="20">
        <f t="shared" si="2"/>
        <v>870.30943999999988</v>
      </c>
      <c r="E21" s="20">
        <f t="shared" si="2"/>
        <v>1162.62444</v>
      </c>
      <c r="F21" s="50">
        <f t="shared" si="2"/>
        <v>1162.62444</v>
      </c>
      <c r="G21" s="51">
        <f t="shared" si="2"/>
        <v>1437.420112128</v>
      </c>
      <c r="H21" s="20">
        <f t="shared" si="2"/>
        <v>1717.4175714695998</v>
      </c>
      <c r="I21" s="50">
        <f t="shared" si="2"/>
        <v>1937.0808189172444</v>
      </c>
      <c r="J21" s="2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09"/>
    </row>
    <row r="22" spans="1:23" ht="15.3" customHeight="1" x14ac:dyDescent="0.5">
      <c r="A22" s="6"/>
      <c r="B22" s="21"/>
      <c r="C22" s="19"/>
      <c r="D22" s="19"/>
      <c r="E22" s="19"/>
      <c r="F22" s="52"/>
      <c r="G22" s="56"/>
      <c r="H22" s="57"/>
      <c r="I22" s="77"/>
      <c r="J22" s="2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09"/>
    </row>
    <row r="23" spans="1:23" ht="15.3" customHeight="1" x14ac:dyDescent="0.5">
      <c r="A23" s="6"/>
      <c r="B23" s="16" t="s">
        <v>43</v>
      </c>
      <c r="C23" s="24">
        <f>'Base Case'!C23</f>
        <v>184.77099999999999</v>
      </c>
      <c r="D23" s="24">
        <f>'Base Case'!D23</f>
        <v>183.12100000000001</v>
      </c>
      <c r="E23" s="24">
        <f>'Base Case'!E23</f>
        <v>181.511</v>
      </c>
      <c r="F23" s="61">
        <f>'Base Case'!F23</f>
        <v>181.511</v>
      </c>
      <c r="G23" s="55">
        <f>F23</f>
        <v>181.511</v>
      </c>
      <c r="H23" s="22">
        <f>G23</f>
        <v>181.511</v>
      </c>
      <c r="I23" s="54">
        <f>H23</f>
        <v>181.511</v>
      </c>
      <c r="J23" s="21"/>
      <c r="K23" s="7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109"/>
    </row>
    <row r="24" spans="1:23" ht="16.5" customHeight="1" x14ac:dyDescent="0.5">
      <c r="A24" s="6"/>
      <c r="B24" s="21"/>
      <c r="C24" s="19"/>
      <c r="D24" s="19"/>
      <c r="E24" s="19"/>
      <c r="F24" s="52"/>
      <c r="G24" s="56"/>
      <c r="H24" s="57"/>
      <c r="I24" s="77"/>
      <c r="J24" s="21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10"/>
    </row>
    <row r="25" spans="1:23" ht="15.75" customHeight="1" x14ac:dyDescent="0.5">
      <c r="A25" s="6"/>
      <c r="B25" s="16" t="s">
        <v>45</v>
      </c>
      <c r="C25" s="25">
        <f t="shared" ref="C25:I25" si="3">C21/C23</f>
        <v>3.9587283718765387</v>
      </c>
      <c r="D25" s="25">
        <f t="shared" si="3"/>
        <v>4.7526468291457551</v>
      </c>
      <c r="E25" s="25">
        <f t="shared" si="3"/>
        <v>6.4052561001812567</v>
      </c>
      <c r="F25" s="62">
        <f t="shared" si="3"/>
        <v>6.4052561001812567</v>
      </c>
      <c r="G25" s="63">
        <f t="shared" si="3"/>
        <v>7.919190088358282</v>
      </c>
      <c r="H25" s="25">
        <f t="shared" si="3"/>
        <v>9.4617823243197368</v>
      </c>
      <c r="I25" s="62">
        <f t="shared" si="3"/>
        <v>10.671974805478701</v>
      </c>
      <c r="J25" s="81"/>
      <c r="K25" s="82" t="s">
        <v>24</v>
      </c>
      <c r="L25" s="83"/>
      <c r="M25" s="83"/>
      <c r="N25" s="83"/>
      <c r="O25" s="83"/>
      <c r="P25" s="83"/>
      <c r="Q25" s="93"/>
      <c r="R25" s="93"/>
      <c r="S25" s="93"/>
      <c r="T25" s="93"/>
      <c r="U25" s="93"/>
      <c r="V25" s="93"/>
      <c r="W25" s="111"/>
    </row>
    <row r="26" spans="1:23" ht="15.3" customHeight="1" x14ac:dyDescent="0.5">
      <c r="A26" s="6"/>
      <c r="B26" s="21"/>
      <c r="C26" s="5"/>
      <c r="D26" s="5"/>
      <c r="E26" s="5"/>
      <c r="F26" s="64"/>
      <c r="G26" s="21"/>
      <c r="H26" s="5"/>
      <c r="I26" s="64"/>
      <c r="J26" s="81"/>
      <c r="K26" s="84"/>
      <c r="L26" s="85" t="s">
        <v>26</v>
      </c>
      <c r="M26" s="98" t="s">
        <v>27</v>
      </c>
      <c r="N26" s="31"/>
      <c r="O26" s="31"/>
      <c r="P26" s="31"/>
      <c r="Q26" s="5"/>
      <c r="R26" s="5"/>
      <c r="S26" s="5"/>
      <c r="T26" s="5"/>
      <c r="U26" s="5"/>
      <c r="V26" s="5"/>
      <c r="W26" s="95"/>
    </row>
    <row r="27" spans="1:23" ht="15.3" customHeight="1" x14ac:dyDescent="0.5">
      <c r="A27" s="6"/>
      <c r="B27" s="16" t="s">
        <v>49</v>
      </c>
      <c r="C27" s="26"/>
      <c r="D27" s="26"/>
      <c r="E27" s="26"/>
      <c r="F27" s="65"/>
      <c r="G27" s="66">
        <f>M55</f>
        <v>34.736842105263158</v>
      </c>
      <c r="H27" s="26">
        <f>G27</f>
        <v>34.736842105263158</v>
      </c>
      <c r="I27" s="65">
        <f>H27</f>
        <v>34.736842105263158</v>
      </c>
      <c r="J27" s="81"/>
      <c r="K27" s="86" t="s">
        <v>15</v>
      </c>
      <c r="L27" s="87">
        <v>2021</v>
      </c>
      <c r="M27" s="87">
        <v>2022</v>
      </c>
      <c r="N27" s="87">
        <v>2023</v>
      </c>
      <c r="O27" s="87">
        <v>2024</v>
      </c>
      <c r="P27" s="99" t="s">
        <v>28</v>
      </c>
      <c r="Q27" s="5"/>
      <c r="R27" s="5"/>
      <c r="S27" s="5"/>
      <c r="T27" s="5"/>
      <c r="U27" s="5"/>
      <c r="V27" s="5"/>
      <c r="W27" s="95"/>
    </row>
    <row r="28" spans="1:23" ht="15.3" customHeight="1" x14ac:dyDescent="0.5">
      <c r="A28" s="6"/>
      <c r="B28" s="21"/>
      <c r="C28" s="26"/>
      <c r="D28" s="26"/>
      <c r="E28" s="26"/>
      <c r="F28" s="65"/>
      <c r="G28" s="67"/>
      <c r="H28" s="68"/>
      <c r="I28" s="88"/>
      <c r="J28" s="81"/>
      <c r="K28" s="89" t="s">
        <v>29</v>
      </c>
      <c r="L28" s="17">
        <f>'Base Case'!L16</f>
        <v>1212.627</v>
      </c>
      <c r="M28" s="20">
        <f>M29+M30</f>
        <v>2554.599122528</v>
      </c>
      <c r="N28" s="20">
        <f>N29+N30</f>
        <v>4176.5687043975995</v>
      </c>
      <c r="O28" s="20">
        <f>O29+O30</f>
        <v>6018.2015337148441</v>
      </c>
      <c r="P28" s="79"/>
      <c r="Q28" s="5"/>
      <c r="R28" s="5"/>
      <c r="S28" s="5"/>
      <c r="T28" s="5"/>
      <c r="U28" s="5"/>
      <c r="V28" s="5"/>
      <c r="W28" s="95"/>
    </row>
    <row r="29" spans="1:23" ht="15.3" customHeight="1" x14ac:dyDescent="0.5">
      <c r="A29" s="6"/>
      <c r="B29" s="16" t="s">
        <v>53</v>
      </c>
      <c r="C29" s="27">
        <f>'Base Case'!C29</f>
        <v>-6.7506048027017203</v>
      </c>
      <c r="D29" s="27">
        <f>'Base Case'!D29</f>
        <v>-7.3409221225310004</v>
      </c>
      <c r="E29" s="27">
        <f>'Base Case'!E29</f>
        <v>-7.0890028703494599</v>
      </c>
      <c r="F29" s="69">
        <f>'Base Case'!F29</f>
        <v>-7.0890028703494599</v>
      </c>
      <c r="G29" s="63">
        <f>M31</f>
        <v>0.37286512954035789</v>
      </c>
      <c r="H29" s="25">
        <f>N31</f>
        <v>9.308795083480339</v>
      </c>
      <c r="I29" s="62">
        <f>O31</f>
        <v>19.454917518579286</v>
      </c>
      <c r="J29" s="81"/>
      <c r="K29" s="89" t="s">
        <v>30</v>
      </c>
      <c r="L29" s="17">
        <f>'Base Case'!L17</f>
        <v>2486.92</v>
      </c>
      <c r="M29" s="20">
        <f>L29</f>
        <v>2486.92</v>
      </c>
      <c r="N29" s="20">
        <f>M29</f>
        <v>2486.92</v>
      </c>
      <c r="O29" s="20">
        <f>N29</f>
        <v>2486.92</v>
      </c>
      <c r="P29" s="79"/>
      <c r="Q29" s="5"/>
      <c r="R29" s="5"/>
      <c r="S29" s="5"/>
      <c r="T29" s="5"/>
      <c r="U29" s="5"/>
      <c r="V29" s="5"/>
      <c r="W29" s="95"/>
    </row>
    <row r="30" spans="1:23" ht="15.3" customHeight="1" x14ac:dyDescent="0.5">
      <c r="A30" s="6"/>
      <c r="B30" s="21"/>
      <c r="C30" s="5"/>
      <c r="D30" s="5"/>
      <c r="E30" s="5"/>
      <c r="F30" s="64"/>
      <c r="G30" s="21"/>
      <c r="H30" s="5"/>
      <c r="I30" s="64"/>
      <c r="J30" s="81"/>
      <c r="K30" s="89" t="s">
        <v>32</v>
      </c>
      <c r="L30" s="20">
        <f>L28-L29</f>
        <v>-1274.2930000000001</v>
      </c>
      <c r="M30" s="20">
        <f>L30+(G23*G25)-(M29*$L$32)*(1-$L$33)</f>
        <v>67.679122527999894</v>
      </c>
      <c r="N30" s="20">
        <f>M30+(H23*H25)-(N29*$L$32)*(1-$L$33)</f>
        <v>1689.6487043975997</v>
      </c>
      <c r="O30" s="20">
        <f>N30+(I23*I25)-(O29*$L$32)*(1-$L$33)</f>
        <v>3531.2815337148445</v>
      </c>
      <c r="P30" s="100"/>
      <c r="Q30" s="5"/>
      <c r="R30" s="5"/>
      <c r="S30" s="5"/>
      <c r="T30" s="5"/>
      <c r="U30" s="5"/>
      <c r="V30" s="5"/>
      <c r="W30" s="95"/>
    </row>
    <row r="31" spans="1:23" ht="15.3" customHeight="1" x14ac:dyDescent="0.5">
      <c r="A31" s="6"/>
      <c r="B31" s="16" t="s">
        <v>57</v>
      </c>
      <c r="C31" s="5"/>
      <c r="D31" s="5"/>
      <c r="E31" s="5"/>
      <c r="F31" s="64"/>
      <c r="G31" s="63">
        <f>G25*G27+G29</f>
        <v>275.46052083040701</v>
      </c>
      <c r="H31" s="25">
        <f>H25*H27+H29</f>
        <v>337.98123371774489</v>
      </c>
      <c r="I31" s="62">
        <f>I25*I27+I29</f>
        <v>390.16562128783943</v>
      </c>
      <c r="J31" s="81"/>
      <c r="K31" s="89" t="s">
        <v>34</v>
      </c>
      <c r="L31" s="25">
        <f>L30/E23</f>
        <v>-7.0204725884381673</v>
      </c>
      <c r="M31" s="25">
        <f>M30/G23</f>
        <v>0.37286512954035789</v>
      </c>
      <c r="N31" s="25">
        <f>N30/H23</f>
        <v>9.308795083480339</v>
      </c>
      <c r="O31" s="25">
        <f>O30/I23</f>
        <v>19.454917518579286</v>
      </c>
      <c r="P31" s="79"/>
      <c r="Q31" s="5"/>
      <c r="R31" s="5"/>
      <c r="S31" s="5"/>
      <c r="T31" s="5"/>
      <c r="U31" s="5"/>
      <c r="V31" s="5"/>
      <c r="W31" s="95"/>
    </row>
    <row r="32" spans="1:23" ht="15.3" customHeight="1" x14ac:dyDescent="0.5">
      <c r="A32" s="6"/>
      <c r="B32" s="21"/>
      <c r="C32" s="5"/>
      <c r="D32" s="5"/>
      <c r="E32" s="5"/>
      <c r="F32" s="64"/>
      <c r="G32" s="21"/>
      <c r="H32" s="5"/>
      <c r="I32" s="64"/>
      <c r="J32" s="81"/>
      <c r="K32" s="89" t="s">
        <v>35</v>
      </c>
      <c r="L32" s="90">
        <f>'Base Case'!L20</f>
        <v>5.0500000000000003E-2</v>
      </c>
      <c r="M32" s="5"/>
      <c r="N32" s="5"/>
      <c r="O32" s="5"/>
      <c r="P32" s="79"/>
      <c r="Q32" s="5"/>
      <c r="R32" s="5"/>
      <c r="S32" s="5"/>
      <c r="T32" s="5"/>
      <c r="U32" s="5"/>
      <c r="V32" s="5"/>
      <c r="W32" s="95"/>
    </row>
    <row r="33" spans="1:23" ht="15.3" customHeight="1" x14ac:dyDescent="0.5">
      <c r="A33" s="6"/>
      <c r="B33" s="28" t="s">
        <v>3</v>
      </c>
      <c r="C33" s="29"/>
      <c r="D33" s="29"/>
      <c r="E33" s="29"/>
      <c r="F33" s="70"/>
      <c r="G33" s="71">
        <f>G31/$L$34-1</f>
        <v>-0.33388020015378084</v>
      </c>
      <c r="H33" s="29">
        <f>H31/$L$34-1</f>
        <v>-0.18269234706612603</v>
      </c>
      <c r="I33" s="70">
        <f>I31/$L$34-1</f>
        <v>-5.6499839702465415E-2</v>
      </c>
      <c r="J33" s="81"/>
      <c r="K33" s="89" t="s">
        <v>40</v>
      </c>
      <c r="L33" s="90">
        <f>'Base Case'!L21</f>
        <v>0.24</v>
      </c>
      <c r="M33" s="5"/>
      <c r="N33" s="5"/>
      <c r="O33" s="5"/>
      <c r="P33" s="79"/>
      <c r="Q33" s="5"/>
      <c r="R33" s="5"/>
      <c r="S33" s="5"/>
      <c r="T33" s="5"/>
      <c r="U33" s="5"/>
      <c r="V33" s="5"/>
      <c r="W33" s="95"/>
    </row>
    <row r="34" spans="1:23" ht="16.5" customHeight="1" x14ac:dyDescent="0.5">
      <c r="A34" s="6"/>
      <c r="B34" s="21"/>
      <c r="C34" s="5"/>
      <c r="D34" s="5"/>
      <c r="E34" s="5"/>
      <c r="F34" s="64"/>
      <c r="G34" s="21"/>
      <c r="H34" s="5"/>
      <c r="I34" s="64"/>
      <c r="J34" s="81"/>
      <c r="K34" s="91" t="s">
        <v>42</v>
      </c>
      <c r="L34" s="92">
        <f>'Base Case'!L22</f>
        <v>413.53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112"/>
    </row>
    <row r="35" spans="1:23" ht="15.75" customHeight="1" x14ac:dyDescent="0.5">
      <c r="A35" s="6"/>
      <c r="B35" s="16" t="s">
        <v>67</v>
      </c>
      <c r="C35" s="5"/>
      <c r="D35" s="5"/>
      <c r="E35" s="5"/>
      <c r="F35" s="64"/>
      <c r="G35" s="51">
        <f>G31*G23</f>
        <v>49999.114596448002</v>
      </c>
      <c r="H35" s="20">
        <f>H31*H23</f>
        <v>61347.311713341587</v>
      </c>
      <c r="I35" s="50">
        <f>I31*I23</f>
        <v>70819.352085577018</v>
      </c>
      <c r="J35" s="21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113"/>
    </row>
    <row r="36" spans="1:23" ht="15.3" customHeight="1" x14ac:dyDescent="0.5">
      <c r="A36" s="6"/>
      <c r="B36" s="16" t="s">
        <v>69</v>
      </c>
      <c r="C36" s="5"/>
      <c r="D36" s="5"/>
      <c r="E36" s="5"/>
      <c r="F36" s="64"/>
      <c r="G36" s="51">
        <f>G35-M28+M29</f>
        <v>49931.435473919999</v>
      </c>
      <c r="H36" s="20">
        <f>H35-N28+N29</f>
        <v>59657.663008943986</v>
      </c>
      <c r="I36" s="50">
        <f>I35-O28+O29</f>
        <v>67288.070551862169</v>
      </c>
      <c r="J36" s="2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109"/>
    </row>
    <row r="37" spans="1:23" ht="15.3" customHeight="1" x14ac:dyDescent="0.5">
      <c r="A37" s="6"/>
      <c r="B37" s="30" t="s">
        <v>70</v>
      </c>
      <c r="C37" s="31"/>
      <c r="D37" s="31"/>
      <c r="E37" s="31"/>
      <c r="F37" s="72"/>
      <c r="G37" s="73">
        <f>G36/G14</f>
        <v>21.72342857142857</v>
      </c>
      <c r="H37" s="74">
        <f>H36/H14</f>
        <v>22.118918918918915</v>
      </c>
      <c r="I37" s="94">
        <f>I36/I14</f>
        <v>22.475675675675674</v>
      </c>
      <c r="J37" s="2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109"/>
    </row>
    <row r="38" spans="1:23" ht="15.3" customHeight="1" x14ac:dyDescent="0.5">
      <c r="A38" s="4"/>
      <c r="B38" s="15"/>
      <c r="C38" s="15"/>
      <c r="D38" s="15"/>
      <c r="E38" s="15"/>
      <c r="F38" s="15"/>
      <c r="G38" s="15"/>
      <c r="H38" s="15"/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109"/>
    </row>
    <row r="39" spans="1:23" ht="15.3" customHeight="1" x14ac:dyDescent="0.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109"/>
    </row>
    <row r="40" spans="1:23" ht="15.3" customHeight="1" x14ac:dyDescent="0.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109"/>
    </row>
    <row r="41" spans="1:23" ht="15.3" customHeight="1" x14ac:dyDescent="0.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109"/>
    </row>
    <row r="42" spans="1:23" ht="15.3" customHeight="1" x14ac:dyDescent="0.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09"/>
    </row>
    <row r="43" spans="1:23" ht="15.3" customHeight="1" x14ac:dyDescent="0.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09"/>
    </row>
    <row r="44" spans="1:23" ht="16.5" customHeight="1" x14ac:dyDescent="0.5">
      <c r="A44" s="4"/>
      <c r="B44" s="5"/>
      <c r="C44" s="5"/>
      <c r="D44" s="5"/>
      <c r="E44" s="5"/>
      <c r="F44" s="5"/>
      <c r="G44" s="5"/>
      <c r="H44" s="5"/>
      <c r="I44" s="5"/>
      <c r="J44" s="5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110"/>
    </row>
    <row r="45" spans="1:23" ht="15.75" customHeight="1" x14ac:dyDescent="0.5">
      <c r="A45" s="4"/>
      <c r="B45" s="5"/>
      <c r="C45" s="5"/>
      <c r="D45" s="5"/>
      <c r="E45" s="5"/>
      <c r="F45" s="5"/>
      <c r="G45" s="5"/>
      <c r="H45" s="5"/>
      <c r="I45" s="5"/>
      <c r="J45" s="95"/>
      <c r="K45" s="82" t="s">
        <v>46</v>
      </c>
      <c r="L45" s="83"/>
      <c r="M45" s="83"/>
      <c r="N45" s="93"/>
      <c r="O45" s="93"/>
      <c r="P45" s="93"/>
      <c r="Q45" s="93"/>
      <c r="R45" s="93"/>
      <c r="S45" s="93"/>
      <c r="T45" s="93"/>
      <c r="U45" s="93"/>
      <c r="V45" s="93"/>
      <c r="W45" s="111"/>
    </row>
    <row r="46" spans="1:23" ht="15.3" customHeight="1" x14ac:dyDescent="0.5">
      <c r="A46" s="4"/>
      <c r="B46" s="5"/>
      <c r="C46" s="5"/>
      <c r="D46" s="5"/>
      <c r="E46" s="5"/>
      <c r="F46" s="5"/>
      <c r="G46" s="5"/>
      <c r="H46" s="5"/>
      <c r="I46" s="5"/>
      <c r="J46" s="95"/>
      <c r="K46" s="89" t="s">
        <v>47</v>
      </c>
      <c r="L46" s="32" t="s">
        <v>48</v>
      </c>
      <c r="M46" s="90">
        <f>'Base Case'!M26</f>
        <v>0.114308846905365</v>
      </c>
      <c r="N46" s="5"/>
      <c r="O46" s="5"/>
      <c r="P46" s="5"/>
      <c r="Q46" s="5"/>
      <c r="R46" s="5"/>
      <c r="S46" s="5"/>
      <c r="T46" s="5"/>
      <c r="U46" s="5"/>
      <c r="V46" s="5"/>
      <c r="W46" s="95"/>
    </row>
    <row r="47" spans="1:23" ht="15.3" customHeight="1" x14ac:dyDescent="0.5">
      <c r="A47" s="4"/>
      <c r="B47" s="5"/>
      <c r="C47" s="5"/>
      <c r="D47" s="5"/>
      <c r="E47" s="5"/>
      <c r="F47" s="5"/>
      <c r="G47" s="5"/>
      <c r="H47" s="5"/>
      <c r="I47" s="5"/>
      <c r="J47" s="95"/>
      <c r="K47" s="89" t="s">
        <v>50</v>
      </c>
      <c r="L47" s="32" t="s">
        <v>48</v>
      </c>
      <c r="M47" s="90">
        <f>'Base Case'!M27</f>
        <v>0.188679606152059</v>
      </c>
      <c r="N47" s="5"/>
      <c r="O47" s="5"/>
      <c r="P47" s="5"/>
      <c r="Q47" s="5"/>
      <c r="R47" s="5"/>
      <c r="S47" s="5"/>
      <c r="T47" s="5"/>
      <c r="U47" s="5"/>
      <c r="V47" s="5"/>
      <c r="W47" s="95"/>
    </row>
    <row r="48" spans="1:23" ht="15.3" customHeight="1" x14ac:dyDescent="0.5">
      <c r="A48" s="4"/>
      <c r="B48" s="5"/>
      <c r="C48" s="5"/>
      <c r="D48" s="5"/>
      <c r="E48" s="5"/>
      <c r="F48" s="5"/>
      <c r="G48" s="5"/>
      <c r="H48" s="5"/>
      <c r="I48" s="5"/>
      <c r="J48" s="95"/>
      <c r="K48" s="89" t="s">
        <v>51</v>
      </c>
      <c r="L48" s="32" t="s">
        <v>52</v>
      </c>
      <c r="M48" s="101">
        <f>(H12/E12)^(1/2)-1</f>
        <v>0.20102553041225235</v>
      </c>
      <c r="N48" s="5"/>
      <c r="O48" s="5"/>
      <c r="P48" s="5"/>
      <c r="Q48" s="5"/>
      <c r="R48" s="5"/>
      <c r="S48" s="5"/>
      <c r="T48" s="5"/>
      <c r="U48" s="5"/>
      <c r="V48" s="5"/>
      <c r="W48" s="95"/>
    </row>
    <row r="49" spans="1:23" ht="15.3" customHeight="1" x14ac:dyDescent="0.5">
      <c r="A49" s="4"/>
      <c r="B49" s="5"/>
      <c r="C49" s="5"/>
      <c r="D49" s="5"/>
      <c r="E49" s="5"/>
      <c r="F49" s="5"/>
      <c r="G49" s="5"/>
      <c r="H49" s="5"/>
      <c r="I49" s="5"/>
      <c r="J49" s="95"/>
      <c r="K49" s="89" t="s">
        <v>50</v>
      </c>
      <c r="L49" s="32" t="s">
        <v>54</v>
      </c>
      <c r="M49" s="101">
        <f>(I14/E14)^(1/3)-1</f>
        <v>0.16130953290468009</v>
      </c>
      <c r="N49" s="5"/>
      <c r="O49" s="5"/>
      <c r="P49" s="5"/>
      <c r="Q49" s="5"/>
      <c r="R49" s="5"/>
      <c r="S49" s="5"/>
      <c r="T49" s="5"/>
      <c r="U49" s="5"/>
      <c r="V49" s="5"/>
      <c r="W49" s="95"/>
    </row>
    <row r="50" spans="1:23" ht="15.3" customHeight="1" x14ac:dyDescent="0.5">
      <c r="A50" s="4"/>
      <c r="B50" s="5"/>
      <c r="C50" s="5"/>
      <c r="D50" s="5"/>
      <c r="E50" s="5"/>
      <c r="F50" s="5"/>
      <c r="G50" s="5"/>
      <c r="H50" s="5"/>
      <c r="I50" s="5"/>
      <c r="J50" s="95"/>
      <c r="K50" s="89" t="s">
        <v>55</v>
      </c>
      <c r="L50" s="5"/>
      <c r="M50" s="140">
        <v>0.16</v>
      </c>
      <c r="N50" s="102" t="s">
        <v>56</v>
      </c>
      <c r="O50" s="5"/>
      <c r="P50" s="5"/>
      <c r="Q50" s="5"/>
      <c r="R50" s="5"/>
      <c r="S50" s="5"/>
      <c r="T50" s="5"/>
      <c r="U50" s="5"/>
      <c r="V50" s="5"/>
      <c r="W50" s="95"/>
    </row>
    <row r="51" spans="1:23" ht="15.3" customHeight="1" x14ac:dyDescent="0.5">
      <c r="A51" s="4"/>
      <c r="B51" s="5"/>
      <c r="C51" s="5"/>
      <c r="D51" s="5"/>
      <c r="E51" s="5"/>
      <c r="F51" s="5"/>
      <c r="G51" s="5"/>
      <c r="H51" s="5"/>
      <c r="I51" s="5"/>
      <c r="J51" s="95"/>
      <c r="K51" s="89" t="s">
        <v>58</v>
      </c>
      <c r="L51" s="5"/>
      <c r="M51" s="222">
        <f>'Base Case'!M31</f>
        <v>8.5</v>
      </c>
      <c r="N51" s="5"/>
      <c r="O51" s="5"/>
      <c r="P51" s="5"/>
      <c r="Q51" s="5"/>
      <c r="R51" s="5"/>
      <c r="S51" s="5"/>
      <c r="T51" s="5"/>
      <c r="U51" s="5"/>
      <c r="V51" s="5"/>
      <c r="W51" s="95"/>
    </row>
    <row r="52" spans="1:23" ht="15.3" customHeight="1" x14ac:dyDescent="0.5">
      <c r="A52" s="4"/>
      <c r="B52" s="5"/>
      <c r="C52" s="5"/>
      <c r="D52" s="5"/>
      <c r="E52" s="5"/>
      <c r="F52" s="5"/>
      <c r="G52" s="5"/>
      <c r="H52" s="5"/>
      <c r="I52" s="5"/>
      <c r="J52" s="95"/>
      <c r="K52" s="89" t="s">
        <v>60</v>
      </c>
      <c r="L52" s="32" t="s">
        <v>61</v>
      </c>
      <c r="M52" s="169">
        <v>2</v>
      </c>
      <c r="N52" s="102" t="s">
        <v>62</v>
      </c>
      <c r="O52" s="5"/>
      <c r="P52" s="5"/>
      <c r="Q52" s="5"/>
      <c r="R52" s="5"/>
      <c r="S52" s="5"/>
      <c r="T52" s="5"/>
      <c r="U52" s="5"/>
      <c r="V52" s="5"/>
      <c r="W52" s="95"/>
    </row>
    <row r="53" spans="1:23" ht="15.3" customHeight="1" x14ac:dyDescent="0.5">
      <c r="A53" s="4"/>
      <c r="B53" s="5"/>
      <c r="C53" s="5"/>
      <c r="D53" s="5"/>
      <c r="E53" s="5"/>
      <c r="F53" s="5"/>
      <c r="G53" s="5"/>
      <c r="H53" s="5"/>
      <c r="I53" s="5"/>
      <c r="J53" s="95"/>
      <c r="K53" s="89" t="s">
        <v>63</v>
      </c>
      <c r="L53" s="32" t="s">
        <v>64</v>
      </c>
      <c r="M53" s="104">
        <f>'Base Case'!M33</f>
        <v>4.3999999999999997E-2</v>
      </c>
      <c r="N53" s="105"/>
      <c r="O53" s="5"/>
      <c r="P53" s="5"/>
      <c r="Q53" s="5"/>
      <c r="R53" s="5"/>
      <c r="S53" s="5"/>
      <c r="T53" s="5"/>
      <c r="U53" s="5"/>
      <c r="V53" s="5"/>
      <c r="W53" s="95"/>
    </row>
    <row r="54" spans="1:23" ht="15.3" customHeight="1" x14ac:dyDescent="0.5">
      <c r="A54" s="4"/>
      <c r="B54" s="5"/>
      <c r="C54" s="5"/>
      <c r="D54" s="5"/>
      <c r="E54" s="5"/>
      <c r="F54" s="5"/>
      <c r="G54" s="5"/>
      <c r="H54" s="5"/>
      <c r="I54" s="5"/>
      <c r="J54" s="95"/>
      <c r="K54" s="89" t="s">
        <v>65</v>
      </c>
      <c r="L54" s="5"/>
      <c r="M54" s="104">
        <f>'Base Case'!M34</f>
        <v>5.1299999999999998E-2</v>
      </c>
      <c r="N54" s="106" t="s">
        <v>66</v>
      </c>
      <c r="O54" s="5"/>
      <c r="P54" s="5"/>
      <c r="Q54" s="5"/>
      <c r="R54" s="5"/>
      <c r="S54" s="5"/>
      <c r="T54" s="5"/>
      <c r="U54" s="5"/>
      <c r="V54" s="5"/>
      <c r="W54" s="95"/>
    </row>
    <row r="55" spans="1:23" ht="16.5" customHeight="1" x14ac:dyDescent="0.5">
      <c r="A55" s="35"/>
      <c r="B55" s="36"/>
      <c r="C55" s="36"/>
      <c r="D55" s="36"/>
      <c r="E55" s="36"/>
      <c r="F55" s="36"/>
      <c r="G55" s="36"/>
      <c r="H55" s="36"/>
      <c r="I55" s="36"/>
      <c r="J55" s="96"/>
      <c r="K55" s="91" t="s">
        <v>68</v>
      </c>
      <c r="L55" s="97"/>
      <c r="M55" s="107">
        <f>((M51+M52*M50*100)*M53)/M54</f>
        <v>34.736842105263158</v>
      </c>
      <c r="N55" s="80"/>
      <c r="O55" s="80"/>
      <c r="P55" s="80"/>
      <c r="Q55" s="80"/>
      <c r="R55" s="80"/>
      <c r="S55" s="80"/>
      <c r="T55" s="80"/>
      <c r="U55" s="80"/>
      <c r="V55" s="80"/>
      <c r="W55" s="112"/>
    </row>
  </sheetData>
  <phoneticPr fontId="17" type="noConversion"/>
  <hyperlinks>
    <hyperlink ref="N54" r:id="rId1" xr:uid="{00000000-0004-0000-0400-00000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topLeftCell="A5" workbookViewId="0"/>
  </sheetViews>
  <sheetFormatPr defaultColWidth="10" defaultRowHeight="13.05" customHeight="1" x14ac:dyDescent="0.5"/>
  <cols>
    <col min="1" max="1" width="10" customWidth="1"/>
  </cols>
  <sheetData/>
  <phoneticPr fontId="17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5"/>
  <sheetViews>
    <sheetView showGridLines="0" topLeftCell="A13" zoomScale="115" workbookViewId="0">
      <selection activeCell="M50" sqref="M50"/>
    </sheetView>
  </sheetViews>
  <sheetFormatPr defaultColWidth="10.8125" defaultRowHeight="15.75" customHeight="1" x14ac:dyDescent="0.5"/>
  <cols>
    <col min="1" max="1" width="10.8125" style="1" customWidth="1"/>
    <col min="2" max="2" width="25.5" style="1" customWidth="1"/>
    <col min="3" max="3" width="10.8125" style="1" customWidth="1"/>
    <col min="4" max="4" width="12.6875" style="1" customWidth="1"/>
    <col min="5" max="6" width="10.8125" style="1" customWidth="1"/>
    <col min="7" max="9" width="11.3125" style="1" customWidth="1"/>
    <col min="10" max="10" width="10.8125" style="1" customWidth="1"/>
    <col min="11" max="11" width="17.5" style="1" customWidth="1"/>
    <col min="12" max="12" width="10.8125" style="1" customWidth="1"/>
    <col min="13" max="13" width="12" style="1" customWidth="1"/>
    <col min="14" max="24" width="10.8125" style="1" customWidth="1"/>
    <col min="25" max="16384" width="10.8125" style="1"/>
  </cols>
  <sheetData>
    <row r="1" spans="1:23" ht="15.3" customHeight="1" x14ac:dyDescent="0.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08"/>
    </row>
    <row r="2" spans="1:23" ht="15.3" customHeight="1" x14ac:dyDescent="0.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09"/>
    </row>
    <row r="3" spans="1:23" ht="15.3" customHeight="1" x14ac:dyDescent="0.5">
      <c r="A3" s="6"/>
      <c r="B3" s="7" t="s">
        <v>86</v>
      </c>
      <c r="C3" s="8"/>
      <c r="D3" s="9"/>
      <c r="E3" s="37"/>
      <c r="F3" s="38"/>
      <c r="G3" s="39"/>
      <c r="H3" s="39"/>
      <c r="I3" s="75"/>
      <c r="J3" s="2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9"/>
    </row>
    <row r="4" spans="1:23" ht="15.3" customHeight="1" x14ac:dyDescent="0.5">
      <c r="A4" s="6"/>
      <c r="B4" s="10"/>
      <c r="C4" s="11"/>
      <c r="D4" s="11"/>
      <c r="E4" s="11"/>
      <c r="F4" s="40" t="s">
        <v>13</v>
      </c>
      <c r="G4" s="41"/>
      <c r="H4" s="31"/>
      <c r="I4" s="72"/>
      <c r="J4" s="2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9"/>
    </row>
    <row r="5" spans="1:23" ht="15.3" customHeight="1" x14ac:dyDescent="0.5">
      <c r="A5" s="6"/>
      <c r="B5" s="12" t="s">
        <v>15</v>
      </c>
      <c r="C5" s="13">
        <f>'Base Case'!C5</f>
        <v>44561</v>
      </c>
      <c r="D5" s="13">
        <f>'Base Case'!D5</f>
        <v>44926</v>
      </c>
      <c r="E5" s="13">
        <f>'Base Case'!E5</f>
        <v>45291</v>
      </c>
      <c r="F5" s="42">
        <f>'Base Case'!F5</f>
        <v>45291</v>
      </c>
      <c r="G5" s="43">
        <f>'Base Case'!G5</f>
        <v>2024</v>
      </c>
      <c r="H5" s="44">
        <f>'Base Case'!H5</f>
        <v>2025</v>
      </c>
      <c r="I5" s="76">
        <f>'Base Case'!I5</f>
        <v>2026</v>
      </c>
      <c r="J5" s="2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9"/>
    </row>
    <row r="6" spans="1:23" ht="15.3" customHeight="1" x14ac:dyDescent="0.5">
      <c r="A6" s="6"/>
      <c r="B6" s="14"/>
      <c r="C6" s="15"/>
      <c r="D6" s="15"/>
      <c r="E6" s="15"/>
      <c r="F6" s="45"/>
      <c r="G6" s="14"/>
      <c r="H6" s="15"/>
      <c r="I6" s="45"/>
      <c r="J6" s="2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9"/>
    </row>
    <row r="7" spans="1:23" ht="15.3" customHeight="1" x14ac:dyDescent="0.5">
      <c r="A7" s="6"/>
      <c r="B7" s="16" t="s">
        <v>16</v>
      </c>
      <c r="C7" s="17">
        <f>'Base Case'!C7</f>
        <v>4270.8940000000002</v>
      </c>
      <c r="D7" s="17">
        <f>'Base Case'!D7</f>
        <v>5095.2539999999999</v>
      </c>
      <c r="E7" s="17">
        <f>'Base Case'!E7</f>
        <v>5970.1459999999997</v>
      </c>
      <c r="F7" s="46">
        <f>'Base Case'!F7</f>
        <v>5970.1459999999997</v>
      </c>
      <c r="G7" s="47">
        <f>'Base Case'!G7</f>
        <v>6495.6753500000004</v>
      </c>
      <c r="H7" s="17">
        <f>'Base Case'!H7</f>
        <v>6981.2992299999996</v>
      </c>
      <c r="I7" s="46">
        <f>'Base Case'!I7</f>
        <v>7468</v>
      </c>
      <c r="J7" s="2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09"/>
    </row>
    <row r="8" spans="1:23" ht="15.3" customHeight="1" x14ac:dyDescent="0.5">
      <c r="A8" s="6"/>
      <c r="B8" s="16" t="s">
        <v>17</v>
      </c>
      <c r="C8" s="18">
        <f>'Base Case'!C8</f>
        <v>0.23400000000000001</v>
      </c>
      <c r="D8" s="19">
        <f>D7/C7-1</f>
        <v>0.19301813624969366</v>
      </c>
      <c r="E8" s="19">
        <f>E7/D7-1</f>
        <v>0.17170723971758806</v>
      </c>
      <c r="F8" s="48">
        <f>'Base Case'!F8</f>
        <v>0.17199999999999999</v>
      </c>
      <c r="G8" s="49">
        <f>G7/E7-1</f>
        <v>8.8026214099286904E-2</v>
      </c>
      <c r="H8" s="19">
        <f>H7/G7-1</f>
        <v>7.4761107018687323E-2</v>
      </c>
      <c r="I8" s="52">
        <f>I7/H7-1</f>
        <v>6.9714927546516314E-2</v>
      </c>
      <c r="J8" s="2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9"/>
    </row>
    <row r="9" spans="1:23" ht="15.3" customHeight="1" x14ac:dyDescent="0.5">
      <c r="A9" s="6"/>
      <c r="B9" s="16" t="s">
        <v>18</v>
      </c>
      <c r="C9" s="20">
        <f t="shared" ref="C9:F10" si="0">C7</f>
        <v>4270.8940000000002</v>
      </c>
      <c r="D9" s="20">
        <f t="shared" si="0"/>
        <v>5095.2539999999999</v>
      </c>
      <c r="E9" s="20">
        <f t="shared" si="0"/>
        <v>5970.1459999999997</v>
      </c>
      <c r="F9" s="50">
        <f t="shared" si="0"/>
        <v>5970.1459999999997</v>
      </c>
      <c r="G9" s="51">
        <f>E9*(1+G10)</f>
        <v>6447.7576799999997</v>
      </c>
      <c r="H9" s="20">
        <f>G9*(1+H10)</f>
        <v>6995.8170827999993</v>
      </c>
      <c r="I9" s="50">
        <f>H9*(1+I10)</f>
        <v>7590.4615348379994</v>
      </c>
      <c r="J9" s="2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9"/>
    </row>
    <row r="10" spans="1:23" ht="15.3" customHeight="1" x14ac:dyDescent="0.5">
      <c r="A10" s="6"/>
      <c r="B10" s="16" t="s">
        <v>17</v>
      </c>
      <c r="C10" s="19">
        <f t="shared" si="0"/>
        <v>0.23400000000000001</v>
      </c>
      <c r="D10" s="19">
        <f t="shared" si="0"/>
        <v>0.19301813624969366</v>
      </c>
      <c r="E10" s="19">
        <f t="shared" si="0"/>
        <v>0.17170723971758806</v>
      </c>
      <c r="F10" s="52">
        <f t="shared" si="0"/>
        <v>0.17199999999999999</v>
      </c>
      <c r="G10" s="53">
        <f>'Base Case'!G10</f>
        <v>0.08</v>
      </c>
      <c r="H10" s="18">
        <f>'Base Case'!H10</f>
        <v>8.5000000000000006E-2</v>
      </c>
      <c r="I10" s="48">
        <f>'Base Case'!I10</f>
        <v>8.5000000000000006E-2</v>
      </c>
      <c r="J10" s="2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9"/>
    </row>
    <row r="11" spans="1:23" ht="15.3" customHeight="1" x14ac:dyDescent="0.5">
      <c r="A11" s="6"/>
      <c r="B11" s="21"/>
      <c r="C11" s="22"/>
      <c r="D11" s="22"/>
      <c r="E11" s="22"/>
      <c r="F11" s="54"/>
      <c r="G11" s="55"/>
      <c r="H11" s="22"/>
      <c r="I11" s="54"/>
      <c r="J11" s="2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9"/>
    </row>
    <row r="12" spans="1:23" ht="15.3" customHeight="1" x14ac:dyDescent="0.5">
      <c r="A12" s="6"/>
      <c r="B12" s="16" t="s">
        <v>22</v>
      </c>
      <c r="C12" s="17">
        <f>'Base Case'!C12</f>
        <v>1314.761</v>
      </c>
      <c r="D12" s="17">
        <f>'Base Case'!D12</f>
        <v>1492.8689999999999</v>
      </c>
      <c r="E12" s="17">
        <f>'Base Case'!E12</f>
        <v>1911.5309999999999</v>
      </c>
      <c r="F12" s="46">
        <f>'Base Case'!F12</f>
        <v>1911.5309999999999</v>
      </c>
      <c r="G12" s="47">
        <f>'Base Case'!G12</f>
        <v>2511.9361399999998</v>
      </c>
      <c r="H12" s="17">
        <f>'Base Case'!H12</f>
        <v>2757.3114500000001</v>
      </c>
      <c r="I12" s="46">
        <f>'Base Case'!I12</f>
        <v>2993</v>
      </c>
      <c r="J12" s="2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09"/>
    </row>
    <row r="13" spans="1:23" ht="15.3" customHeight="1" x14ac:dyDescent="0.5">
      <c r="A13" s="6"/>
      <c r="B13" s="16" t="s">
        <v>23</v>
      </c>
      <c r="C13" s="19">
        <f t="shared" ref="C13:I13" si="1">C12/C7</f>
        <v>0.30784210518921795</v>
      </c>
      <c r="D13" s="19">
        <f t="shared" si="1"/>
        <v>0.29299206673504402</v>
      </c>
      <c r="E13" s="19">
        <f t="shared" si="1"/>
        <v>0.32018161699898129</v>
      </c>
      <c r="F13" s="52">
        <f t="shared" si="1"/>
        <v>0.32018161699898129</v>
      </c>
      <c r="G13" s="49">
        <f t="shared" si="1"/>
        <v>0.3867090032447511</v>
      </c>
      <c r="H13" s="19">
        <f t="shared" si="1"/>
        <v>0.39495677798070838</v>
      </c>
      <c r="I13" s="52">
        <f t="shared" si="1"/>
        <v>0.40077664702731652</v>
      </c>
      <c r="J13" s="2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109"/>
    </row>
    <row r="14" spans="1:23" ht="15.3" customHeight="1" x14ac:dyDescent="0.5">
      <c r="A14" s="6"/>
      <c r="B14" s="16" t="s">
        <v>25</v>
      </c>
      <c r="C14" s="20">
        <f>C12</f>
        <v>1314.761</v>
      </c>
      <c r="D14" s="20">
        <f>D12</f>
        <v>1492.8689999999999</v>
      </c>
      <c r="E14" s="20">
        <f>E12</f>
        <v>1911.5309999999999</v>
      </c>
      <c r="F14" s="50">
        <f>F12</f>
        <v>1911.5309999999999</v>
      </c>
      <c r="G14" s="51">
        <f>G15*G9</f>
        <v>2127.7600344000002</v>
      </c>
      <c r="H14" s="20">
        <f>H15*H9</f>
        <v>2378.5778081519998</v>
      </c>
      <c r="I14" s="50">
        <f>I15*I9</f>
        <v>2580.7569218449198</v>
      </c>
      <c r="J14" s="2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09"/>
    </row>
    <row r="15" spans="1:23" ht="15.3" customHeight="1" x14ac:dyDescent="0.5">
      <c r="A15" s="6"/>
      <c r="B15" s="16" t="s">
        <v>23</v>
      </c>
      <c r="C15" s="19">
        <f>C14/C7</f>
        <v>0.30784210518921795</v>
      </c>
      <c r="D15" s="19">
        <f>D14/D7</f>
        <v>0.29299206673504402</v>
      </c>
      <c r="E15" s="19">
        <f>E14/E7</f>
        <v>0.32018161699898129</v>
      </c>
      <c r="F15" s="52">
        <f>F14/F7</f>
        <v>0.32018161699898129</v>
      </c>
      <c r="G15" s="53">
        <f>'Base Case'!G15</f>
        <v>0.33</v>
      </c>
      <c r="H15" s="18">
        <f>'Base Case'!H15</f>
        <v>0.34</v>
      </c>
      <c r="I15" s="48">
        <f>'Base Case'!I15</f>
        <v>0.34</v>
      </c>
      <c r="J15" s="2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109"/>
    </row>
    <row r="16" spans="1:23" ht="15.3" customHeight="1" x14ac:dyDescent="0.5">
      <c r="A16" s="6"/>
      <c r="B16" s="16" t="s">
        <v>17</v>
      </c>
      <c r="C16" s="18">
        <f>'Base Case'!C16</f>
        <v>0.91109167759801801</v>
      </c>
      <c r="D16" s="18">
        <f>'Base Case'!D16</f>
        <v>0.57039353264185499</v>
      </c>
      <c r="E16" s="18">
        <f>'Base Case'!E16</f>
        <v>-0.367733475790394</v>
      </c>
      <c r="F16" s="48">
        <f>'Base Case'!F16</f>
        <v>-0.367733475790394</v>
      </c>
      <c r="G16" s="53">
        <f>G14/E14-1</f>
        <v>0.11311824626438205</v>
      </c>
      <c r="H16" s="18">
        <f>H14/G14-1</f>
        <v>0.11787878787878769</v>
      </c>
      <c r="I16" s="48">
        <f>I14/H14-1</f>
        <v>8.4999999999999964E-2</v>
      </c>
      <c r="J16" s="2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09"/>
    </row>
    <row r="17" spans="1:23" ht="15.3" customHeight="1" x14ac:dyDescent="0.5">
      <c r="A17" s="6"/>
      <c r="B17" s="21"/>
      <c r="C17" s="19"/>
      <c r="D17" s="19"/>
      <c r="E17" s="19"/>
      <c r="F17" s="52"/>
      <c r="G17" s="56"/>
      <c r="H17" s="57"/>
      <c r="I17" s="77"/>
      <c r="J17" s="2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109"/>
    </row>
    <row r="18" spans="1:23" ht="15.3" customHeight="1" x14ac:dyDescent="0.5">
      <c r="A18" s="6"/>
      <c r="B18" s="16" t="s">
        <v>87</v>
      </c>
      <c r="C18" s="23">
        <v>261.517</v>
      </c>
      <c r="D18" s="23">
        <v>288.495</v>
      </c>
      <c r="E18" s="23">
        <v>319.649</v>
      </c>
      <c r="F18" s="58">
        <v>319.649</v>
      </c>
      <c r="G18" s="51">
        <f>G19*G9</f>
        <v>0</v>
      </c>
      <c r="H18" s="20">
        <f>H19*H9</f>
        <v>0</v>
      </c>
      <c r="I18" s="50">
        <f>I19*I9</f>
        <v>0</v>
      </c>
      <c r="J18" s="2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9"/>
    </row>
    <row r="19" spans="1:23" ht="15.3" customHeight="1" x14ac:dyDescent="0.5">
      <c r="A19" s="6"/>
      <c r="B19" s="16" t="s">
        <v>33</v>
      </c>
      <c r="C19" s="19">
        <f>C18/C9</f>
        <v>6.1232378982011726E-2</v>
      </c>
      <c r="D19" s="19">
        <f>D18/D9</f>
        <v>5.6620337278573359E-2</v>
      </c>
      <c r="E19" s="19">
        <f>E18/E9</f>
        <v>5.3541236679973993E-2</v>
      </c>
      <c r="F19" s="52">
        <f>F18/F9</f>
        <v>5.3541236679973993E-2</v>
      </c>
      <c r="G19" s="59">
        <v>0</v>
      </c>
      <c r="H19" s="60">
        <v>0</v>
      </c>
      <c r="I19" s="78">
        <v>0</v>
      </c>
      <c r="J19" s="2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09"/>
    </row>
    <row r="20" spans="1:23" ht="15.3" customHeight="1" x14ac:dyDescent="0.5">
      <c r="A20" s="6"/>
      <c r="B20" s="21"/>
      <c r="C20" s="19"/>
      <c r="D20" s="19"/>
      <c r="E20" s="19"/>
      <c r="F20" s="52"/>
      <c r="G20" s="56"/>
      <c r="H20" s="57"/>
      <c r="I20" s="77"/>
      <c r="J20" s="2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109"/>
    </row>
    <row r="21" spans="1:23" ht="15.3" customHeight="1" x14ac:dyDescent="0.5">
      <c r="A21" s="6"/>
      <c r="B21" s="16" t="s">
        <v>39</v>
      </c>
      <c r="C21" s="20">
        <f t="shared" ref="C21:I21" si="2">(C14-C18)*(1-$L$33)</f>
        <v>800.46543999999994</v>
      </c>
      <c r="D21" s="20">
        <f t="shared" si="2"/>
        <v>915.3242399999998</v>
      </c>
      <c r="E21" s="20">
        <f t="shared" si="2"/>
        <v>1209.83032</v>
      </c>
      <c r="F21" s="50">
        <f t="shared" si="2"/>
        <v>1209.83032</v>
      </c>
      <c r="G21" s="51">
        <f t="shared" si="2"/>
        <v>1617.0976261440003</v>
      </c>
      <c r="H21" s="20">
        <f t="shared" si="2"/>
        <v>1807.7191341955199</v>
      </c>
      <c r="I21" s="50">
        <f t="shared" si="2"/>
        <v>1961.3752606021392</v>
      </c>
      <c r="J21" s="2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09"/>
    </row>
    <row r="22" spans="1:23" ht="15.3" customHeight="1" x14ac:dyDescent="0.5">
      <c r="A22" s="6"/>
      <c r="B22" s="21"/>
      <c r="C22" s="19"/>
      <c r="D22" s="19"/>
      <c r="E22" s="19"/>
      <c r="F22" s="52"/>
      <c r="G22" s="56"/>
      <c r="H22" s="57"/>
      <c r="I22" s="77"/>
      <c r="J22" s="2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09"/>
    </row>
    <row r="23" spans="1:23" ht="15.3" customHeight="1" x14ac:dyDescent="0.5">
      <c r="A23" s="6"/>
      <c r="B23" s="16" t="s">
        <v>43</v>
      </c>
      <c r="C23" s="24">
        <f>'Base Case'!C23</f>
        <v>184.77099999999999</v>
      </c>
      <c r="D23" s="24">
        <f>'Base Case'!D23</f>
        <v>183.12100000000001</v>
      </c>
      <c r="E23" s="24">
        <f>'Base Case'!E23</f>
        <v>181.511</v>
      </c>
      <c r="F23" s="61">
        <f>'Base Case'!F23</f>
        <v>181.511</v>
      </c>
      <c r="G23" s="55">
        <f>F23</f>
        <v>181.511</v>
      </c>
      <c r="H23" s="22">
        <f>G23</f>
        <v>181.511</v>
      </c>
      <c r="I23" s="54">
        <f>H23</f>
        <v>181.511</v>
      </c>
      <c r="J23" s="21"/>
      <c r="K23" s="7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109"/>
    </row>
    <row r="24" spans="1:23" ht="16.5" customHeight="1" x14ac:dyDescent="0.5">
      <c r="A24" s="6"/>
      <c r="B24" s="21"/>
      <c r="C24" s="19"/>
      <c r="D24" s="19"/>
      <c r="E24" s="19"/>
      <c r="F24" s="52"/>
      <c r="G24" s="56"/>
      <c r="H24" s="57"/>
      <c r="I24" s="77"/>
      <c r="J24" s="21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10"/>
    </row>
    <row r="25" spans="1:23" ht="15.75" customHeight="1" x14ac:dyDescent="0.5">
      <c r="A25" s="6"/>
      <c r="B25" s="16" t="s">
        <v>45</v>
      </c>
      <c r="C25" s="25">
        <f t="shared" ref="C25:I25" si="3">C21/C23</f>
        <v>4.3322027807394017</v>
      </c>
      <c r="D25" s="25">
        <f t="shared" si="3"/>
        <v>4.9984668061008826</v>
      </c>
      <c r="E25" s="25">
        <f t="shared" si="3"/>
        <v>6.6653278313711022</v>
      </c>
      <c r="F25" s="62">
        <f t="shared" si="3"/>
        <v>6.6653278313711022</v>
      </c>
      <c r="G25" s="63">
        <f t="shared" si="3"/>
        <v>8.9090888494030676</v>
      </c>
      <c r="H25" s="25">
        <f t="shared" si="3"/>
        <v>9.9592814440751241</v>
      </c>
      <c r="I25" s="62">
        <f t="shared" si="3"/>
        <v>10.805820366821511</v>
      </c>
      <c r="J25" s="81"/>
      <c r="K25" s="82" t="s">
        <v>24</v>
      </c>
      <c r="L25" s="83"/>
      <c r="M25" s="83"/>
      <c r="N25" s="83"/>
      <c r="O25" s="83"/>
      <c r="P25" s="83"/>
      <c r="Q25" s="93"/>
      <c r="R25" s="93"/>
      <c r="S25" s="93"/>
      <c r="T25" s="93"/>
      <c r="U25" s="93"/>
      <c r="V25" s="93"/>
      <c r="W25" s="111"/>
    </row>
    <row r="26" spans="1:23" ht="15.3" customHeight="1" x14ac:dyDescent="0.5">
      <c r="A26" s="6"/>
      <c r="B26" s="21"/>
      <c r="C26" s="5"/>
      <c r="D26" s="5"/>
      <c r="E26" s="5"/>
      <c r="F26" s="64"/>
      <c r="G26" s="21"/>
      <c r="H26" s="5"/>
      <c r="I26" s="64"/>
      <c r="J26" s="81"/>
      <c r="K26" s="84"/>
      <c r="L26" s="85" t="s">
        <v>26</v>
      </c>
      <c r="M26" s="98" t="s">
        <v>27</v>
      </c>
      <c r="N26" s="31"/>
      <c r="O26" s="31"/>
      <c r="P26" s="31"/>
      <c r="Q26" s="5"/>
      <c r="R26" s="5"/>
      <c r="S26" s="5"/>
      <c r="T26" s="5"/>
      <c r="U26" s="5"/>
      <c r="V26" s="5"/>
      <c r="W26" s="95"/>
    </row>
    <row r="27" spans="1:23" ht="15.3" customHeight="1" x14ac:dyDescent="0.5">
      <c r="A27" s="6"/>
      <c r="B27" s="16" t="s">
        <v>49</v>
      </c>
      <c r="C27" s="26"/>
      <c r="D27" s="26"/>
      <c r="E27" s="26"/>
      <c r="F27" s="65"/>
      <c r="G27" s="66">
        <f>M55</f>
        <v>24.444444444444446</v>
      </c>
      <c r="H27" s="26">
        <f>G27</f>
        <v>24.444444444444446</v>
      </c>
      <c r="I27" s="65">
        <f>H27</f>
        <v>24.444444444444446</v>
      </c>
      <c r="J27" s="81"/>
      <c r="K27" s="86" t="s">
        <v>15</v>
      </c>
      <c r="L27" s="87">
        <v>2021</v>
      </c>
      <c r="M27" s="87">
        <v>2022</v>
      </c>
      <c r="N27" s="87">
        <v>2023</v>
      </c>
      <c r="O27" s="87">
        <v>2024</v>
      </c>
      <c r="P27" s="99" t="s">
        <v>28</v>
      </c>
      <c r="Q27" s="5"/>
      <c r="R27" s="5"/>
      <c r="S27" s="5"/>
      <c r="T27" s="5"/>
      <c r="U27" s="5"/>
      <c r="V27" s="5"/>
      <c r="W27" s="95"/>
    </row>
    <row r="28" spans="1:23" ht="15.3" customHeight="1" x14ac:dyDescent="0.5">
      <c r="A28" s="6"/>
      <c r="B28" s="21"/>
      <c r="C28" s="26"/>
      <c r="D28" s="26"/>
      <c r="E28" s="26"/>
      <c r="F28" s="65"/>
      <c r="G28" s="67"/>
      <c r="H28" s="68"/>
      <c r="I28" s="88"/>
      <c r="J28" s="81"/>
      <c r="K28" s="89" t="s">
        <v>29</v>
      </c>
      <c r="L28" s="17">
        <f>'Base Case'!L16</f>
        <v>1212.627</v>
      </c>
      <c r="M28" s="20">
        <f>M29+M30</f>
        <v>2734.2766365440002</v>
      </c>
      <c r="N28" s="20">
        <f>N29+N30</f>
        <v>4446.5477811395194</v>
      </c>
      <c r="O28" s="20">
        <f>O29+O30</f>
        <v>6312.475052141659</v>
      </c>
      <c r="P28" s="79"/>
      <c r="Q28" s="5"/>
      <c r="R28" s="5"/>
      <c r="S28" s="5"/>
      <c r="T28" s="5"/>
      <c r="U28" s="5"/>
      <c r="V28" s="5"/>
      <c r="W28" s="95"/>
    </row>
    <row r="29" spans="1:23" ht="15.3" customHeight="1" x14ac:dyDescent="0.5">
      <c r="A29" s="6"/>
      <c r="B29" s="16" t="s">
        <v>53</v>
      </c>
      <c r="C29" s="27">
        <f>'Base Case'!C29</f>
        <v>-6.7506048027017203</v>
      </c>
      <c r="D29" s="27">
        <f>'Base Case'!D29</f>
        <v>-7.3409221225310004</v>
      </c>
      <c r="E29" s="27">
        <f>'Base Case'!E29</f>
        <v>-7.0890028703494599</v>
      </c>
      <c r="F29" s="69">
        <f>'Base Case'!F29</f>
        <v>-7.0890028703494599</v>
      </c>
      <c r="G29" s="63">
        <f>M31</f>
        <v>1.3627638905851431</v>
      </c>
      <c r="H29" s="25">
        <f>N31</f>
        <v>10.796192964280509</v>
      </c>
      <c r="I29" s="62">
        <f>O31</f>
        <v>21.076160960722266</v>
      </c>
      <c r="J29" s="81"/>
      <c r="K29" s="89" t="s">
        <v>30</v>
      </c>
      <c r="L29" s="17">
        <f>'Base Case'!L17</f>
        <v>2486.92</v>
      </c>
      <c r="M29" s="20">
        <f>L29</f>
        <v>2486.92</v>
      </c>
      <c r="N29" s="20">
        <f>M29</f>
        <v>2486.92</v>
      </c>
      <c r="O29" s="20">
        <f>N29</f>
        <v>2486.92</v>
      </c>
      <c r="P29" s="79"/>
      <c r="Q29" s="5"/>
      <c r="R29" s="5"/>
      <c r="S29" s="5"/>
      <c r="T29" s="5"/>
      <c r="U29" s="5"/>
      <c r="V29" s="5"/>
      <c r="W29" s="95"/>
    </row>
    <row r="30" spans="1:23" ht="15.3" customHeight="1" x14ac:dyDescent="0.5">
      <c r="A30" s="6"/>
      <c r="B30" s="21"/>
      <c r="C30" s="5"/>
      <c r="D30" s="5"/>
      <c r="E30" s="5"/>
      <c r="F30" s="64"/>
      <c r="G30" s="21"/>
      <c r="H30" s="5"/>
      <c r="I30" s="64"/>
      <c r="J30" s="81"/>
      <c r="K30" s="89" t="s">
        <v>32</v>
      </c>
      <c r="L30" s="20">
        <f>L28-L29</f>
        <v>-1274.2930000000001</v>
      </c>
      <c r="M30" s="20">
        <f>L30+(G23*G25)-(M29*$L$32)*(1-$L$33)</f>
        <v>247.35663654399991</v>
      </c>
      <c r="N30" s="20">
        <f>M30+(H23*H25)-(N29*$L$32)*(1-$L$33)</f>
        <v>1959.6277811395196</v>
      </c>
      <c r="O30" s="20">
        <f>N30+(I23*I25)-(O29*$L$32)*(1-$L$33)</f>
        <v>3825.555052141659</v>
      </c>
      <c r="P30" s="100"/>
      <c r="Q30" s="5"/>
      <c r="R30" s="5"/>
      <c r="S30" s="5"/>
      <c r="T30" s="5"/>
      <c r="U30" s="5"/>
      <c r="V30" s="5"/>
      <c r="W30" s="95"/>
    </row>
    <row r="31" spans="1:23" ht="15.3" customHeight="1" x14ac:dyDescent="0.5">
      <c r="A31" s="6"/>
      <c r="B31" s="16" t="s">
        <v>57</v>
      </c>
      <c r="C31" s="5"/>
      <c r="D31" s="5"/>
      <c r="E31" s="5"/>
      <c r="F31" s="64"/>
      <c r="G31" s="63">
        <f>G25*G27+G29</f>
        <v>219.14049132043792</v>
      </c>
      <c r="H31" s="25">
        <f>H25*H27+H29</f>
        <v>254.24529493056136</v>
      </c>
      <c r="I31" s="62">
        <f>I25*I27+I29</f>
        <v>285.21843659413702</v>
      </c>
      <c r="J31" s="81"/>
      <c r="K31" s="89" t="s">
        <v>34</v>
      </c>
      <c r="L31" s="25">
        <f>L30/E23</f>
        <v>-7.0204725884381673</v>
      </c>
      <c r="M31" s="25">
        <f>M30/G23</f>
        <v>1.3627638905851431</v>
      </c>
      <c r="N31" s="25">
        <f>N30/H23</f>
        <v>10.796192964280509</v>
      </c>
      <c r="O31" s="25">
        <f>O30/I23</f>
        <v>21.076160960722266</v>
      </c>
      <c r="P31" s="79"/>
      <c r="Q31" s="5"/>
      <c r="R31" s="5"/>
      <c r="S31" s="5"/>
      <c r="T31" s="5"/>
      <c r="U31" s="5"/>
      <c r="V31" s="5"/>
      <c r="W31" s="95"/>
    </row>
    <row r="32" spans="1:23" ht="15.3" customHeight="1" x14ac:dyDescent="0.5">
      <c r="A32" s="6"/>
      <c r="B32" s="21"/>
      <c r="C32" s="5"/>
      <c r="D32" s="5"/>
      <c r="E32" s="5"/>
      <c r="F32" s="64"/>
      <c r="G32" s="21"/>
      <c r="H32" s="5"/>
      <c r="I32" s="64"/>
      <c r="J32" s="81"/>
      <c r="K32" s="89" t="s">
        <v>35</v>
      </c>
      <c r="L32" s="90">
        <f>'Base Case'!L20</f>
        <v>5.0500000000000003E-2</v>
      </c>
      <c r="M32" s="5"/>
      <c r="N32" s="5"/>
      <c r="O32" s="5"/>
      <c r="P32" s="79"/>
      <c r="Q32" s="5"/>
      <c r="R32" s="5"/>
      <c r="S32" s="5"/>
      <c r="T32" s="5"/>
      <c r="U32" s="5"/>
      <c r="V32" s="5"/>
      <c r="W32" s="95"/>
    </row>
    <row r="33" spans="1:23" ht="15.3" customHeight="1" x14ac:dyDescent="0.5">
      <c r="A33" s="6"/>
      <c r="B33" s="28" t="s">
        <v>3</v>
      </c>
      <c r="C33" s="29"/>
      <c r="D33" s="29"/>
      <c r="E33" s="29"/>
      <c r="F33" s="70"/>
      <c r="G33" s="71">
        <f>G31/$L$34-1</f>
        <v>1.1914049132043791</v>
      </c>
      <c r="H33" s="29">
        <f>H31/$L$34-1</f>
        <v>1.5424529493056136</v>
      </c>
      <c r="I33" s="70">
        <f>I31/$L$34-1</f>
        <v>1.8521843659413704</v>
      </c>
      <c r="J33" s="81"/>
      <c r="K33" s="89" t="s">
        <v>40</v>
      </c>
      <c r="L33" s="90">
        <f>'Base Case'!L21</f>
        <v>0.24</v>
      </c>
      <c r="M33" s="5"/>
      <c r="N33" s="5"/>
      <c r="O33" s="5"/>
      <c r="P33" s="79"/>
      <c r="Q33" s="5"/>
      <c r="R33" s="5"/>
      <c r="S33" s="5"/>
      <c r="T33" s="5"/>
      <c r="U33" s="5"/>
      <c r="V33" s="5"/>
      <c r="W33" s="95"/>
    </row>
    <row r="34" spans="1:23" ht="16.5" customHeight="1" x14ac:dyDescent="0.5">
      <c r="A34" s="6"/>
      <c r="B34" s="21"/>
      <c r="C34" s="5"/>
      <c r="D34" s="5"/>
      <c r="E34" s="5"/>
      <c r="F34" s="64"/>
      <c r="G34" s="21"/>
      <c r="H34" s="5"/>
      <c r="I34" s="64"/>
      <c r="J34" s="81"/>
      <c r="K34" s="91" t="s">
        <v>42</v>
      </c>
      <c r="L34" s="92">
        <v>100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112"/>
    </row>
    <row r="35" spans="1:23" ht="15.75" customHeight="1" x14ac:dyDescent="0.5">
      <c r="A35" s="6"/>
      <c r="B35" s="16" t="s">
        <v>67</v>
      </c>
      <c r="C35" s="5"/>
      <c r="D35" s="5"/>
      <c r="E35" s="5"/>
      <c r="F35" s="64"/>
      <c r="G35" s="51">
        <f>G31*G23</f>
        <v>39776.409720064003</v>
      </c>
      <c r="H35" s="20">
        <f>H31*H23</f>
        <v>46148.317728141119</v>
      </c>
      <c r="I35" s="50">
        <f>I31*I23</f>
        <v>51770.283644638403</v>
      </c>
      <c r="J35" s="21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113"/>
    </row>
    <row r="36" spans="1:23" ht="15.3" customHeight="1" x14ac:dyDescent="0.5">
      <c r="A36" s="6"/>
      <c r="B36" s="16" t="s">
        <v>69</v>
      </c>
      <c r="C36" s="5"/>
      <c r="D36" s="5"/>
      <c r="E36" s="5"/>
      <c r="F36" s="64"/>
      <c r="G36" s="51">
        <f>G35-M28+M29</f>
        <v>39529.053083520004</v>
      </c>
      <c r="H36" s="20">
        <f>H35-N28+N29</f>
        <v>44188.6899470016</v>
      </c>
      <c r="I36" s="50">
        <f>I35-O28+O29</f>
        <v>47944.728592496744</v>
      </c>
      <c r="J36" s="2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109"/>
    </row>
    <row r="37" spans="1:23" ht="15.3" customHeight="1" x14ac:dyDescent="0.5">
      <c r="A37" s="6"/>
      <c r="B37" s="30" t="s">
        <v>70</v>
      </c>
      <c r="C37" s="31"/>
      <c r="D37" s="31"/>
      <c r="E37" s="31"/>
      <c r="F37" s="72"/>
      <c r="G37" s="73">
        <f>G36/G14</f>
        <v>18.577777777777779</v>
      </c>
      <c r="H37" s="74">
        <f>H36/H14</f>
        <v>18.577777777777779</v>
      </c>
      <c r="I37" s="94">
        <f>I36/I14</f>
        <v>18.577777777777783</v>
      </c>
      <c r="J37" s="2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109"/>
    </row>
    <row r="38" spans="1:23" ht="15.3" customHeight="1" x14ac:dyDescent="0.5">
      <c r="A38" s="4"/>
      <c r="B38" s="15"/>
      <c r="C38" s="15"/>
      <c r="D38" s="15"/>
      <c r="E38" s="15"/>
      <c r="F38" s="15"/>
      <c r="G38" s="15"/>
      <c r="H38" s="15"/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109"/>
    </row>
    <row r="39" spans="1:23" ht="15.3" customHeight="1" x14ac:dyDescent="0.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109"/>
    </row>
    <row r="40" spans="1:23" ht="15.3" customHeight="1" x14ac:dyDescent="0.5">
      <c r="A40" s="4"/>
      <c r="B40" s="32" t="s">
        <v>88</v>
      </c>
      <c r="C40" s="5"/>
      <c r="D40" s="5"/>
      <c r="E40" s="19">
        <f>I21/H21-1</f>
        <v>8.4999999999999964E-2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109"/>
    </row>
    <row r="41" spans="1:23" ht="15.3" customHeight="1" x14ac:dyDescent="0.5">
      <c r="A41" s="4"/>
      <c r="B41" s="32" t="s">
        <v>89</v>
      </c>
      <c r="C41" s="5"/>
      <c r="D41" s="5"/>
      <c r="E41" s="19">
        <f>E40/2</f>
        <v>4.2499999999999982E-2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109"/>
    </row>
    <row r="42" spans="1:23" ht="15.3" customHeight="1" x14ac:dyDescent="0.5">
      <c r="A42" s="4"/>
      <c r="B42" s="32" t="s">
        <v>90</v>
      </c>
      <c r="C42" s="5"/>
      <c r="D42" s="5"/>
      <c r="E42" s="19">
        <f>E41/2</f>
        <v>2.1249999999999991E-2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09"/>
    </row>
    <row r="43" spans="1:23" ht="15.3" customHeight="1" x14ac:dyDescent="0.5">
      <c r="A43" s="4"/>
      <c r="B43" s="32" t="s">
        <v>91</v>
      </c>
      <c r="C43" s="5"/>
      <c r="D43" s="5"/>
      <c r="E43" s="60">
        <v>8.5000000000000006E-2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09"/>
    </row>
    <row r="44" spans="1:23" ht="16.5" customHeight="1" x14ac:dyDescent="0.5">
      <c r="A44" s="4"/>
      <c r="B44" s="33" t="s">
        <v>92</v>
      </c>
      <c r="C44" s="5"/>
      <c r="D44" s="5"/>
      <c r="E44" s="5"/>
      <c r="F44" s="5"/>
      <c r="G44" s="5"/>
      <c r="H44" s="5"/>
      <c r="I44" s="5"/>
      <c r="J44" s="5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110"/>
    </row>
    <row r="45" spans="1:23" ht="15.75" customHeight="1" x14ac:dyDescent="0.5">
      <c r="A45" s="4"/>
      <c r="B45" s="34">
        <f>G5</f>
        <v>2024</v>
      </c>
      <c r="C45" s="20">
        <f>G21</f>
        <v>1617.0976261440003</v>
      </c>
      <c r="D45" s="5"/>
      <c r="E45" s="5"/>
      <c r="F45" s="5"/>
      <c r="G45" s="5"/>
      <c r="H45" s="5"/>
      <c r="I45" s="5"/>
      <c r="J45" s="95"/>
      <c r="K45" s="82" t="s">
        <v>46</v>
      </c>
      <c r="L45" s="83"/>
      <c r="M45" s="83"/>
      <c r="N45" s="93"/>
      <c r="O45" s="93"/>
      <c r="P45" s="93"/>
      <c r="Q45" s="93"/>
      <c r="R45" s="93"/>
      <c r="S45" s="93"/>
      <c r="T45" s="93"/>
      <c r="U45" s="93"/>
      <c r="V45" s="93"/>
      <c r="W45" s="111"/>
    </row>
    <row r="46" spans="1:23" ht="15.3" customHeight="1" x14ac:dyDescent="0.5">
      <c r="A46" s="4"/>
      <c r="B46" s="34">
        <f>H5</f>
        <v>2025</v>
      </c>
      <c r="C46" s="20">
        <f>H21</f>
        <v>1807.7191341955199</v>
      </c>
      <c r="D46" s="5"/>
      <c r="E46" s="5"/>
      <c r="F46" s="5"/>
      <c r="G46" s="5"/>
      <c r="H46" s="5"/>
      <c r="I46" s="5"/>
      <c r="J46" s="95"/>
      <c r="K46" s="89" t="s">
        <v>47</v>
      </c>
      <c r="L46" s="32" t="s">
        <v>48</v>
      </c>
      <c r="M46" s="90">
        <f>'Base Case'!M26</f>
        <v>0.114308846905365</v>
      </c>
      <c r="N46" s="5"/>
      <c r="O46" s="5"/>
      <c r="P46" s="5"/>
      <c r="Q46" s="5"/>
      <c r="R46" s="5"/>
      <c r="S46" s="5"/>
      <c r="T46" s="5"/>
      <c r="U46" s="5"/>
      <c r="V46" s="5"/>
      <c r="W46" s="95"/>
    </row>
    <row r="47" spans="1:23" ht="15.3" customHeight="1" x14ac:dyDescent="0.5">
      <c r="A47" s="4"/>
      <c r="B47" s="34">
        <f>I5</f>
        <v>2026</v>
      </c>
      <c r="C47" s="20">
        <f>I21</f>
        <v>1961.3752606021392</v>
      </c>
      <c r="D47" s="5"/>
      <c r="E47" s="5"/>
      <c r="F47" s="5"/>
      <c r="G47" s="5"/>
      <c r="H47" s="5"/>
      <c r="I47" s="5"/>
      <c r="J47" s="95"/>
      <c r="K47" s="89" t="s">
        <v>50</v>
      </c>
      <c r="L47" s="32" t="s">
        <v>48</v>
      </c>
      <c r="M47" s="90">
        <f>'Base Case'!M27</f>
        <v>0.188679606152059</v>
      </c>
      <c r="N47" s="5"/>
      <c r="O47" s="5"/>
      <c r="P47" s="5"/>
      <c r="Q47" s="5"/>
      <c r="R47" s="5"/>
      <c r="S47" s="5"/>
      <c r="T47" s="5"/>
      <c r="U47" s="5"/>
      <c r="V47" s="5"/>
      <c r="W47" s="95"/>
    </row>
    <row r="48" spans="1:23" ht="15.3" customHeight="1" x14ac:dyDescent="0.5">
      <c r="A48" s="4"/>
      <c r="B48" s="34">
        <f t="shared" ref="B48:B54" si="4">B47+1</f>
        <v>2027</v>
      </c>
      <c r="C48" s="34">
        <f>C47*(1+$E$40)</f>
        <v>2128.0921577533209</v>
      </c>
      <c r="D48" s="5"/>
      <c r="E48" s="5"/>
      <c r="F48" s="5"/>
      <c r="G48" s="5"/>
      <c r="H48" s="5"/>
      <c r="I48" s="5"/>
      <c r="J48" s="95"/>
      <c r="K48" s="89" t="s">
        <v>51</v>
      </c>
      <c r="L48" s="32" t="s">
        <v>52</v>
      </c>
      <c r="M48" s="101">
        <f>(H12/E12)^(1/2)-1</f>
        <v>0.20102553041225235</v>
      </c>
      <c r="N48" s="5"/>
      <c r="O48" s="5"/>
      <c r="P48" s="5"/>
      <c r="Q48" s="5"/>
      <c r="R48" s="5"/>
      <c r="S48" s="5"/>
      <c r="T48" s="5"/>
      <c r="U48" s="5"/>
      <c r="V48" s="5"/>
      <c r="W48" s="95"/>
    </row>
    <row r="49" spans="1:23" ht="15.3" customHeight="1" x14ac:dyDescent="0.5">
      <c r="A49" s="4"/>
      <c r="B49" s="34">
        <f t="shared" si="4"/>
        <v>2028</v>
      </c>
      <c r="C49" s="19">
        <f>C48*(1+$E$40)</f>
        <v>2308.9799911623531</v>
      </c>
      <c r="D49" s="5"/>
      <c r="E49" s="5"/>
      <c r="F49" s="5"/>
      <c r="G49" s="5"/>
      <c r="H49" s="5"/>
      <c r="I49" s="5"/>
      <c r="J49" s="95"/>
      <c r="K49" s="89" t="s">
        <v>50</v>
      </c>
      <c r="L49" s="32" t="s">
        <v>54</v>
      </c>
      <c r="M49" s="101">
        <f>(I14/E14)^(1/3)-1</f>
        <v>0.10523658368757816</v>
      </c>
      <c r="N49" s="5"/>
      <c r="O49" s="5"/>
      <c r="P49" s="5"/>
      <c r="Q49" s="5"/>
      <c r="R49" s="5"/>
      <c r="S49" s="5"/>
      <c r="T49" s="5"/>
      <c r="U49" s="5"/>
      <c r="V49" s="5"/>
      <c r="W49" s="95"/>
    </row>
    <row r="50" spans="1:23" ht="15.3" customHeight="1" x14ac:dyDescent="0.5">
      <c r="A50" s="4"/>
      <c r="B50" s="34">
        <f t="shared" si="4"/>
        <v>2029</v>
      </c>
      <c r="C50" s="19">
        <f>C49*(1+$E$40)</f>
        <v>2505.2432904111529</v>
      </c>
      <c r="D50" s="5"/>
      <c r="E50" s="5"/>
      <c r="F50" s="5"/>
      <c r="G50" s="5"/>
      <c r="H50" s="5"/>
      <c r="I50" s="5"/>
      <c r="J50" s="95"/>
      <c r="K50" s="89" t="s">
        <v>55</v>
      </c>
      <c r="L50" s="5"/>
      <c r="M50" s="60">
        <v>0.1</v>
      </c>
      <c r="N50" s="102" t="s">
        <v>56</v>
      </c>
      <c r="O50" s="5"/>
      <c r="P50" s="5"/>
      <c r="Q50" s="5"/>
      <c r="R50" s="5"/>
      <c r="S50" s="5"/>
      <c r="T50" s="5"/>
      <c r="U50" s="5"/>
      <c r="V50" s="5"/>
      <c r="W50" s="95"/>
    </row>
    <row r="51" spans="1:23" ht="15.3" customHeight="1" x14ac:dyDescent="0.5">
      <c r="A51" s="4"/>
      <c r="B51" s="34">
        <f t="shared" si="4"/>
        <v>2030</v>
      </c>
      <c r="C51" s="19">
        <f>C50*(1+$E$42)</f>
        <v>2558.4797103323899</v>
      </c>
      <c r="D51" s="5"/>
      <c r="E51" s="5"/>
      <c r="F51" s="5"/>
      <c r="G51" s="5"/>
      <c r="H51" s="5"/>
      <c r="I51" s="5"/>
      <c r="J51" s="95"/>
      <c r="K51" s="89" t="s">
        <v>58</v>
      </c>
      <c r="L51" s="5"/>
      <c r="M51" s="103">
        <f>'Base Case'!M31</f>
        <v>8.5</v>
      </c>
      <c r="N51" s="5"/>
      <c r="O51" s="5"/>
      <c r="P51" s="5"/>
      <c r="Q51" s="5"/>
      <c r="R51" s="5"/>
      <c r="S51" s="5"/>
      <c r="T51" s="5"/>
      <c r="U51" s="5"/>
      <c r="V51" s="5"/>
      <c r="W51" s="95"/>
    </row>
    <row r="52" spans="1:23" ht="15.3" customHeight="1" x14ac:dyDescent="0.5">
      <c r="A52" s="4"/>
      <c r="B52" s="34">
        <f t="shared" si="4"/>
        <v>2031</v>
      </c>
      <c r="C52" s="19">
        <f>C51*(1+$E$42)</f>
        <v>2612.8474041769532</v>
      </c>
      <c r="D52" s="5"/>
      <c r="E52" s="5"/>
      <c r="F52" s="5"/>
      <c r="G52" s="5"/>
      <c r="H52" s="5"/>
      <c r="I52" s="5"/>
      <c r="J52" s="95"/>
      <c r="K52" s="89" t="s">
        <v>60</v>
      </c>
      <c r="L52" s="32" t="s">
        <v>61</v>
      </c>
      <c r="M52" s="68">
        <v>2</v>
      </c>
      <c r="N52" s="102" t="s">
        <v>62</v>
      </c>
      <c r="O52" s="5"/>
      <c r="P52" s="5"/>
      <c r="Q52" s="5"/>
      <c r="R52" s="5"/>
      <c r="S52" s="5"/>
      <c r="T52" s="5"/>
      <c r="U52" s="5"/>
      <c r="V52" s="5"/>
      <c r="W52" s="95"/>
    </row>
    <row r="53" spans="1:23" ht="15.3" customHeight="1" x14ac:dyDescent="0.5">
      <c r="A53" s="4"/>
      <c r="B53" s="34">
        <f t="shared" si="4"/>
        <v>2032</v>
      </c>
      <c r="C53" s="19">
        <f>C52*(1+$E$42)</f>
        <v>2668.3704115157134</v>
      </c>
      <c r="D53" s="5"/>
      <c r="E53" s="5"/>
      <c r="F53" s="5"/>
      <c r="G53" s="5"/>
      <c r="H53" s="5"/>
      <c r="I53" s="5"/>
      <c r="J53" s="95"/>
      <c r="K53" s="89" t="s">
        <v>63</v>
      </c>
      <c r="L53" s="32" t="s">
        <v>64</v>
      </c>
      <c r="M53" s="104">
        <f>'Base Case'!M33</f>
        <v>4.3999999999999997E-2</v>
      </c>
      <c r="N53" s="105"/>
      <c r="O53" s="5"/>
      <c r="P53" s="5"/>
      <c r="Q53" s="5"/>
      <c r="R53" s="5"/>
      <c r="S53" s="5"/>
      <c r="T53" s="5"/>
      <c r="U53" s="5"/>
      <c r="V53" s="5"/>
      <c r="W53" s="95"/>
    </row>
    <row r="54" spans="1:23" ht="15.3" customHeight="1" x14ac:dyDescent="0.5">
      <c r="A54" s="4"/>
      <c r="B54" s="34">
        <f t="shared" si="4"/>
        <v>2033</v>
      </c>
      <c r="C54" s="19">
        <f>C53*(1+$E$42)</f>
        <v>2725.0732827604224</v>
      </c>
      <c r="D54" s="5"/>
      <c r="E54" s="5"/>
      <c r="F54" s="5"/>
      <c r="G54" s="5"/>
      <c r="H54" s="5"/>
      <c r="I54" s="5"/>
      <c r="J54" s="95"/>
      <c r="K54" s="89" t="s">
        <v>65</v>
      </c>
      <c r="L54" s="5"/>
      <c r="M54" s="104">
        <f>'Base Case'!M34</f>
        <v>5.1299999999999998E-2</v>
      </c>
      <c r="N54" s="106" t="s">
        <v>66</v>
      </c>
      <c r="O54" s="5"/>
      <c r="P54" s="5"/>
      <c r="Q54" s="5"/>
      <c r="R54" s="5"/>
      <c r="S54" s="5"/>
      <c r="T54" s="5"/>
      <c r="U54" s="5"/>
      <c r="V54" s="5"/>
      <c r="W54" s="95"/>
    </row>
    <row r="55" spans="1:23" ht="16.5" customHeight="1" x14ac:dyDescent="0.5">
      <c r="A55" s="35"/>
      <c r="B55" s="36"/>
      <c r="C55" s="36"/>
      <c r="D55" s="36"/>
      <c r="E55" s="36"/>
      <c r="F55" s="36"/>
      <c r="G55" s="36"/>
      <c r="H55" s="36"/>
      <c r="I55" s="36"/>
      <c r="J55" s="96"/>
      <c r="K55" s="91" t="s">
        <v>68</v>
      </c>
      <c r="L55" s="97"/>
      <c r="M55" s="107">
        <f>((M51+M52*M50*100)*M53)/M54</f>
        <v>24.444444444444446</v>
      </c>
      <c r="N55" s="80"/>
      <c r="O55" s="80"/>
      <c r="P55" s="80"/>
      <c r="Q55" s="80"/>
      <c r="R55" s="80"/>
      <c r="S55" s="80"/>
      <c r="T55" s="80"/>
      <c r="U55" s="80"/>
      <c r="V55" s="80"/>
      <c r="W55" s="112"/>
    </row>
  </sheetData>
  <phoneticPr fontId="17" type="noConversion"/>
  <hyperlinks>
    <hyperlink ref="N54" r:id="rId1" xr:uid="{00000000-0004-0000-0600-00000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Model Assumptions</vt:lpstr>
      <vt:lpstr>Base Case</vt:lpstr>
      <vt:lpstr>Bear case</vt:lpstr>
      <vt:lpstr>Bull case</vt:lpstr>
      <vt:lpstr>Model Summary</vt:lpstr>
      <vt:lpstr>AA Trial - 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Swaggy.P</dc:creator>
  <cp:lastModifiedBy>Zengyuan Huang (SME, 119020219)</cp:lastModifiedBy>
  <dcterms:created xsi:type="dcterms:W3CDTF">2024-05-25T06:59:00Z</dcterms:created>
  <dcterms:modified xsi:type="dcterms:W3CDTF">2024-06-03T17:22:51Z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2052-6.6.0.8801</vt:lpwstr>
  </property>
  <property fmtid="{D5CDD505-2E9C-101B-9397-08002B2CF9AE}" pid="3" name="ICV">
    <vt:lpwstr>B2BD1A2A044C1CB8B3BB5C66F9C8F744_42</vt:lpwstr>
  </property>
</Properties>
</file>