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022767\Surbana Jurong Private Limited(1)\Johanna Enriquez - C-SG-003399_CAG Intra Tunnel\Calculations\CST\Section Test\"/>
    </mc:Choice>
  </mc:AlternateContent>
  <xr:revisionPtr revIDLastSave="0" documentId="13_ncr:1_{778705EE-2FFE-4A11-8EC9-B0A0FDE643A2}" xr6:coauthVersionLast="46" xr6:coauthVersionMax="47" xr10:uidLastSave="{00000000-0000-0000-0000-000000000000}"/>
  <bookViews>
    <workbookView xWindow="28680" yWindow="-120" windowWidth="29040" windowHeight="15720" xr2:uid="{3631B3D1-9A02-4562-A735-19481E3800BF}"/>
  </bookViews>
  <sheets>
    <sheet name="Wish In Place" sheetId="11" r:id="rId1"/>
    <sheet name="Spring Stiffness" sheetId="8" r:id="rId2"/>
    <sheet name="Loads Assigned" sheetId="10" r:id="rId3"/>
    <sheet name="NODES" sheetId="9" r:id="rId4"/>
    <sheet name="LC2 and 51" sheetId="12" r:id="rId5"/>
  </sheets>
  <definedNames>
    <definedName name="ND_C1" localSheetId="0">'Loads Assigned'!$A$1</definedName>
    <definedName name="ND_C1">NODES!$F$3:$I$109</definedName>
    <definedName name="_xlnm.Print_Area" localSheetId="1">'Spring Stiffness'!$A$1:$AB$87</definedName>
    <definedName name="_xlnm.Print_Area" localSheetId="0">'Wish In Place'!$A$1:$AA$710</definedName>
    <definedName name="_xlnm.Print_Titles" localSheetId="1">'Spring Stiffness'!$1:$8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7" i="11" l="1"/>
  <c r="AI26" i="11"/>
  <c r="AJ23" i="11"/>
  <c r="AI23" i="11"/>
  <c r="AJ22" i="11"/>
  <c r="AJ21" i="11"/>
  <c r="AH21" i="11"/>
  <c r="AI22" i="11" s="1"/>
  <c r="AJ20" i="11"/>
  <c r="AH20" i="11"/>
  <c r="AJ19" i="11"/>
  <c r="AH19" i="11"/>
  <c r="AI20" i="11" s="1"/>
  <c r="AJ18" i="11"/>
  <c r="AH18" i="11"/>
  <c r="AJ25" i="11" s="1"/>
  <c r="AI19" i="11" l="1"/>
  <c r="AI21" i="11"/>
  <c r="AJ26" i="11"/>
  <c r="AJ37" i="11"/>
  <c r="BG130" i="11" l="1"/>
  <c r="M64" i="11" l="1"/>
  <c r="AH24" i="11" s="1"/>
  <c r="M74" i="11"/>
  <c r="M73" i="11"/>
  <c r="M72" i="11"/>
  <c r="G35" i="8"/>
  <c r="D3" i="10"/>
  <c r="AI25" i="11" l="1"/>
  <c r="AJ24" i="11"/>
  <c r="AI24" i="11"/>
  <c r="O55" i="8"/>
  <c r="O56" i="8"/>
  <c r="O57" i="8"/>
  <c r="O58" i="8"/>
  <c r="O59" i="8"/>
  <c r="O36" i="8"/>
  <c r="O37" i="8"/>
  <c r="O38" i="8"/>
  <c r="O39" i="8"/>
  <c r="O40" i="8"/>
  <c r="O54" i="8"/>
  <c r="O35" i="8"/>
  <c r="AA677" i="11" l="1"/>
  <c r="U676" i="11"/>
  <c r="D676" i="11"/>
  <c r="U675" i="11"/>
  <c r="D675" i="11"/>
  <c r="U674" i="11"/>
  <c r="U673" i="11"/>
  <c r="D673" i="11"/>
  <c r="S654" i="11"/>
  <c r="AA625" i="11"/>
  <c r="U624" i="11"/>
  <c r="D624" i="11"/>
  <c r="U623" i="11"/>
  <c r="D623" i="11"/>
  <c r="U622" i="11"/>
  <c r="U621" i="11"/>
  <c r="D621" i="11"/>
  <c r="S598" i="11"/>
  <c r="S587" i="11"/>
  <c r="S576" i="11"/>
  <c r="AA573" i="11"/>
  <c r="U572" i="11"/>
  <c r="D572" i="11"/>
  <c r="U571" i="11"/>
  <c r="D571" i="11"/>
  <c r="U570" i="11"/>
  <c r="U569" i="11"/>
  <c r="D569" i="11"/>
  <c r="AQ528" i="11"/>
  <c r="AN528" i="11"/>
  <c r="AM528" i="11"/>
  <c r="AQ527" i="11"/>
  <c r="AN527" i="11"/>
  <c r="AM527" i="11"/>
  <c r="AQ526" i="11"/>
  <c r="AN526" i="11"/>
  <c r="AM526" i="11"/>
  <c r="AL526" i="11"/>
  <c r="AQ525" i="11"/>
  <c r="AN525" i="11"/>
  <c r="AM525" i="11"/>
  <c r="AL525" i="11"/>
  <c r="AQ524" i="11"/>
  <c r="AN524" i="11"/>
  <c r="AM524" i="11"/>
  <c r="AL524" i="11"/>
  <c r="AQ523" i="11"/>
  <c r="AN523" i="11"/>
  <c r="AM523" i="11"/>
  <c r="AQ522" i="11"/>
  <c r="AN522" i="11"/>
  <c r="AM522" i="11"/>
  <c r="AQ521" i="11"/>
  <c r="AN521" i="11"/>
  <c r="AM521" i="11"/>
  <c r="AA521" i="11"/>
  <c r="U520" i="11"/>
  <c r="D520" i="11"/>
  <c r="AL519" i="11"/>
  <c r="U519" i="11"/>
  <c r="D519" i="11"/>
  <c r="AL518" i="11"/>
  <c r="U518" i="11"/>
  <c r="AL517" i="11"/>
  <c r="U517" i="11"/>
  <c r="D517" i="11"/>
  <c r="AL516" i="11"/>
  <c r="AL515" i="11"/>
  <c r="AE515" i="11"/>
  <c r="AE514" i="11"/>
  <c r="AE513" i="11"/>
  <c r="AQ512" i="11"/>
  <c r="AE512" i="11"/>
  <c r="AL511" i="11"/>
  <c r="AE511" i="11"/>
  <c r="AA469" i="11"/>
  <c r="U468" i="11"/>
  <c r="D468" i="11"/>
  <c r="U467" i="11"/>
  <c r="D467" i="11"/>
  <c r="U466" i="11"/>
  <c r="U465" i="11"/>
  <c r="D465" i="11"/>
  <c r="AA417" i="11"/>
  <c r="U416" i="11"/>
  <c r="D416" i="11"/>
  <c r="U415" i="11"/>
  <c r="D415" i="11"/>
  <c r="U414" i="11"/>
  <c r="U413" i="11"/>
  <c r="D413" i="11"/>
  <c r="AA365" i="11"/>
  <c r="U364" i="11"/>
  <c r="D364" i="11"/>
  <c r="U363" i="11"/>
  <c r="D363" i="11"/>
  <c r="U362" i="11"/>
  <c r="U361" i="11"/>
  <c r="D361" i="11"/>
  <c r="AT327" i="11"/>
  <c r="AT326" i="11"/>
  <c r="AT320" i="11"/>
  <c r="AT319" i="11"/>
  <c r="AA313" i="11"/>
  <c r="U312" i="11"/>
  <c r="D312" i="11"/>
  <c r="U311" i="11"/>
  <c r="D311" i="11"/>
  <c r="U310" i="11"/>
  <c r="U309" i="11"/>
  <c r="D309" i="11"/>
  <c r="AO290" i="11"/>
  <c r="AO523" i="11" s="1"/>
  <c r="AA261" i="11"/>
  <c r="AO260" i="11"/>
  <c r="U260" i="11"/>
  <c r="D260" i="11"/>
  <c r="U259" i="11"/>
  <c r="D259" i="11"/>
  <c r="U258" i="11"/>
  <c r="U257" i="11"/>
  <c r="D257" i="11"/>
  <c r="AA213" i="11"/>
  <c r="U212" i="11"/>
  <c r="D212" i="11"/>
  <c r="D211" i="11"/>
  <c r="U210" i="11"/>
  <c r="U209" i="11"/>
  <c r="D209" i="11"/>
  <c r="AT181" i="11"/>
  <c r="AT180" i="11"/>
  <c r="AW177" i="11"/>
  <c r="AT176" i="11"/>
  <c r="AJ165" i="11"/>
  <c r="AT163" i="11"/>
  <c r="AT162" i="11"/>
  <c r="AA161" i="11"/>
  <c r="U160" i="11"/>
  <c r="D160" i="11"/>
  <c r="D159" i="11"/>
  <c r="U158" i="11"/>
  <c r="U157" i="11"/>
  <c r="D157" i="11"/>
  <c r="AD138" i="11"/>
  <c r="AQ132" i="11"/>
  <c r="AD127" i="11"/>
  <c r="AD128" i="11" s="1"/>
  <c r="AA109" i="11"/>
  <c r="U108" i="11"/>
  <c r="D108" i="11"/>
  <c r="U107" i="11"/>
  <c r="D107" i="11"/>
  <c r="U106" i="11"/>
  <c r="U105" i="11"/>
  <c r="D105" i="11"/>
  <c r="BE104" i="11"/>
  <c r="BD104" i="11"/>
  <c r="BG103" i="11"/>
  <c r="BF103" i="11"/>
  <c r="BE103" i="11"/>
  <c r="BD103" i="11"/>
  <c r="AH102" i="11"/>
  <c r="BG102" i="11" s="1"/>
  <c r="AF102" i="11"/>
  <c r="AG102" i="11" s="1"/>
  <c r="AD102" i="11"/>
  <c r="AH101" i="11"/>
  <c r="BE101" i="11" s="1"/>
  <c r="AF101" i="11"/>
  <c r="AG101" i="11" s="1"/>
  <c r="AH100" i="11"/>
  <c r="AM519" i="11" s="1"/>
  <c r="AF100" i="11"/>
  <c r="AG100" i="11" s="1"/>
  <c r="AH99" i="11"/>
  <c r="BE99" i="11" s="1"/>
  <c r="AF99" i="11"/>
  <c r="AG99" i="11" s="1"/>
  <c r="AH98" i="11"/>
  <c r="BB98" i="11" s="1"/>
  <c r="AF98" i="11"/>
  <c r="AG98" i="11" s="1"/>
  <c r="AH97" i="11"/>
  <c r="BE97" i="11" s="1"/>
  <c r="AF97" i="11"/>
  <c r="AG97" i="11" s="1"/>
  <c r="AH96" i="11"/>
  <c r="AM515" i="11" s="1"/>
  <c r="AF96" i="11"/>
  <c r="AG96" i="11" s="1"/>
  <c r="AH95" i="11"/>
  <c r="BE95" i="11" s="1"/>
  <c r="AF95" i="11"/>
  <c r="AG95" i="11" s="1"/>
  <c r="AH94" i="11"/>
  <c r="BF94" i="11" s="1"/>
  <c r="AF94" i="11"/>
  <c r="AG94" i="11" s="1"/>
  <c r="AH93" i="11"/>
  <c r="BG93" i="11" s="1"/>
  <c r="AF93" i="11"/>
  <c r="AG93" i="11" s="1"/>
  <c r="AH92" i="11"/>
  <c r="AM513" i="11" s="1"/>
  <c r="AF92" i="11"/>
  <c r="AG92" i="11" s="1"/>
  <c r="AH91" i="11"/>
  <c r="BE91" i="11" s="1"/>
  <c r="AF91" i="11"/>
  <c r="AD91" i="11"/>
  <c r="AE91" i="11" s="1"/>
  <c r="AH90" i="11"/>
  <c r="BF90" i="11" s="1"/>
  <c r="AF90" i="11"/>
  <c r="AE90" i="11"/>
  <c r="AH89" i="11"/>
  <c r="BG89" i="11" s="1"/>
  <c r="AF89" i="11"/>
  <c r="AG89" i="11" s="1"/>
  <c r="AH88" i="11"/>
  <c r="BG88" i="11" s="1"/>
  <c r="AF88" i="11"/>
  <c r="AG88" i="11" s="1"/>
  <c r="AH87" i="11"/>
  <c r="BG87" i="11" s="1"/>
  <c r="AF87" i="11"/>
  <c r="AG87" i="11" s="1"/>
  <c r="AH86" i="11"/>
  <c r="BG86" i="11" s="1"/>
  <c r="AF86" i="11"/>
  <c r="AG86" i="11" s="1"/>
  <c r="AD85" i="11"/>
  <c r="BI78" i="11"/>
  <c r="AH77" i="11"/>
  <c r="AF525" i="11" s="1"/>
  <c r="AF77" i="11"/>
  <c r="AG77" i="11" s="1"/>
  <c r="AD77" i="11"/>
  <c r="AK528" i="11" s="1"/>
  <c r="AH76" i="11"/>
  <c r="AF524" i="11" s="1"/>
  <c r="AF76" i="11"/>
  <c r="AG76" i="11" s="1"/>
  <c r="AH75" i="11"/>
  <c r="BB75" i="11" s="1"/>
  <c r="AF75" i="11"/>
  <c r="AG75" i="11" s="1"/>
  <c r="AH74" i="11"/>
  <c r="AF74" i="11"/>
  <c r="AG74" i="11" s="1"/>
  <c r="AH73" i="11"/>
  <c r="AF73" i="11"/>
  <c r="AG73" i="11" s="1"/>
  <c r="AH72" i="11"/>
  <c r="AF72" i="11"/>
  <c r="AG72" i="11" s="1"/>
  <c r="AH71" i="11"/>
  <c r="BB71" i="11" s="1"/>
  <c r="AF71" i="11"/>
  <c r="AG71" i="11" s="1"/>
  <c r="AH70" i="11"/>
  <c r="BB70" i="11" s="1"/>
  <c r="AF70" i="11"/>
  <c r="AG70" i="11" s="1"/>
  <c r="AH69" i="11"/>
  <c r="BF69" i="11" s="1"/>
  <c r="AF69" i="11"/>
  <c r="AG69" i="11" s="1"/>
  <c r="U69" i="11"/>
  <c r="AH68" i="11"/>
  <c r="BC68" i="11" s="1"/>
  <c r="AF68" i="11"/>
  <c r="AG68" i="11" s="1"/>
  <c r="U68" i="11"/>
  <c r="AH67" i="11"/>
  <c r="AF517" i="11" s="1"/>
  <c r="AF67" i="11"/>
  <c r="AG67" i="11" s="1"/>
  <c r="U67" i="11"/>
  <c r="AH66" i="11"/>
  <c r="BH66" i="11" s="1"/>
  <c r="AF66" i="11"/>
  <c r="AG66" i="11" s="1"/>
  <c r="AE66" i="11"/>
  <c r="AH65" i="11"/>
  <c r="BF65" i="11" s="1"/>
  <c r="AF65" i="11"/>
  <c r="AG65" i="11" s="1"/>
  <c r="AH64" i="11"/>
  <c r="AF516" i="11" s="1"/>
  <c r="AF64" i="11"/>
  <c r="AG64" i="11" s="1"/>
  <c r="AD64" i="11"/>
  <c r="AH63" i="11"/>
  <c r="BC63" i="11" s="1"/>
  <c r="AF63" i="11"/>
  <c r="AG63" i="11" s="1"/>
  <c r="AE63" i="11"/>
  <c r="M63" i="11"/>
  <c r="AH62" i="11"/>
  <c r="BC62" i="11" s="1"/>
  <c r="AF62" i="11"/>
  <c r="AG62" i="11" s="1"/>
  <c r="M62" i="11"/>
  <c r="AH61" i="11"/>
  <c r="BC61" i="11" s="1"/>
  <c r="AF61" i="11"/>
  <c r="AG61" i="11" s="1"/>
  <c r="M61" i="11"/>
  <c r="AH60" i="11"/>
  <c r="BF60" i="11" s="1"/>
  <c r="AF60" i="11"/>
  <c r="AG60" i="11" s="1"/>
  <c r="AH59" i="11"/>
  <c r="BF59" i="11" s="1"/>
  <c r="AF59" i="11"/>
  <c r="AG59" i="11" s="1"/>
  <c r="AD58" i="11"/>
  <c r="AD61" i="11" s="1"/>
  <c r="AE62" i="11" s="1"/>
  <c r="BJ62" i="11" s="1"/>
  <c r="AA57" i="11"/>
  <c r="U56" i="11"/>
  <c r="D56" i="11"/>
  <c r="U55" i="11"/>
  <c r="D55" i="11"/>
  <c r="U54" i="11"/>
  <c r="U53" i="11"/>
  <c r="D53" i="11"/>
  <c r="J48" i="11"/>
  <c r="J47" i="11"/>
  <c r="J46" i="11"/>
  <c r="AI101" i="11" s="1"/>
  <c r="J45" i="11"/>
  <c r="J44" i="11"/>
  <c r="J43" i="11"/>
  <c r="J42" i="11"/>
  <c r="AI63" i="11" s="1"/>
  <c r="BD63" i="11" s="1"/>
  <c r="AA5" i="11"/>
  <c r="U5" i="11"/>
  <c r="U109" i="11" s="1"/>
  <c r="AK19" i="11" l="1"/>
  <c r="AK21" i="11"/>
  <c r="AK25" i="11"/>
  <c r="AK23" i="11"/>
  <c r="AK20" i="11"/>
  <c r="AK22" i="11"/>
  <c r="AK18" i="11"/>
  <c r="AK26" i="11"/>
  <c r="AK37" i="11"/>
  <c r="AD92" i="11"/>
  <c r="AH27" i="11"/>
  <c r="AK24" i="11"/>
  <c r="BF68" i="11"/>
  <c r="AD59" i="11"/>
  <c r="AE59" i="11" s="1"/>
  <c r="BF61" i="11"/>
  <c r="BB97" i="11"/>
  <c r="AI61" i="11"/>
  <c r="BD61" i="11" s="1"/>
  <c r="BF63" i="11"/>
  <c r="BB69" i="11"/>
  <c r="BB91" i="11"/>
  <c r="AJ62" i="11"/>
  <c r="AI65" i="11"/>
  <c r="BD65" i="11" s="1"/>
  <c r="AH524" i="11"/>
  <c r="BB89" i="11"/>
  <c r="BF91" i="11"/>
  <c r="BG91" i="11"/>
  <c r="AH516" i="11"/>
  <c r="AI64" i="11"/>
  <c r="AG516" i="11" s="1"/>
  <c r="BH68" i="11"/>
  <c r="AI62" i="11"/>
  <c r="BD62" i="11" s="1"/>
  <c r="BJ63" i="11"/>
  <c r="BF64" i="11"/>
  <c r="AD129" i="11"/>
  <c r="AE129" i="11" s="1"/>
  <c r="BF62" i="11"/>
  <c r="BH65" i="11"/>
  <c r="BH67" i="11"/>
  <c r="BH77" i="11"/>
  <c r="BE87" i="11"/>
  <c r="BB95" i="11"/>
  <c r="AD139" i="11"/>
  <c r="AE139" i="11" s="1"/>
  <c r="AH139" i="11" s="1"/>
  <c r="BB90" i="11"/>
  <c r="BB94" i="11"/>
  <c r="AI59" i="11"/>
  <c r="BD59" i="11" s="1"/>
  <c r="BB66" i="11"/>
  <c r="BB76" i="11"/>
  <c r="S630" i="11" s="1"/>
  <c r="BE88" i="11"/>
  <c r="BE90" i="11"/>
  <c r="BE94" i="11"/>
  <c r="BG90" i="11"/>
  <c r="AO513" i="11"/>
  <c r="AD525" i="11"/>
  <c r="AD67" i="11"/>
  <c r="AO525" i="11"/>
  <c r="AO522" i="11"/>
  <c r="AS62" i="11"/>
  <c r="AP62" i="11"/>
  <c r="AY62" i="11"/>
  <c r="AM62" i="11"/>
  <c r="AV62" i="11"/>
  <c r="BD101" i="11"/>
  <c r="BC101" i="11"/>
  <c r="AT59" i="11"/>
  <c r="AQ59" i="11"/>
  <c r="AP59" i="11"/>
  <c r="AN59" i="11"/>
  <c r="AZ59" i="11"/>
  <c r="AM59" i="11"/>
  <c r="AY59" i="11"/>
  <c r="AK59" i="11"/>
  <c r="AV59" i="11"/>
  <c r="AW59" i="11"/>
  <c r="AJ59" i="11"/>
  <c r="AS63" i="11"/>
  <c r="AV63" i="11"/>
  <c r="AJ63" i="11"/>
  <c r="BD64" i="11"/>
  <c r="S610" i="11"/>
  <c r="BH59" i="11"/>
  <c r="BH60" i="11"/>
  <c r="BG63" i="11"/>
  <c r="AD93" i="11"/>
  <c r="AE93" i="11" s="1"/>
  <c r="AD101" i="11"/>
  <c r="AE102" i="11" s="1"/>
  <c r="AF521" i="11"/>
  <c r="AH521" i="11" s="1"/>
  <c r="BH73" i="11"/>
  <c r="BF73" i="11"/>
  <c r="BC73" i="11"/>
  <c r="AE92" i="11"/>
  <c r="AD86" i="11"/>
  <c r="AI86" i="11"/>
  <c r="AI88" i="11"/>
  <c r="AI87" i="11"/>
  <c r="AI89" i="11"/>
  <c r="AI90" i="11"/>
  <c r="AD60" i="11"/>
  <c r="AE61" i="11" s="1"/>
  <c r="BJ61" i="11" s="1"/>
  <c r="BH61" i="11"/>
  <c r="BH62" i="11"/>
  <c r="BH63" i="11"/>
  <c r="AF522" i="11"/>
  <c r="AH522" i="11" s="1"/>
  <c r="BH74" i="11"/>
  <c r="BF74" i="11"/>
  <c r="BC74" i="11"/>
  <c r="AG90" i="11"/>
  <c r="AG91" i="11"/>
  <c r="AM91" i="11" s="1"/>
  <c r="U521" i="11"/>
  <c r="U57" i="11"/>
  <c r="BG65" i="11"/>
  <c r="AF520" i="11"/>
  <c r="AH520" i="11" s="1"/>
  <c r="BH72" i="11"/>
  <c r="BF72" i="11"/>
  <c r="BC72" i="11"/>
  <c r="AM63" i="11"/>
  <c r="AY63" i="11"/>
  <c r="AD516" i="11"/>
  <c r="AK512" i="11"/>
  <c r="AD131" i="11"/>
  <c r="BH64" i="11"/>
  <c r="BC66" i="11"/>
  <c r="BB67" i="11"/>
  <c r="AF523" i="11"/>
  <c r="AH523" i="11" s="1"/>
  <c r="BH75" i="11"/>
  <c r="BF75" i="11"/>
  <c r="BC75" i="11"/>
  <c r="BB59" i="11"/>
  <c r="BB60" i="11"/>
  <c r="AE64" i="11"/>
  <c r="AE65" i="11"/>
  <c r="BB65" i="11"/>
  <c r="BC67" i="11"/>
  <c r="S679" i="11" s="1"/>
  <c r="BB68" i="11"/>
  <c r="AD88" i="11"/>
  <c r="AE89" i="11" s="1"/>
  <c r="AP89" i="11" s="1"/>
  <c r="AP90" i="11"/>
  <c r="AP91" i="11"/>
  <c r="BC59" i="11"/>
  <c r="BC60" i="11"/>
  <c r="BB61" i="11"/>
  <c r="BB62" i="11"/>
  <c r="AP63" i="11"/>
  <c r="BB63" i="11"/>
  <c r="BC65" i="11"/>
  <c r="BF66" i="11"/>
  <c r="BB72" i="11"/>
  <c r="AD87" i="11"/>
  <c r="U625" i="11"/>
  <c r="U677" i="11"/>
  <c r="U213" i="11"/>
  <c r="U313" i="11"/>
  <c r="U417" i="11"/>
  <c r="U573" i="11"/>
  <c r="U469" i="11"/>
  <c r="U365" i="11"/>
  <c r="U261" i="11"/>
  <c r="U161" i="11"/>
  <c r="AI102" i="11"/>
  <c r="AI100" i="11"/>
  <c r="AI96" i="11"/>
  <c r="AI94" i="11"/>
  <c r="AI99" i="11"/>
  <c r="AI93" i="11"/>
  <c r="AI92" i="11"/>
  <c r="AI77" i="11"/>
  <c r="AI76" i="11"/>
  <c r="AI75" i="11"/>
  <c r="AI74" i="11"/>
  <c r="AI73" i="11"/>
  <c r="AI72" i="11"/>
  <c r="AI71" i="11"/>
  <c r="AI70" i="11"/>
  <c r="AI91" i="11"/>
  <c r="AI98" i="11"/>
  <c r="AI95" i="11"/>
  <c r="BB64" i="11"/>
  <c r="AI66" i="11"/>
  <c r="AI67" i="11"/>
  <c r="BF67" i="11"/>
  <c r="BH69" i="11"/>
  <c r="BC69" i="11"/>
  <c r="BH70" i="11"/>
  <c r="AF518" i="11"/>
  <c r="AH518" i="11" s="1"/>
  <c r="BF70" i="11"/>
  <c r="BC70" i="11"/>
  <c r="BB73" i="11"/>
  <c r="AI97" i="11"/>
  <c r="AI60" i="11"/>
  <c r="BC64" i="11"/>
  <c r="AI68" i="11"/>
  <c r="AI69" i="11"/>
  <c r="AF519" i="11"/>
  <c r="AH519" i="11" s="1"/>
  <c r="BH71" i="11"/>
  <c r="BF71" i="11"/>
  <c r="BC71" i="11"/>
  <c r="BB74" i="11"/>
  <c r="BB92" i="11"/>
  <c r="BB93" i="11"/>
  <c r="BG95" i="11"/>
  <c r="BF95" i="11"/>
  <c r="AM514" i="11"/>
  <c r="AO514" i="11" s="1"/>
  <c r="BG98" i="11"/>
  <c r="BF98" i="11"/>
  <c r="AM517" i="11"/>
  <c r="AO517" i="11" s="1"/>
  <c r="BB101" i="11"/>
  <c r="BC76" i="11"/>
  <c r="BB86" i="11"/>
  <c r="BB87" i="11"/>
  <c r="BB88" i="11"/>
  <c r="AS90" i="11"/>
  <c r="BE96" i="11"/>
  <c r="BE100" i="11"/>
  <c r="AM512" i="11"/>
  <c r="AO512" i="11" s="1"/>
  <c r="BG99" i="11"/>
  <c r="BF99" i="11"/>
  <c r="AM518" i="11"/>
  <c r="AO518" i="11" s="1"/>
  <c r="BF76" i="11"/>
  <c r="BE89" i="11"/>
  <c r="AV90" i="11"/>
  <c r="BE92" i="11"/>
  <c r="BE93" i="11"/>
  <c r="BG94" i="11"/>
  <c r="BE86" i="11"/>
  <c r="BF89" i="11"/>
  <c r="BF92" i="11"/>
  <c r="S643" i="11" s="1"/>
  <c r="BF93" i="11"/>
  <c r="BG96" i="11"/>
  <c r="BF96" i="11"/>
  <c r="BB99" i="11"/>
  <c r="BG100" i="11"/>
  <c r="BF100" i="11"/>
  <c r="AE128" i="11"/>
  <c r="BH76" i="11"/>
  <c r="BF77" i="11"/>
  <c r="BF86" i="11"/>
  <c r="BF87" i="11"/>
  <c r="BF88" i="11"/>
  <c r="AM90" i="11"/>
  <c r="AY90" i="11"/>
  <c r="BG92" i="11"/>
  <c r="BE98" i="11"/>
  <c r="BB96" i="11"/>
  <c r="BG97" i="11"/>
  <c r="BF97" i="11"/>
  <c r="AM516" i="11"/>
  <c r="AO516" i="11" s="1"/>
  <c r="BB100" i="11"/>
  <c r="BG101" i="11"/>
  <c r="BF101" i="11"/>
  <c r="S644" i="11" s="1"/>
  <c r="AD136" i="11"/>
  <c r="AD143" i="11" s="1"/>
  <c r="BB102" i="11"/>
  <c r="AO519" i="11"/>
  <c r="AO528" i="11"/>
  <c r="AH525" i="11"/>
  <c r="AO527" i="11"/>
  <c r="BE102" i="11"/>
  <c r="AD130" i="11"/>
  <c r="AO515" i="11"/>
  <c r="AO524" i="11"/>
  <c r="BF102" i="11"/>
  <c r="AO521" i="11"/>
  <c r="AO526" i="11"/>
  <c r="AH517" i="11"/>
  <c r="AE67" i="11" l="1"/>
  <c r="AH36" i="11"/>
  <c r="AH28" i="11"/>
  <c r="AJ27" i="11"/>
  <c r="AK27" i="11" s="1"/>
  <c r="AI27" i="11"/>
  <c r="AD68" i="11"/>
  <c r="AE68" i="11" s="1"/>
  <c r="BG61" i="11"/>
  <c r="BG64" i="11"/>
  <c r="AE131" i="11"/>
  <c r="BG131" i="11" s="1"/>
  <c r="AJ64" i="11"/>
  <c r="BJ64" i="11"/>
  <c r="BJ78" i="11" s="1"/>
  <c r="R242" i="11" s="1"/>
  <c r="BG62" i="11"/>
  <c r="BG59" i="11"/>
  <c r="AD517" i="11"/>
  <c r="AE517" i="11" s="1"/>
  <c r="AD76" i="11"/>
  <c r="AD524" i="11" s="1"/>
  <c r="AE525" i="11" s="1"/>
  <c r="AK513" i="11"/>
  <c r="AL514" i="11" s="1"/>
  <c r="AD132" i="11"/>
  <c r="AE132" i="11" s="1"/>
  <c r="BH304" i="11" s="1"/>
  <c r="BD128" i="11"/>
  <c r="BD129" i="11" s="1"/>
  <c r="AJ128" i="11"/>
  <c r="AJ129" i="11" s="1"/>
  <c r="AF128" i="11"/>
  <c r="AF129" i="11" s="1"/>
  <c r="BG69" i="11"/>
  <c r="BD69" i="11"/>
  <c r="AG517" i="11"/>
  <c r="BG67" i="11"/>
  <c r="BD67" i="11"/>
  <c r="AG518" i="11"/>
  <c r="BG70" i="11"/>
  <c r="BD70" i="11"/>
  <c r="AN513" i="11"/>
  <c r="BD92" i="11"/>
  <c r="BC92" i="11"/>
  <c r="AE60" i="11"/>
  <c r="AV91" i="11"/>
  <c r="AJ91" i="11"/>
  <c r="AS91" i="11"/>
  <c r="AD69" i="11"/>
  <c r="BD90" i="11"/>
  <c r="BC90" i="11"/>
  <c r="AY91" i="11"/>
  <c r="AD94" i="11"/>
  <c r="S609" i="11"/>
  <c r="S629" i="11"/>
  <c r="AS61" i="11"/>
  <c r="AP61" i="11"/>
  <c r="AY61" i="11"/>
  <c r="AM61" i="11"/>
  <c r="AV61" i="11"/>
  <c r="BD68" i="11"/>
  <c r="BG68" i="11"/>
  <c r="AG519" i="11"/>
  <c r="BG71" i="11"/>
  <c r="BD71" i="11"/>
  <c r="BD93" i="11"/>
  <c r="BC93" i="11"/>
  <c r="BD89" i="11"/>
  <c r="BC89" i="11"/>
  <c r="AN512" i="11"/>
  <c r="BD91" i="11"/>
  <c r="BC91" i="11"/>
  <c r="BG66" i="11"/>
  <c r="BD66" i="11"/>
  <c r="AG520" i="11"/>
  <c r="BG72" i="11"/>
  <c r="BD72" i="11"/>
  <c r="AN518" i="11"/>
  <c r="BD99" i="11"/>
  <c r="BC99" i="11"/>
  <c r="AE88" i="11"/>
  <c r="AJ90" i="11"/>
  <c r="BD87" i="11"/>
  <c r="BC87" i="11"/>
  <c r="AE130" i="11"/>
  <c r="AJ61" i="11"/>
  <c r="AY89" i="11"/>
  <c r="AM89" i="11"/>
  <c r="AV89" i="11"/>
  <c r="AS89" i="11"/>
  <c r="BH303" i="11"/>
  <c r="BC131" i="11"/>
  <c r="AL131" i="11"/>
  <c r="AM131" i="11" s="1"/>
  <c r="BC314" i="11"/>
  <c r="BD60" i="11"/>
  <c r="BG60" i="11"/>
  <c r="BG73" i="11"/>
  <c r="AG521" i="11"/>
  <c r="BD73" i="11"/>
  <c r="BD94" i="11"/>
  <c r="BC94" i="11"/>
  <c r="BD88" i="11"/>
  <c r="BC88" i="11"/>
  <c r="BG77" i="11"/>
  <c r="BD77" i="11"/>
  <c r="AG525" i="11"/>
  <c r="AN516" i="11"/>
  <c r="BD97" i="11"/>
  <c r="BC97" i="11"/>
  <c r="BG74" i="11"/>
  <c r="AG522" i="11"/>
  <c r="BD74" i="11"/>
  <c r="AN515" i="11"/>
  <c r="BD96" i="11"/>
  <c r="BC96" i="11"/>
  <c r="AL512" i="11"/>
  <c r="BD86" i="11"/>
  <c r="BC86" i="11"/>
  <c r="AN514" i="11"/>
  <c r="BD95" i="11"/>
  <c r="BC95" i="11"/>
  <c r="AG523" i="11"/>
  <c r="BG75" i="11"/>
  <c r="BD75" i="11"/>
  <c r="AN519" i="11"/>
  <c r="BD100" i="11"/>
  <c r="BC100" i="11"/>
  <c r="AS64" i="11"/>
  <c r="AP64" i="11"/>
  <c r="AY64" i="11"/>
  <c r="AM64" i="11"/>
  <c r="AV64" i="11"/>
  <c r="AE516" i="11"/>
  <c r="AE87" i="11"/>
  <c r="AO129" i="11"/>
  <c r="BD311" i="11"/>
  <c r="BF129" i="11"/>
  <c r="BC129" i="11"/>
  <c r="BH302" i="11"/>
  <c r="AX129" i="11"/>
  <c r="AU129" i="11"/>
  <c r="AN517" i="11"/>
  <c r="BD98" i="11"/>
  <c r="BC98" i="11"/>
  <c r="BG76" i="11"/>
  <c r="AG524" i="11"/>
  <c r="BD76" i="11"/>
  <c r="BD102" i="11"/>
  <c r="BC102" i="11"/>
  <c r="AJ89" i="11"/>
  <c r="AE86" i="11"/>
  <c r="D38" i="10"/>
  <c r="D37" i="10"/>
  <c r="E36" i="10"/>
  <c r="C34" i="10"/>
  <c r="C26" i="10"/>
  <c r="C32" i="10"/>
  <c r="C24" i="10"/>
  <c r="C11" i="10"/>
  <c r="C9" i="10"/>
  <c r="C30" i="10"/>
  <c r="C3" i="10"/>
  <c r="C4" i="10"/>
  <c r="C5" i="10"/>
  <c r="C6" i="10"/>
  <c r="C7" i="10"/>
  <c r="C8" i="10"/>
  <c r="C10" i="10"/>
  <c r="C15" i="10"/>
  <c r="E15" i="10" s="1"/>
  <c r="C16" i="10"/>
  <c r="C17" i="10"/>
  <c r="C18" i="10"/>
  <c r="C19" i="10"/>
  <c r="C23" i="10"/>
  <c r="C31" i="10"/>
  <c r="C25" i="10"/>
  <c r="C33" i="10"/>
  <c r="C36" i="10"/>
  <c r="C37" i="10"/>
  <c r="C38" i="10"/>
  <c r="E30" i="10"/>
  <c r="D30" i="10"/>
  <c r="BB131" i="11" l="1"/>
  <c r="AD133" i="11"/>
  <c r="AD140" i="11"/>
  <c r="AJ28" i="11"/>
  <c r="AK28" i="11" s="1"/>
  <c r="AH29" i="11"/>
  <c r="BI302" i="11"/>
  <c r="AT131" i="11"/>
  <c r="AY261" i="11" s="1"/>
  <c r="AI28" i="11"/>
  <c r="AI37" i="11"/>
  <c r="AJ36" i="11"/>
  <c r="AK36" i="11" s="1"/>
  <c r="AU131" i="11"/>
  <c r="BG132" i="11"/>
  <c r="BH131" i="11"/>
  <c r="BH145" i="11" s="1"/>
  <c r="R370" i="11" s="1"/>
  <c r="AL513" i="11"/>
  <c r="AE77" i="11"/>
  <c r="AD135" i="11"/>
  <c r="AK527" i="11"/>
  <c r="AL527" i="11" s="1"/>
  <c r="AE133" i="11"/>
  <c r="AL132" i="11"/>
  <c r="AM132" i="11" s="1"/>
  <c r="AN132" i="11" s="1"/>
  <c r="S442" i="11" s="1"/>
  <c r="AM145" i="11"/>
  <c r="S429" i="11"/>
  <c r="AV88" i="11"/>
  <c r="AS88" i="11"/>
  <c r="AM88" i="11"/>
  <c r="AY88" i="11"/>
  <c r="AJ88" i="11"/>
  <c r="AP88" i="11"/>
  <c r="AD134" i="11"/>
  <c r="AE134" i="11" s="1"/>
  <c r="AD141" i="11"/>
  <c r="AE141" i="11" s="1"/>
  <c r="AD70" i="11"/>
  <c r="AD142" i="11"/>
  <c r="AE143" i="11" s="1"/>
  <c r="AE136" i="11"/>
  <c r="AE69" i="11"/>
  <c r="AT60" i="11"/>
  <c r="AT61" i="11" s="1"/>
  <c r="AT62" i="11" s="1"/>
  <c r="AT63" i="11" s="1"/>
  <c r="AT64" i="11" s="1"/>
  <c r="AS60" i="11"/>
  <c r="AS78" i="11" s="1"/>
  <c r="AQ60" i="11"/>
  <c r="AQ61" i="11" s="1"/>
  <c r="AQ62" i="11" s="1"/>
  <c r="AQ63" i="11" s="1"/>
  <c r="AQ64" i="11" s="1"/>
  <c r="AP60" i="11"/>
  <c r="AP78" i="11" s="1"/>
  <c r="AZ60" i="11"/>
  <c r="AZ61" i="11" s="1"/>
  <c r="AZ62" i="11" s="1"/>
  <c r="AZ63" i="11" s="1"/>
  <c r="AZ64" i="11" s="1"/>
  <c r="AN60" i="11"/>
  <c r="AN61" i="11" s="1"/>
  <c r="AN62" i="11" s="1"/>
  <c r="AN63" i="11" s="1"/>
  <c r="AN64" i="11" s="1"/>
  <c r="AY60" i="11"/>
  <c r="AY78" i="11" s="1"/>
  <c r="R318" i="11" s="1"/>
  <c r="AM60" i="11"/>
  <c r="AM78" i="11" s="1"/>
  <c r="AW60" i="11"/>
  <c r="AW61" i="11" s="1"/>
  <c r="AW62" i="11" s="1"/>
  <c r="AW63" i="11" s="1"/>
  <c r="AW64" i="11" s="1"/>
  <c r="AK60" i="11"/>
  <c r="AK61" i="11" s="1"/>
  <c r="AK62" i="11" s="1"/>
  <c r="AK63" i="11" s="1"/>
  <c r="AK64" i="11" s="1"/>
  <c r="AV60" i="11"/>
  <c r="AV78" i="11" s="1"/>
  <c r="R267" i="11" s="1"/>
  <c r="AJ60" i="11"/>
  <c r="AJ78" i="11" s="1"/>
  <c r="AD95" i="11"/>
  <c r="AE140" i="11"/>
  <c r="AV87" i="11"/>
  <c r="AS87" i="11"/>
  <c r="AS103" i="11" s="1"/>
  <c r="AY87" i="11"/>
  <c r="AM87" i="11"/>
  <c r="AJ87" i="11"/>
  <c r="AP87" i="11"/>
  <c r="AY279" i="11"/>
  <c r="AY262" i="11"/>
  <c r="BC130" i="11"/>
  <c r="BC137" i="11" s="1"/>
  <c r="AF130" i="11"/>
  <c r="AF131" i="11" s="1"/>
  <c r="BC313" i="11"/>
  <c r="BC320" i="11" s="1"/>
  <c r="BF309" i="11"/>
  <c r="BF310" i="11" s="1"/>
  <c r="BF311" i="11" s="1"/>
  <c r="BG309" i="11" s="1"/>
  <c r="BB130" i="11"/>
  <c r="BB137" i="11" s="1"/>
  <c r="AX130" i="11"/>
  <c r="AX131" i="11" s="1"/>
  <c r="AX132" i="11" s="1"/>
  <c r="AY132" i="11" s="1"/>
  <c r="AV130" i="11"/>
  <c r="AV131" i="11" s="1"/>
  <c r="AV132" i="11" s="1"/>
  <c r="AW132" i="11" s="1"/>
  <c r="BI301" i="11"/>
  <c r="BF130" i="11"/>
  <c r="BF131" i="11" s="1"/>
  <c r="BF132" i="11" s="1"/>
  <c r="S542" i="11" s="1"/>
  <c r="AT130" i="11"/>
  <c r="BD312" i="11"/>
  <c r="BD313" i="11" s="1"/>
  <c r="BD314" i="11" s="1"/>
  <c r="BE312" i="11" s="1"/>
  <c r="BD130" i="11"/>
  <c r="BD131" i="11" s="1"/>
  <c r="BD132" i="11" s="1"/>
  <c r="AU130" i="11"/>
  <c r="AU137" i="11" s="1"/>
  <c r="AO130" i="11"/>
  <c r="AO131" i="11" s="1"/>
  <c r="AJ130" i="11"/>
  <c r="AJ131" i="11" s="1"/>
  <c r="BE130" i="11"/>
  <c r="BE131" i="11" s="1"/>
  <c r="BE132" i="11" s="1"/>
  <c r="S540" i="11" s="1"/>
  <c r="AE94" i="11"/>
  <c r="AW86" i="11"/>
  <c r="AW87" i="11" s="1"/>
  <c r="AW88" i="11" s="1"/>
  <c r="AW89" i="11" s="1"/>
  <c r="AW90" i="11" s="1"/>
  <c r="AW91" i="11" s="1"/>
  <c r="AW92" i="11" s="1"/>
  <c r="AV86" i="11"/>
  <c r="AT86" i="11"/>
  <c r="AT87" i="11" s="1"/>
  <c r="AT88" i="11" s="1"/>
  <c r="AT89" i="11" s="1"/>
  <c r="AT90" i="11" s="1"/>
  <c r="AT91" i="11" s="1"/>
  <c r="AT92" i="11" s="1"/>
  <c r="AQ86" i="11"/>
  <c r="AQ87" i="11" s="1"/>
  <c r="AQ88" i="11" s="1"/>
  <c r="AQ89" i="11" s="1"/>
  <c r="AQ90" i="11" s="1"/>
  <c r="AQ91" i="11" s="1"/>
  <c r="AN86" i="11"/>
  <c r="AN87" i="11" s="1"/>
  <c r="AN88" i="11" s="1"/>
  <c r="AN89" i="11" s="1"/>
  <c r="AN90" i="11" s="1"/>
  <c r="AN91" i="11" s="1"/>
  <c r="AN92" i="11" s="1"/>
  <c r="AZ86" i="11"/>
  <c r="AZ87" i="11" s="1"/>
  <c r="AZ88" i="11" s="1"/>
  <c r="AZ89" i="11" s="1"/>
  <c r="AZ90" i="11" s="1"/>
  <c r="AZ91" i="11" s="1"/>
  <c r="AZ92" i="11" s="1"/>
  <c r="AM86" i="11"/>
  <c r="AY86" i="11"/>
  <c r="AK86" i="11"/>
  <c r="AK87" i="11" s="1"/>
  <c r="AK88" i="11" s="1"/>
  <c r="AK89" i="11" s="1"/>
  <c r="AK90" i="11" s="1"/>
  <c r="AK91" i="11" s="1"/>
  <c r="AK92" i="11" s="1"/>
  <c r="AP86" i="11"/>
  <c r="AJ86" i="11"/>
  <c r="D16" i="10"/>
  <c r="I37" i="8"/>
  <c r="AI29" i="11" l="1"/>
  <c r="AI30" i="11"/>
  <c r="AH30" i="11"/>
  <c r="AJ29" i="11"/>
  <c r="AK29" i="11" s="1"/>
  <c r="AT137" i="11"/>
  <c r="S474" i="11" s="1"/>
  <c r="AL528" i="11"/>
  <c r="BG133" i="11"/>
  <c r="BG134" i="11" s="1"/>
  <c r="AY103" i="11"/>
  <c r="R319" i="11" s="1"/>
  <c r="AM103" i="11"/>
  <c r="AE135" i="11"/>
  <c r="BI305" i="11" s="1"/>
  <c r="AJ103" i="11"/>
  <c r="R94" i="11" s="1"/>
  <c r="AV103" i="11"/>
  <c r="R266" i="11" s="1"/>
  <c r="BD133" i="11"/>
  <c r="BD134" i="11" s="1"/>
  <c r="BD135" i="11" s="1"/>
  <c r="BD136" i="11" s="1"/>
  <c r="AL133" i="11"/>
  <c r="AM133" i="11" s="1"/>
  <c r="R228" i="11"/>
  <c r="BE133" i="11"/>
  <c r="BE134" i="11" s="1"/>
  <c r="AO92" i="11"/>
  <c r="R149" i="11" s="1"/>
  <c r="AN93" i="11"/>
  <c r="AO93" i="11" s="1"/>
  <c r="S526" i="11"/>
  <c r="BC145" i="11"/>
  <c r="AR91" i="11"/>
  <c r="AQ92" i="11"/>
  <c r="AL92" i="11"/>
  <c r="AK93" i="11"/>
  <c r="AL93" i="11" s="1"/>
  <c r="AX92" i="11"/>
  <c r="R297" i="11" s="1"/>
  <c r="AW93" i="11"/>
  <c r="AX93" i="11" s="1"/>
  <c r="BA92" i="11"/>
  <c r="R333" i="11" s="1"/>
  <c r="AZ93" i="11"/>
  <c r="BA93" i="11" s="1"/>
  <c r="S473" i="11"/>
  <c r="AU145" i="11"/>
  <c r="BF319" i="11"/>
  <c r="BF320" i="11" s="1"/>
  <c r="AH140" i="11"/>
  <c r="AH141" i="11" s="1"/>
  <c r="AW67" i="11"/>
  <c r="AW65" i="11"/>
  <c r="AT67" i="11"/>
  <c r="AT65" i="11"/>
  <c r="AK67" i="11"/>
  <c r="AK65" i="11"/>
  <c r="S405" i="11"/>
  <c r="AK131" i="11"/>
  <c r="AJ132" i="11"/>
  <c r="S490" i="11"/>
  <c r="AT268" i="11"/>
  <c r="AY280" i="11"/>
  <c r="AT232" i="11"/>
  <c r="O134" i="11"/>
  <c r="BH308" i="11"/>
  <c r="BI306" i="11"/>
  <c r="S488" i="11"/>
  <c r="AT228" i="11"/>
  <c r="AT272" i="11"/>
  <c r="AD96" i="11"/>
  <c r="AE96" i="11" s="1"/>
  <c r="AV133" i="11"/>
  <c r="AV134" i="11" s="1"/>
  <c r="AV135" i="11" s="1"/>
  <c r="AW135" i="11" s="1"/>
  <c r="AU92" i="11"/>
  <c r="AT93" i="11"/>
  <c r="AU93" i="11" s="1"/>
  <c r="AO145" i="11"/>
  <c r="AS131" i="11"/>
  <c r="AO132" i="11"/>
  <c r="AO133" i="11" s="1"/>
  <c r="AO134" i="11" s="1"/>
  <c r="AO135" i="11" s="1"/>
  <c r="AQ135" i="11" s="1"/>
  <c r="S525" i="11"/>
  <c r="BB145" i="11"/>
  <c r="AE95" i="11"/>
  <c r="AN67" i="11"/>
  <c r="AN65" i="11"/>
  <c r="AX133" i="11"/>
  <c r="AX134" i="11" s="1"/>
  <c r="AD518" i="11"/>
  <c r="AD71" i="11"/>
  <c r="AE71" i="11" s="1"/>
  <c r="AZ67" i="11"/>
  <c r="AZ65" i="11"/>
  <c r="AE70" i="11"/>
  <c r="AP103" i="11"/>
  <c r="R178" i="11" s="1"/>
  <c r="BF133" i="11"/>
  <c r="BF134" i="11" s="1"/>
  <c r="AE142" i="11"/>
  <c r="AT145" i="11"/>
  <c r="AG131" i="11"/>
  <c r="AG145" i="11" s="1"/>
  <c r="AF132" i="11"/>
  <c r="AR64" i="11"/>
  <c r="AQ67" i="11"/>
  <c r="AQ65" i="11"/>
  <c r="AQ66" i="11" s="1"/>
  <c r="BD317" i="11"/>
  <c r="BE315" i="11" s="1"/>
  <c r="BF314" i="11"/>
  <c r="BG312" i="11" s="1"/>
  <c r="I44" i="8"/>
  <c r="I45" i="8"/>
  <c r="I46" i="8"/>
  <c r="I47" i="8"/>
  <c r="G44" i="8"/>
  <c r="G45" i="8"/>
  <c r="G46" i="8"/>
  <c r="G47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54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35" i="8"/>
  <c r="O14" i="8"/>
  <c r="O15" i="8"/>
  <c r="O16" i="8"/>
  <c r="G36" i="8"/>
  <c r="G37" i="8"/>
  <c r="G38" i="8"/>
  <c r="G39" i="8"/>
  <c r="G40" i="8"/>
  <c r="G41" i="8"/>
  <c r="G42" i="8"/>
  <c r="G43" i="8"/>
  <c r="AH31" i="11" l="1"/>
  <c r="AJ30" i="11"/>
  <c r="AK30" i="11" s="1"/>
  <c r="AI31" i="11"/>
  <c r="BG135" i="11"/>
  <c r="BG136" i="11" s="1"/>
  <c r="BH307" i="11"/>
  <c r="BF135" i="11"/>
  <c r="S543" i="11" s="1"/>
  <c r="AX135" i="11"/>
  <c r="AX136" i="11" s="1"/>
  <c r="AY136" i="11" s="1"/>
  <c r="AL134" i="11"/>
  <c r="AM134" i="11" s="1"/>
  <c r="BE135" i="11"/>
  <c r="S541" i="11" s="1"/>
  <c r="AT94" i="11"/>
  <c r="AU94" i="11" s="1"/>
  <c r="AZ94" i="11"/>
  <c r="BA94" i="11" s="1"/>
  <c r="AN94" i="11"/>
  <c r="AO94" i="11" s="1"/>
  <c r="AW94" i="11"/>
  <c r="AX94" i="11" s="1"/>
  <c r="BI307" i="11"/>
  <c r="BD318" i="11"/>
  <c r="AR67" i="11"/>
  <c r="R197" i="11" s="1"/>
  <c r="AQ68" i="11"/>
  <c r="AL65" i="11"/>
  <c r="AK66" i="11"/>
  <c r="AL66" i="11" s="1"/>
  <c r="T114" i="11"/>
  <c r="AQ513" i="11"/>
  <c r="AE518" i="11"/>
  <c r="AT233" i="11"/>
  <c r="S491" i="11"/>
  <c r="AT269" i="11"/>
  <c r="AO65" i="11"/>
  <c r="AN66" i="11"/>
  <c r="AO66" i="11" s="1"/>
  <c r="BF315" i="11"/>
  <c r="AL67" i="11"/>
  <c r="T120" i="11" s="1"/>
  <c r="AK68" i="11"/>
  <c r="AR92" i="11"/>
  <c r="R191" i="11" s="1"/>
  <c r="AQ93" i="11"/>
  <c r="AH132" i="11"/>
  <c r="R382" i="11" s="1"/>
  <c r="AF133" i="11"/>
  <c r="AF134" i="11" s="1"/>
  <c r="AF135" i="11" s="1"/>
  <c r="AK94" i="11"/>
  <c r="AL94" i="11" s="1"/>
  <c r="BA65" i="11"/>
  <c r="AZ66" i="11"/>
  <c r="BA66" i="11" s="1"/>
  <c r="AO67" i="11"/>
  <c r="R164" i="11" s="1"/>
  <c r="AN68" i="11"/>
  <c r="AU65" i="11"/>
  <c r="AT66" i="11"/>
  <c r="AU66" i="11" s="1"/>
  <c r="AS145" i="11"/>
  <c r="AO258" i="11"/>
  <c r="S454" i="11"/>
  <c r="R369" i="11"/>
  <c r="BA67" i="11"/>
  <c r="R348" i="11" s="1"/>
  <c r="AZ68" i="11"/>
  <c r="AW95" i="11"/>
  <c r="AX95" i="11" s="1"/>
  <c r="AV136" i="11"/>
  <c r="AW136" i="11" s="1"/>
  <c r="AU67" i="11"/>
  <c r="AT68" i="11"/>
  <c r="BF321" i="11"/>
  <c r="BF322" i="11" s="1"/>
  <c r="AH142" i="11"/>
  <c r="AH143" i="11" s="1"/>
  <c r="AI143" i="11" s="1"/>
  <c r="AO136" i="11"/>
  <c r="AX65" i="11"/>
  <c r="AW66" i="11"/>
  <c r="AX66" i="11" s="1"/>
  <c r="BH309" i="11"/>
  <c r="S406" i="11"/>
  <c r="AK132" i="11"/>
  <c r="AT214" i="11" s="1"/>
  <c r="AJ133" i="11"/>
  <c r="AJ134" i="11" s="1"/>
  <c r="AJ135" i="11" s="1"/>
  <c r="AX67" i="11"/>
  <c r="R281" i="11" s="1"/>
  <c r="AW68" i="11"/>
  <c r="AD519" i="11"/>
  <c r="AE519" i="11" s="1"/>
  <c r="AD72" i="11"/>
  <c r="AE72" i="11" s="1"/>
  <c r="AD97" i="11"/>
  <c r="AE97" i="11" s="1"/>
  <c r="AK145" i="11"/>
  <c r="AO155" i="11"/>
  <c r="AY135" i="11" l="1"/>
  <c r="AH32" i="11"/>
  <c r="AJ31" i="11"/>
  <c r="AK31" i="11" s="1"/>
  <c r="BF136" i="11"/>
  <c r="BF146" i="11" s="1"/>
  <c r="AT95" i="11"/>
  <c r="AU95" i="11" s="1"/>
  <c r="AL135" i="11"/>
  <c r="AL136" i="11" s="1"/>
  <c r="AM136" i="11" s="1"/>
  <c r="AM146" i="11" s="1"/>
  <c r="AN95" i="11"/>
  <c r="AO95" i="11" s="1"/>
  <c r="BE136" i="11"/>
  <c r="BE146" i="11" s="1"/>
  <c r="AZ95" i="11"/>
  <c r="BA95" i="11" s="1"/>
  <c r="AK95" i="11"/>
  <c r="AU68" i="11"/>
  <c r="AT69" i="11"/>
  <c r="AR68" i="11"/>
  <c r="AQ69" i="11"/>
  <c r="AW96" i="11"/>
  <c r="AX96" i="11" s="1"/>
  <c r="BA68" i="11"/>
  <c r="AZ69" i="11"/>
  <c r="AR93" i="11"/>
  <c r="AQ94" i="11"/>
  <c r="AD520" i="11"/>
  <c r="AE520" i="11" s="1"/>
  <c r="AD73" i="11"/>
  <c r="AE73" i="11" s="1"/>
  <c r="AX68" i="11"/>
  <c r="AW69" i="11"/>
  <c r="AY275" i="11"/>
  <c r="AZ136" i="11"/>
  <c r="AY283" i="11"/>
  <c r="AO68" i="11"/>
  <c r="AN69" i="11"/>
  <c r="AK135" i="11"/>
  <c r="AT215" i="11" s="1"/>
  <c r="S407" i="11"/>
  <c r="AJ136" i="11"/>
  <c r="AL68" i="11"/>
  <c r="AK69" i="11"/>
  <c r="AT96" i="11"/>
  <c r="AU96" i="11" s="1"/>
  <c r="AO146" i="11"/>
  <c r="AS136" i="11"/>
  <c r="AY276" i="11"/>
  <c r="BA136" i="11"/>
  <c r="AY282" i="11"/>
  <c r="AD98" i="11"/>
  <c r="AH135" i="11"/>
  <c r="R383" i="11" s="1"/>
  <c r="AF136" i="11"/>
  <c r="AI136" i="11" s="1"/>
  <c r="S489" i="11"/>
  <c r="AT273" i="11"/>
  <c r="AW229" i="11"/>
  <c r="G55" i="8"/>
  <c r="G56" i="8"/>
  <c r="I56" i="8" s="1"/>
  <c r="G57" i="8"/>
  <c r="G58" i="8"/>
  <c r="AT58" i="8" s="1"/>
  <c r="G59" i="8"/>
  <c r="AT59" i="8" s="1"/>
  <c r="G60" i="8"/>
  <c r="AT60" i="8" s="1"/>
  <c r="G61" i="8"/>
  <c r="AT61" i="8" s="1"/>
  <c r="G62" i="8"/>
  <c r="I62" i="8" s="1"/>
  <c r="G63" i="8"/>
  <c r="G64" i="8"/>
  <c r="I64" i="8" s="1"/>
  <c r="G65" i="8"/>
  <c r="AI65" i="8" s="1"/>
  <c r="G66" i="8"/>
  <c r="AI66" i="8" s="1"/>
  <c r="G54" i="8"/>
  <c r="AI54" i="8" s="1"/>
  <c r="I35" i="8"/>
  <c r="AF66" i="8"/>
  <c r="AE66" i="8"/>
  <c r="AT65" i="8"/>
  <c r="AF65" i="8"/>
  <c r="AE65" i="8"/>
  <c r="AF64" i="8"/>
  <c r="AE64" i="8"/>
  <c r="AT63" i="8"/>
  <c r="AI63" i="8"/>
  <c r="AF63" i="8"/>
  <c r="AE63" i="8"/>
  <c r="I63" i="8"/>
  <c r="AF62" i="8"/>
  <c r="AE62" i="8"/>
  <c r="AF61" i="8"/>
  <c r="AE61" i="8"/>
  <c r="AF60" i="8"/>
  <c r="AE60" i="8"/>
  <c r="I60" i="8"/>
  <c r="AI59" i="8"/>
  <c r="AF59" i="8"/>
  <c r="AE59" i="8"/>
  <c r="I59" i="8"/>
  <c r="AF58" i="8"/>
  <c r="AE58" i="8"/>
  <c r="AT57" i="8"/>
  <c r="AI57" i="8"/>
  <c r="AF57" i="8"/>
  <c r="AE57" i="8"/>
  <c r="I57" i="8"/>
  <c r="AF56" i="8"/>
  <c r="AE56" i="8"/>
  <c r="AT55" i="8"/>
  <c r="AI55" i="8"/>
  <c r="AF55" i="8"/>
  <c r="AE55" i="8"/>
  <c r="I55" i="8"/>
  <c r="AF54" i="8"/>
  <c r="AE54" i="8"/>
  <c r="AT47" i="8"/>
  <c r="AI47" i="8"/>
  <c r="AF47" i="8"/>
  <c r="AE47" i="8"/>
  <c r="AT46" i="8"/>
  <c r="AI46" i="8"/>
  <c r="AF46" i="8"/>
  <c r="AE46" i="8"/>
  <c r="AT45" i="8"/>
  <c r="AI45" i="8"/>
  <c r="AF45" i="8"/>
  <c r="AE45" i="8"/>
  <c r="AT44" i="8"/>
  <c r="AI44" i="8"/>
  <c r="AF44" i="8"/>
  <c r="AE44" i="8"/>
  <c r="AF43" i="8"/>
  <c r="AE43" i="8"/>
  <c r="AT43" i="8"/>
  <c r="AF42" i="8"/>
  <c r="AE42" i="8"/>
  <c r="I42" i="8"/>
  <c r="AF41" i="8"/>
  <c r="AE41" i="8"/>
  <c r="AI41" i="8"/>
  <c r="AF40" i="8"/>
  <c r="AE40" i="8"/>
  <c r="AT40" i="8"/>
  <c r="AT39" i="8"/>
  <c r="AF39" i="8"/>
  <c r="AE39" i="8"/>
  <c r="AI39" i="8"/>
  <c r="AF38" i="8"/>
  <c r="AE38" i="8"/>
  <c r="AT38" i="8"/>
  <c r="AI37" i="8"/>
  <c r="AF37" i="8"/>
  <c r="AE37" i="8"/>
  <c r="AF36" i="8"/>
  <c r="AE36" i="8"/>
  <c r="AT36" i="8"/>
  <c r="AI35" i="8"/>
  <c r="AF35" i="8"/>
  <c r="AE35" i="8"/>
  <c r="AT35" i="8"/>
  <c r="O20" i="8"/>
  <c r="O19" i="8"/>
  <c r="O18" i="8"/>
  <c r="O17" i="8"/>
  <c r="V6" i="8"/>
  <c r="S554" i="11" l="1"/>
  <c r="AI32" i="11"/>
  <c r="AH33" i="11"/>
  <c r="AJ32" i="11"/>
  <c r="AK32" i="11" s="1"/>
  <c r="AI33" i="11"/>
  <c r="AN135" i="11"/>
  <c r="S443" i="11" s="1"/>
  <c r="S430" i="11"/>
  <c r="AM135" i="11"/>
  <c r="S555" i="11"/>
  <c r="AN96" i="11"/>
  <c r="AZ96" i="11"/>
  <c r="BA96" i="11" s="1"/>
  <c r="AL95" i="11"/>
  <c r="AQ514" i="11" s="1"/>
  <c r="AK96" i="11"/>
  <c r="AW97" i="11"/>
  <c r="AX97" i="11" s="1"/>
  <c r="R298" i="11" s="1"/>
  <c r="O42" i="8"/>
  <c r="O44" i="8"/>
  <c r="O45" i="8"/>
  <c r="O46" i="8"/>
  <c r="O47" i="8"/>
  <c r="AD99" i="11"/>
  <c r="AE99" i="11" s="1"/>
  <c r="AU69" i="11"/>
  <c r="AT70" i="11"/>
  <c r="AE98" i="11"/>
  <c r="AO69" i="11"/>
  <c r="AN70" i="11"/>
  <c r="AD521" i="11"/>
  <c r="AD74" i="11"/>
  <c r="AR94" i="11"/>
  <c r="AQ95" i="11"/>
  <c r="BA69" i="11"/>
  <c r="AZ70" i="11"/>
  <c r="S503" i="11"/>
  <c r="AZ146" i="11"/>
  <c r="S408" i="11"/>
  <c r="AK136" i="11"/>
  <c r="AT97" i="11"/>
  <c r="AU97" i="11" s="1"/>
  <c r="R192" i="11" s="1"/>
  <c r="BA146" i="11"/>
  <c r="S502" i="11"/>
  <c r="AL69" i="11"/>
  <c r="AK70" i="11"/>
  <c r="S394" i="11"/>
  <c r="AJ149" i="11"/>
  <c r="AI146" i="11"/>
  <c r="AO259" i="11"/>
  <c r="S455" i="11"/>
  <c r="AS146" i="11"/>
  <c r="AX69" i="11"/>
  <c r="AW70" i="11"/>
  <c r="AR69" i="11"/>
  <c r="AQ70" i="11"/>
  <c r="L45" i="8"/>
  <c r="I39" i="8"/>
  <c r="L38" i="8" s="1"/>
  <c r="AI40" i="8"/>
  <c r="AT66" i="8"/>
  <c r="AI64" i="8"/>
  <c r="AI43" i="8"/>
  <c r="AI56" i="8"/>
  <c r="AI60" i="8"/>
  <c r="AT64" i="8"/>
  <c r="L63" i="8"/>
  <c r="I38" i="8"/>
  <c r="AI36" i="8"/>
  <c r="AT56" i="8"/>
  <c r="I65" i="8"/>
  <c r="AI38" i="8"/>
  <c r="AT54" i="8"/>
  <c r="I54" i="8"/>
  <c r="O64" i="8" s="1"/>
  <c r="I61" i="8"/>
  <c r="O61" i="8" s="1"/>
  <c r="I58" i="8"/>
  <c r="L59" i="8" s="1"/>
  <c r="AI62" i="8"/>
  <c r="AT62" i="8"/>
  <c r="I66" i="8"/>
  <c r="AI61" i="8"/>
  <c r="AI58" i="8"/>
  <c r="L61" i="8"/>
  <c r="L47" i="8"/>
  <c r="L43" i="8"/>
  <c r="L58" i="8"/>
  <c r="L56" i="8"/>
  <c r="L46" i="8"/>
  <c r="I41" i="8"/>
  <c r="O41" i="8" s="1"/>
  <c r="AT41" i="8"/>
  <c r="I36" i="8"/>
  <c r="AI42" i="8"/>
  <c r="AT42" i="8"/>
  <c r="AT37" i="8"/>
  <c r="I40" i="8"/>
  <c r="I43" i="8"/>
  <c r="O43" i="8" s="1"/>
  <c r="AH34" i="11" l="1"/>
  <c r="AI34" i="11"/>
  <c r="AJ33" i="11"/>
  <c r="AK33" i="11" s="1"/>
  <c r="AO96" i="11"/>
  <c r="AN97" i="11"/>
  <c r="AO97" i="11" s="1"/>
  <c r="R150" i="11" s="1"/>
  <c r="AZ97" i="11"/>
  <c r="BA97" i="11" s="1"/>
  <c r="R334" i="11" s="1"/>
  <c r="AL96" i="11"/>
  <c r="AQ515" i="11" s="1"/>
  <c r="AK97" i="11"/>
  <c r="AL97" i="11" s="1"/>
  <c r="O65" i="8"/>
  <c r="R65" i="8" s="1"/>
  <c r="BA65" i="8" s="1"/>
  <c r="O62" i="8"/>
  <c r="O66" i="8"/>
  <c r="O63" i="8"/>
  <c r="R63" i="8" s="1"/>
  <c r="AR63" i="8" s="1"/>
  <c r="O60" i="8"/>
  <c r="R45" i="8"/>
  <c r="AR45" i="8" s="1"/>
  <c r="AR70" i="11"/>
  <c r="AQ71" i="11"/>
  <c r="BA70" i="11"/>
  <c r="R349" i="11" s="1"/>
  <c r="AZ71" i="11"/>
  <c r="AO70" i="11"/>
  <c r="R165" i="11" s="1"/>
  <c r="AN71" i="11"/>
  <c r="L37" i="8"/>
  <c r="R37" i="8" s="1"/>
  <c r="L60" i="8"/>
  <c r="L44" i="8"/>
  <c r="AL70" i="11"/>
  <c r="T121" i="11" s="1"/>
  <c r="AK71" i="11"/>
  <c r="AE521" i="11"/>
  <c r="AW98" i="11"/>
  <c r="AX98" i="11" s="1"/>
  <c r="R299" i="11" s="1"/>
  <c r="AT98" i="11"/>
  <c r="AU98" i="11" s="1"/>
  <c r="R193" i="11" s="1"/>
  <c r="AN98" i="11"/>
  <c r="AO98" i="11" s="1"/>
  <c r="R151" i="11" s="1"/>
  <c r="AD522" i="11"/>
  <c r="AE522" i="11" s="1"/>
  <c r="AD75" i="11"/>
  <c r="AE75" i="11" s="1"/>
  <c r="AX70" i="11"/>
  <c r="R282" i="11" s="1"/>
  <c r="AW71" i="11"/>
  <c r="L40" i="8"/>
  <c r="AK146" i="11"/>
  <c r="AJ217" i="11"/>
  <c r="AR95" i="11"/>
  <c r="AQ96" i="11"/>
  <c r="L65" i="8"/>
  <c r="L64" i="8"/>
  <c r="R64" i="8"/>
  <c r="AU70" i="11"/>
  <c r="R198" i="11" s="1"/>
  <c r="AT71" i="11"/>
  <c r="AE74" i="11"/>
  <c r="AK521" i="11"/>
  <c r="AD100" i="11"/>
  <c r="AE100" i="11" s="1"/>
  <c r="R46" i="8"/>
  <c r="AR46" i="8" s="1"/>
  <c r="R38" i="8"/>
  <c r="AR38" i="8" s="1"/>
  <c r="L54" i="8"/>
  <c r="R54" i="8" s="1"/>
  <c r="R47" i="8"/>
  <c r="AR47" i="8" s="1"/>
  <c r="L66" i="8"/>
  <c r="R40" i="8"/>
  <c r="AW40" i="8" s="1"/>
  <c r="R44" i="8"/>
  <c r="AW44" i="8" s="1"/>
  <c r="R61" i="8"/>
  <c r="AY61" i="8" s="1"/>
  <c r="R56" i="8"/>
  <c r="AY56" i="8" s="1"/>
  <c r="L62" i="8"/>
  <c r="L55" i="8"/>
  <c r="R55" i="8" s="1"/>
  <c r="AR55" i="8" s="1"/>
  <c r="L57" i="8"/>
  <c r="R57" i="8" s="1"/>
  <c r="R59" i="8"/>
  <c r="AR59" i="8" s="1"/>
  <c r="R58" i="8"/>
  <c r="BA58" i="8" s="1"/>
  <c r="R43" i="8"/>
  <c r="AR43" i="8" s="1"/>
  <c r="L39" i="8"/>
  <c r="R39" i="8" s="1"/>
  <c r="L41" i="8"/>
  <c r="R41" i="8" s="1"/>
  <c r="L42" i="8"/>
  <c r="R42" i="8" s="1"/>
  <c r="L35" i="8"/>
  <c r="R35" i="8" s="1"/>
  <c r="L36" i="8"/>
  <c r="R36" i="8" s="1"/>
  <c r="AH35" i="11" l="1"/>
  <c r="AJ34" i="11"/>
  <c r="AK34" i="11" s="1"/>
  <c r="AK98" i="11"/>
  <c r="AL98" i="11" s="1"/>
  <c r="AZ98" i="11"/>
  <c r="BA98" i="11" s="1"/>
  <c r="R335" i="11" s="1"/>
  <c r="AT99" i="11"/>
  <c r="AU99" i="11" s="1"/>
  <c r="AN99" i="11"/>
  <c r="AO99" i="11" s="1"/>
  <c r="R62" i="8"/>
  <c r="AR62" i="8" s="1"/>
  <c r="T115" i="11"/>
  <c r="AQ516" i="11"/>
  <c r="R60" i="8"/>
  <c r="AY60" i="8" s="1"/>
  <c r="AK99" i="11"/>
  <c r="AL99" i="11" s="1"/>
  <c r="AQ518" i="11" s="1"/>
  <c r="AW99" i="11"/>
  <c r="AX99" i="11" s="1"/>
  <c r="AY63" i="8"/>
  <c r="BA63" i="8"/>
  <c r="AW45" i="8"/>
  <c r="AW46" i="8"/>
  <c r="AW38" i="8"/>
  <c r="AR64" i="8"/>
  <c r="BA64" i="8"/>
  <c r="AY64" i="8"/>
  <c r="BA71" i="11"/>
  <c r="R350" i="11" s="1"/>
  <c r="AZ72" i="11"/>
  <c r="AX71" i="11"/>
  <c r="R283" i="11" s="1"/>
  <c r="AW72" i="11"/>
  <c r="AO71" i="11"/>
  <c r="R166" i="11" s="1"/>
  <c r="AN72" i="11"/>
  <c r="R66" i="8"/>
  <c r="BA66" i="8" s="1"/>
  <c r="T116" i="11"/>
  <c r="AQ517" i="11"/>
  <c r="AR71" i="11"/>
  <c r="AQ72" i="11"/>
  <c r="AL71" i="11"/>
  <c r="T122" i="11" s="1"/>
  <c r="AK72" i="11"/>
  <c r="AK522" i="11"/>
  <c r="AL523" i="11" s="1"/>
  <c r="AE101" i="11"/>
  <c r="AL521" i="11"/>
  <c r="AU71" i="11"/>
  <c r="R199" i="11" s="1"/>
  <c r="AT72" i="11"/>
  <c r="AR96" i="11"/>
  <c r="AQ97" i="11"/>
  <c r="AD523" i="11"/>
  <c r="AE524" i="11" s="1"/>
  <c r="AE76" i="11"/>
  <c r="AW47" i="8"/>
  <c r="AR40" i="8"/>
  <c r="BA54" i="8"/>
  <c r="AY54" i="8"/>
  <c r="AR54" i="8"/>
  <c r="BA61" i="8"/>
  <c r="AR44" i="8"/>
  <c r="AR61" i="8"/>
  <c r="BA56" i="8"/>
  <c r="AR56" i="8"/>
  <c r="AY59" i="8"/>
  <c r="AW43" i="8"/>
  <c r="BA59" i="8"/>
  <c r="AY58" i="8"/>
  <c r="AY55" i="8"/>
  <c r="BA55" i="8"/>
  <c r="BA57" i="8"/>
  <c r="AR57" i="8"/>
  <c r="AY57" i="8"/>
  <c r="AR65" i="8"/>
  <c r="AY65" i="8"/>
  <c r="AR58" i="8"/>
  <c r="AW37" i="8"/>
  <c r="AR37" i="8"/>
  <c r="AR35" i="8"/>
  <c r="AW35" i="8"/>
  <c r="AW36" i="8"/>
  <c r="AR36" i="8"/>
  <c r="AW42" i="8"/>
  <c r="AR42" i="8"/>
  <c r="AW41" i="8"/>
  <c r="AR41" i="8"/>
  <c r="AW39" i="8"/>
  <c r="AR39" i="8"/>
  <c r="AI35" i="11" l="1"/>
  <c r="AI36" i="11"/>
  <c r="AJ35" i="11"/>
  <c r="AK35" i="11" s="1"/>
  <c r="AY66" i="8"/>
  <c r="AN100" i="11"/>
  <c r="AO100" i="11" s="1"/>
  <c r="AZ99" i="11"/>
  <c r="BA99" i="11" s="1"/>
  <c r="AR60" i="8"/>
  <c r="BA62" i="8"/>
  <c r="AY62" i="8"/>
  <c r="AT100" i="11"/>
  <c r="AU100" i="11" s="1"/>
  <c r="BA60" i="8"/>
  <c r="AW100" i="11"/>
  <c r="AX100" i="11" s="1"/>
  <c r="AK100" i="11"/>
  <c r="AL100" i="11" s="1"/>
  <c r="AQ519" i="11" s="1"/>
  <c r="AR66" i="8"/>
  <c r="AX72" i="11"/>
  <c r="AW73" i="11"/>
  <c r="AU72" i="11"/>
  <c r="AT73" i="11"/>
  <c r="AR72" i="11"/>
  <c r="AQ73" i="11"/>
  <c r="AO72" i="11"/>
  <c r="AN73" i="11"/>
  <c r="BA72" i="11"/>
  <c r="AZ73" i="11"/>
  <c r="AL72" i="11"/>
  <c r="AK73" i="11"/>
  <c r="AL522" i="11"/>
  <c r="AE523" i="11"/>
  <c r="AR97" i="11"/>
  <c r="AQ98" i="11"/>
  <c r="AW101" i="11"/>
  <c r="D5" i="10"/>
  <c r="D7" i="10"/>
  <c r="D6" i="10"/>
  <c r="AN101" i="11" l="1"/>
  <c r="AZ100" i="11"/>
  <c r="BA100" i="11" s="1"/>
  <c r="AK101" i="11"/>
  <c r="AT101" i="11"/>
  <c r="AZ101" i="11"/>
  <c r="BA101" i="11" s="1"/>
  <c r="R336" i="11" s="1"/>
  <c r="AL101" i="11"/>
  <c r="T117" i="11" s="1"/>
  <c r="AK102" i="11"/>
  <c r="AL102" i="11" s="1"/>
  <c r="AX101" i="11"/>
  <c r="R300" i="11" s="1"/>
  <c r="AW102" i="11"/>
  <c r="AX102" i="11" s="1"/>
  <c r="AO101" i="11"/>
  <c r="R152" i="11" s="1"/>
  <c r="AN102" i="11"/>
  <c r="AO102" i="11" s="1"/>
  <c r="AU73" i="11"/>
  <c r="AT74" i="11"/>
  <c r="AO73" i="11"/>
  <c r="AN74" i="11"/>
  <c r="AR98" i="11"/>
  <c r="AQ99" i="11"/>
  <c r="AR73" i="11"/>
  <c r="AQ74" i="11"/>
  <c r="AL73" i="11"/>
  <c r="AK74" i="11"/>
  <c r="AU101" i="11"/>
  <c r="AT102" i="11"/>
  <c r="AU102" i="11" s="1"/>
  <c r="BA73" i="11"/>
  <c r="AZ74" i="11"/>
  <c r="AX73" i="11"/>
  <c r="AW74" i="11"/>
  <c r="D15" i="10"/>
  <c r="D25" i="10"/>
  <c r="D4" i="10"/>
  <c r="D18" i="10"/>
  <c r="D10" i="10"/>
  <c r="AZ102" i="11" l="1"/>
  <c r="BA102" i="11" s="1"/>
  <c r="AU74" i="11"/>
  <c r="AT75" i="11"/>
  <c r="AR74" i="11"/>
  <c r="AQ75" i="11"/>
  <c r="AR99" i="11"/>
  <c r="AQ100" i="11"/>
  <c r="AO74" i="11"/>
  <c r="AN75" i="11"/>
  <c r="AL74" i="11"/>
  <c r="AK75" i="11"/>
  <c r="AX74" i="11"/>
  <c r="AW75" i="11"/>
  <c r="BA74" i="11"/>
  <c r="AZ75" i="11"/>
  <c r="D19" i="10"/>
  <c r="D11" i="10"/>
  <c r="D8" i="10"/>
  <c r="D17" i="10"/>
  <c r="D9" i="10"/>
  <c r="AO75" i="11" l="1"/>
  <c r="AN76" i="11"/>
  <c r="BA75" i="11"/>
  <c r="AZ76" i="11"/>
  <c r="AX75" i="11"/>
  <c r="AW76" i="11"/>
  <c r="AR75" i="11"/>
  <c r="AQ76" i="11"/>
  <c r="AL75" i="11"/>
  <c r="AK76" i="11"/>
  <c r="AU75" i="11"/>
  <c r="AT76" i="11"/>
  <c r="AR100" i="11"/>
  <c r="AQ101" i="11"/>
  <c r="D23" i="10"/>
  <c r="D24" i="10"/>
  <c r="D26" i="10"/>
  <c r="AX76" i="11" l="1"/>
  <c r="R284" i="11" s="1"/>
  <c r="AW77" i="11"/>
  <c r="AR76" i="11"/>
  <c r="R200" i="11" s="1"/>
  <c r="AQ77" i="11"/>
  <c r="AR77" i="11" s="1"/>
  <c r="AR101" i="11"/>
  <c r="R194" i="11" s="1"/>
  <c r="AQ102" i="11"/>
  <c r="AR102" i="11" s="1"/>
  <c r="AU76" i="11"/>
  <c r="AT77" i="11"/>
  <c r="BA76" i="11"/>
  <c r="R351" i="11" s="1"/>
  <c r="AZ77" i="11"/>
  <c r="AL76" i="11"/>
  <c r="T123" i="11" s="1"/>
  <c r="AK77" i="11"/>
  <c r="AL77" i="11" s="1"/>
  <c r="AO76" i="11"/>
  <c r="R167" i="11" s="1"/>
  <c r="AN77" i="11"/>
  <c r="E33" i="10"/>
  <c r="E32" i="10"/>
  <c r="E31" i="10"/>
  <c r="E19" i="10"/>
  <c r="E16" i="10"/>
  <c r="E18" i="10"/>
  <c r="E34" i="10"/>
  <c r="E17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ZiYang</author>
  </authors>
  <commentList>
    <comment ref="AI71" authorId="0" shapeId="0" xr:uid="{90898C22-447F-4838-A174-0D1810D4BD11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73" authorId="0" shapeId="0" xr:uid="{BF9BFC90-1BFE-4462-8F5A-79A4B8C453C9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75" authorId="0" shapeId="0" xr:uid="{8C60D88E-3CFA-4637-B82A-776E3C7351B5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  <comment ref="AI98" authorId="0" shapeId="0" xr:uid="{BF935716-15E5-4B18-A8E6-656376AE8198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linked cell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ZiYang</author>
  </authors>
  <commentList>
    <comment ref="I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Tan, ZiYang:</t>
        </r>
        <r>
          <rPr>
            <sz val="9"/>
            <color indexed="81"/>
            <rFont val="Tahoma"/>
            <family val="2"/>
          </rPr>
          <t xml:space="preserve">
distance between roof slab to formation level</t>
        </r>
      </text>
    </comment>
  </commentList>
</comments>
</file>

<file path=xl/sharedStrings.xml><?xml version="1.0" encoding="utf-8"?>
<sst xmlns="http://schemas.openxmlformats.org/spreadsheetml/2006/main" count="1826" uniqueCount="468">
  <si>
    <t xml:space="preserve">Project </t>
  </si>
  <si>
    <t xml:space="preserve">Megaspine </t>
  </si>
  <si>
    <t>Job Ref</t>
  </si>
  <si>
    <t>Calc' By</t>
  </si>
  <si>
    <t>PSM</t>
  </si>
  <si>
    <t xml:space="preserve">Title </t>
  </si>
  <si>
    <t>Chk'd By</t>
  </si>
  <si>
    <t>JRS</t>
  </si>
  <si>
    <t xml:space="preserve">Load Calculation </t>
  </si>
  <si>
    <t>App'rd By</t>
  </si>
  <si>
    <t>MYPQ</t>
  </si>
  <si>
    <t>Date</t>
  </si>
  <si>
    <t>Sheet</t>
  </si>
  <si>
    <r>
      <rPr>
        <u/>
        <sz val="10"/>
        <rFont val="Arial"/>
        <family val="2"/>
      </rPr>
      <t>Tunnel Section Geometry and Soil Profile</t>
    </r>
    <r>
      <rPr>
        <sz val="10"/>
        <rFont val="Arial"/>
        <family val="2"/>
      </rPr>
      <t xml:space="preserve"> </t>
    </r>
  </si>
  <si>
    <t>1800mm Pile</t>
  </si>
  <si>
    <t>General Soil Parameter:</t>
  </si>
  <si>
    <r>
      <t>g</t>
    </r>
    <r>
      <rPr>
        <vertAlign val="subscript"/>
        <sz val="9"/>
        <rFont val="Calibri"/>
        <family val="2"/>
        <scheme val="minor"/>
      </rPr>
      <t>sat</t>
    </r>
  </si>
  <si>
    <r>
      <t>K</t>
    </r>
    <r>
      <rPr>
        <vertAlign val="subscript"/>
        <sz val="9"/>
        <rFont val="Times New Roman"/>
        <family val="1"/>
      </rPr>
      <t>0</t>
    </r>
  </si>
  <si>
    <r>
      <t>k</t>
    </r>
    <r>
      <rPr>
        <vertAlign val="subscript"/>
        <sz val="9"/>
        <rFont val="Times New Roman"/>
        <family val="1"/>
      </rPr>
      <t>a</t>
    </r>
  </si>
  <si>
    <r>
      <t>f</t>
    </r>
    <r>
      <rPr>
        <i/>
        <sz val="9"/>
        <rFont val="Calibri"/>
        <family val="2"/>
        <scheme val="minor"/>
      </rPr>
      <t>'</t>
    </r>
  </si>
  <si>
    <r>
      <t>c</t>
    </r>
    <r>
      <rPr>
        <vertAlign val="subscript"/>
        <sz val="9"/>
        <rFont val="Times New Roman"/>
        <family val="1"/>
      </rPr>
      <t>u</t>
    </r>
    <r>
      <rPr>
        <sz val="9"/>
        <rFont val="Times New Roman"/>
        <family val="1"/>
      </rPr>
      <t xml:space="preserve"> </t>
    </r>
  </si>
  <si>
    <r>
      <t>E</t>
    </r>
    <r>
      <rPr>
        <vertAlign val="subscript"/>
        <sz val="9"/>
        <rFont val="Times New Roman"/>
        <family val="1"/>
      </rPr>
      <t>u</t>
    </r>
  </si>
  <si>
    <t>E'</t>
  </si>
  <si>
    <t>n</t>
  </si>
  <si>
    <t>kN/m3</t>
  </si>
  <si>
    <t>kPa</t>
  </si>
  <si>
    <t>Fill</t>
  </si>
  <si>
    <t>-</t>
  </si>
  <si>
    <t>F1</t>
  </si>
  <si>
    <t>450(7.5-Z)</t>
  </si>
  <si>
    <t>User to define</t>
  </si>
  <si>
    <t>F2</t>
  </si>
  <si>
    <r>
      <t>300C</t>
    </r>
    <r>
      <rPr>
        <vertAlign val="subscript"/>
        <sz val="8"/>
        <rFont val="Times New Roman"/>
        <family val="1"/>
      </rPr>
      <t>u</t>
    </r>
  </si>
  <si>
    <r>
      <t>E</t>
    </r>
    <r>
      <rPr>
        <vertAlign val="subscript"/>
        <sz val="9"/>
        <rFont val="Times New Roman"/>
        <family val="1"/>
      </rPr>
      <t>u</t>
    </r>
    <r>
      <rPr>
        <sz val="9"/>
        <rFont val="Times New Roman"/>
        <family val="1"/>
      </rPr>
      <t>/1.2</t>
    </r>
  </si>
  <si>
    <t>LC52</t>
  </si>
  <si>
    <t>Aircraft load</t>
  </si>
  <si>
    <t>E</t>
  </si>
  <si>
    <r>
      <t>250C</t>
    </r>
    <r>
      <rPr>
        <vertAlign val="subscript"/>
        <sz val="8"/>
        <rFont val="Times New Roman"/>
        <family val="1"/>
      </rPr>
      <t>u</t>
    </r>
  </si>
  <si>
    <t>LC51</t>
  </si>
  <si>
    <t>Internal LL</t>
  </si>
  <si>
    <t>UMC</t>
  </si>
  <si>
    <t>1.1(6-Z)</t>
  </si>
  <si>
    <t>LC56-57</t>
  </si>
  <si>
    <t>Construction Live load</t>
  </si>
  <si>
    <t>LMC</t>
  </si>
  <si>
    <t>0.9(16-Z)</t>
  </si>
  <si>
    <t>LC3-4</t>
  </si>
  <si>
    <t>Pavement weight</t>
  </si>
  <si>
    <t>OE</t>
  </si>
  <si>
    <t>3000N</t>
  </si>
  <si>
    <t>EARTH PRESSURE CALCULATOR (LHS/NORTH)</t>
  </si>
  <si>
    <t>1.5BGL</t>
  </si>
  <si>
    <t>4.5BGL</t>
  </si>
  <si>
    <t>Boundary LHS</t>
  </si>
  <si>
    <t>Level LHS</t>
  </si>
  <si>
    <t>Thickness to layer above</t>
  </si>
  <si>
    <t>g</t>
  </si>
  <si>
    <r>
      <t>g</t>
    </r>
    <r>
      <rPr>
        <vertAlign val="subscript"/>
        <sz val="10"/>
        <rFont val="Arial"/>
        <family val="2"/>
      </rPr>
      <t>sat</t>
    </r>
  </si>
  <si>
    <r>
      <t>K</t>
    </r>
    <r>
      <rPr>
        <vertAlign val="subscript"/>
        <sz val="8"/>
        <rFont val="Arial"/>
        <family val="2"/>
      </rPr>
      <t>0</t>
    </r>
  </si>
  <si>
    <r>
      <t>K</t>
    </r>
    <r>
      <rPr>
        <vertAlign val="subscript"/>
        <sz val="8"/>
        <rFont val="Arial"/>
        <family val="2"/>
      </rPr>
      <t>a</t>
    </r>
  </si>
  <si>
    <t>Load Case 11</t>
  </si>
  <si>
    <t>Cumulative sum of vertical pressures above layer (12)</t>
  </si>
  <si>
    <t>Load Case 12</t>
  </si>
  <si>
    <t>Load Case 13</t>
  </si>
  <si>
    <t>Cumulative sum of vertical pressures above layer (14)</t>
  </si>
  <si>
    <t>Load Case 14</t>
  </si>
  <si>
    <t>Load Case 15</t>
  </si>
  <si>
    <t>Load Case 16</t>
  </si>
  <si>
    <t>Load Case 17</t>
  </si>
  <si>
    <t>Cumulative sum of vertical pressures above layer (16)</t>
  </si>
  <si>
    <t>Load Case 18 West</t>
  </si>
  <si>
    <t>Cumulative sum of vertical pressures above layer (19)</t>
  </si>
  <si>
    <t>Load Case 19</t>
  </si>
  <si>
    <t>Load Case 21 West</t>
  </si>
  <si>
    <t>Cumulative sum of vertical pressures above layer (23)</t>
  </si>
  <si>
    <t>Load Case 23</t>
  </si>
  <si>
    <t>Load Case 53-55</t>
  </si>
  <si>
    <t>Load Case 56-57</t>
  </si>
  <si>
    <t>Load Case 5</t>
  </si>
  <si>
    <t>Load Case 6</t>
  </si>
  <si>
    <t>Load Case 54.1</t>
  </si>
  <si>
    <t>Load Case 54.2</t>
  </si>
  <si>
    <t>Load Case 4</t>
  </si>
  <si>
    <t>Load Case 3</t>
  </si>
  <si>
    <t>grd type</t>
  </si>
  <si>
    <t>Ground Lvl</t>
  </si>
  <si>
    <t xml:space="preserve"> ----</t>
  </si>
  <si>
    <t>Ground and Station Elevations</t>
  </si>
  <si>
    <t>1.5m BGL</t>
  </si>
  <si>
    <t>Ground level</t>
  </si>
  <si>
    <t xml:space="preserve"> = </t>
  </si>
  <si>
    <t>m</t>
  </si>
  <si>
    <t>4.5m BGL</t>
  </si>
  <si>
    <t>1.5m below ground level</t>
  </si>
  <si>
    <t>5.0m BGL</t>
  </si>
  <si>
    <t>4.5m below ground level</t>
  </si>
  <si>
    <t>5m below ground level</t>
  </si>
  <si>
    <t>Top of roof slab</t>
  </si>
  <si>
    <t>Box Roof</t>
  </si>
  <si>
    <t>Base slab level</t>
  </si>
  <si>
    <t>Thickness of Soil Cover on top of Roof</t>
  </si>
  <si>
    <t>Box Roof CL</t>
  </si>
  <si>
    <t>Ground level to centreline of roof slab</t>
  </si>
  <si>
    <t>Centreline of roof slab to centreline of base slab</t>
  </si>
  <si>
    <t xml:space="preserve"> =</t>
  </si>
  <si>
    <t>Member sizes</t>
  </si>
  <si>
    <t>External Wall thickness</t>
  </si>
  <si>
    <t>mm</t>
  </si>
  <si>
    <t>Roof slab thickness</t>
  </si>
  <si>
    <t>Base Slab thickness</t>
  </si>
  <si>
    <t>Load Cases:</t>
  </si>
  <si>
    <t>Box Base CL</t>
  </si>
  <si>
    <t xml:space="preserve">Box Base </t>
  </si>
  <si>
    <t xml:space="preserve">1- Self Weight </t>
  </si>
  <si>
    <t>Vertical Roof</t>
  </si>
  <si>
    <t>Self weight</t>
  </si>
  <si>
    <r>
      <t>kN/m</t>
    </r>
    <r>
      <rPr>
        <vertAlign val="superscript"/>
        <sz val="10"/>
        <rFont val="Arial"/>
        <family val="2"/>
      </rPr>
      <t>3</t>
    </r>
  </si>
  <si>
    <t xml:space="preserve">2- Super-Imposed Dead Load </t>
  </si>
  <si>
    <t>EARTH PRESSURE CALCULATOR (RHS/SOUTH)</t>
  </si>
  <si>
    <t>Roof Slab</t>
  </si>
  <si>
    <r>
      <t>kN/m</t>
    </r>
    <r>
      <rPr>
        <vertAlign val="superscript"/>
        <sz val="10"/>
        <rFont val="Arial"/>
        <family val="2"/>
      </rPr>
      <t>2</t>
    </r>
  </si>
  <si>
    <t>(Ceiling +M&amp;E Services+water proofing)</t>
  </si>
  <si>
    <t>Base Slab</t>
  </si>
  <si>
    <t>(Finishes)</t>
  </si>
  <si>
    <t>Boundary RHS</t>
  </si>
  <si>
    <t>Level RHS</t>
  </si>
  <si>
    <r>
      <t>g</t>
    </r>
    <r>
      <rPr>
        <sz val="10"/>
        <rFont val="Arial"/>
        <family val="2"/>
      </rPr>
      <t>'</t>
    </r>
  </si>
  <si>
    <t>Load Case 18 East</t>
  </si>
  <si>
    <t>Cumulative sum of vertical pressures above layer (20)</t>
  </si>
  <si>
    <t>Load Case 20</t>
  </si>
  <si>
    <t>Load Case 21 East</t>
  </si>
  <si>
    <t>Cumulative sum of vertical pressures above layer (22)</t>
  </si>
  <si>
    <t>Load Case 22</t>
  </si>
  <si>
    <t>Load Case 55.1</t>
  </si>
  <si>
    <t>Load Case 55.2</t>
  </si>
  <si>
    <t xml:space="preserve">M&amp;E Services load on wall </t>
  </si>
  <si>
    <t>Refer Appendix B</t>
  </si>
  <si>
    <t>11-Effective Earth Pressure on Roof ; WT at GL</t>
  </si>
  <si>
    <t>Effective vertical earth pressure on roof</t>
  </si>
  <si>
    <r>
      <t>12- Effective horizontal earth pressure at rest, K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on Left and Right wall; WT at GL</t>
    </r>
  </si>
  <si>
    <t>For South Wall (RHS):</t>
  </si>
  <si>
    <t>Horizontal earth pressure at CL of roof</t>
  </si>
  <si>
    <t>=</t>
  </si>
  <si>
    <t xml:space="preserve">Horizontal earth Pressure at End of Fill </t>
  </si>
  <si>
    <t>Horizontal earth Pressure at Start of Marine Clay</t>
  </si>
  <si>
    <t>Horizontal earth pressure at CL of base</t>
  </si>
  <si>
    <t>For North Wall (LHS):</t>
  </si>
  <si>
    <t>WATER PRESSURE CALCULATOR</t>
  </si>
  <si>
    <t>Boundary</t>
  </si>
  <si>
    <t>Level</t>
  </si>
  <si>
    <t>Cumulative sum of vertical pressures above layer (31-33)</t>
  </si>
  <si>
    <t>Load Case 31</t>
  </si>
  <si>
    <t>Load Case 32</t>
  </si>
  <si>
    <t>Load Case 33</t>
  </si>
  <si>
    <t>Cumulative sum of vertical pressures above layer (34)</t>
  </si>
  <si>
    <t>Load Case 34</t>
  </si>
  <si>
    <t>Cumulative sum of vertical pressures above layer (35-36)</t>
  </si>
  <si>
    <t>Load Case 35</t>
  </si>
  <si>
    <t>Load Case 36</t>
  </si>
  <si>
    <t>Cumulative sum of vertical pressures above layer (37)</t>
  </si>
  <si>
    <t>Load Case 37</t>
  </si>
  <si>
    <t>Load Case 38 RHS</t>
  </si>
  <si>
    <t>Load Case 38 LHS</t>
  </si>
  <si>
    <t>Cumulative sum of vertical pressures above layer (39 East)</t>
  </si>
  <si>
    <t>Load Case 39 RHS</t>
  </si>
  <si>
    <t>Cumulative sum of vertical pressures above layer (39 West)</t>
  </si>
  <si>
    <t>Load Case 39 LHS</t>
  </si>
  <si>
    <t>Load Case 40 RHS</t>
  </si>
  <si>
    <t>Load Case 40 LHS</t>
  </si>
  <si>
    <t>Load Case 41 LHS</t>
  </si>
  <si>
    <t>Load Case 41 RHS</t>
  </si>
  <si>
    <t>LC42 LC43 LHS</t>
  </si>
  <si>
    <t>LC42 LC43 RHS</t>
  </si>
  <si>
    <t xml:space="preserve">13-Effective Vertical Earth Pressure on Roof ; WT at 5m below GL </t>
  </si>
  <si>
    <t>sofit of base</t>
  </si>
  <si>
    <r>
      <t>14-Effective horizontal earth pressure at active, K</t>
    </r>
    <r>
      <rPr>
        <vertAlign val="subscript"/>
        <sz val="10"/>
        <rFont val="Arial"/>
        <family val="2"/>
      </rPr>
      <t xml:space="preserve">a </t>
    </r>
    <r>
      <rPr>
        <sz val="10"/>
        <rFont val="Arial"/>
        <family val="2"/>
      </rPr>
      <t>on Left and Right wall;</t>
    </r>
  </si>
  <si>
    <t>WT at 5m Below GL</t>
  </si>
  <si>
    <t>Vertical Base</t>
  </si>
  <si>
    <t>Right Wall:</t>
  </si>
  <si>
    <t>Up-lift on base</t>
  </si>
  <si>
    <t>[WT at GL]</t>
  </si>
  <si>
    <t>Vertical, horizontal, and up-lift water pressure on roof, North and South wall, and base</t>
  </si>
  <si>
    <t>[WT at Flood Level GL+FL1.0m)]</t>
  </si>
  <si>
    <t>Vertical water pressure on roof</t>
  </si>
  <si>
    <t>Horizontal water pressure at CL of roof</t>
  </si>
  <si>
    <t>Left Wall:</t>
  </si>
  <si>
    <t>Horizontal water pressure at CL of base</t>
  </si>
  <si>
    <t>kN/m2</t>
  </si>
  <si>
    <t>Up-lift at base</t>
  </si>
  <si>
    <r>
      <t xml:space="preserve">Horizontal water pressure </t>
    </r>
    <r>
      <rPr>
        <sz val="10"/>
        <rFont val="Arial"/>
        <family val="2"/>
      </rPr>
      <t>on North and South wall</t>
    </r>
  </si>
  <si>
    <t>[WT varies 4.5m BGL (L) to 1.5m BGL (R)]</t>
  </si>
  <si>
    <t>15-Effective Earth Pressure on Roof ; WT at Base</t>
  </si>
  <si>
    <t>Eff vertical earth pressure on roof</t>
  </si>
  <si>
    <r>
      <t>16-Effective horizontal earth pressure at Rest, Ko</t>
    </r>
    <r>
      <rPr>
        <u/>
        <vertAlign val="subscript"/>
        <sz val="10"/>
        <rFont val="Arial"/>
        <family val="2"/>
      </rPr>
      <t xml:space="preserve"> </t>
    </r>
    <r>
      <rPr>
        <u/>
        <sz val="10"/>
        <rFont val="Arial"/>
        <family val="2"/>
      </rPr>
      <t>on North and South wall; WT at Base</t>
    </r>
  </si>
  <si>
    <t>Vertical and up-lift water pressure on roof and base</t>
  </si>
  <si>
    <t>[1.5m excavation above roof]</t>
  </si>
  <si>
    <t xml:space="preserve">17-Effective Earth Pressure on Roof ; 1.5m soil excavated from GL </t>
  </si>
  <si>
    <t>Up-lift at Stn base</t>
  </si>
  <si>
    <t>Up-lift at Entrance base</t>
  </si>
  <si>
    <t>South</t>
  </si>
  <si>
    <t>[WT varies 4.5m BGL (R) to 1.5m BGL (L)]</t>
  </si>
  <si>
    <t>North</t>
  </si>
  <si>
    <t>18-Effective Vertical Earth Pressure on Roof; WT Varies 4.5m Below GL (Right Side)</t>
  </si>
  <si>
    <t>to  1.5m below GL (Left Side)</t>
  </si>
  <si>
    <t>RHS</t>
  </si>
  <si>
    <t>LHS</t>
  </si>
  <si>
    <t>South (RHS)</t>
  </si>
  <si>
    <r>
      <t>19- Effective horizontal earth pressure at rest,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 xml:space="preserve">on Left wall; </t>
    </r>
  </si>
  <si>
    <t>WT Varies 4.5m Below GL (Right Side) to 1.5m below GL  (Left Side)</t>
  </si>
  <si>
    <t>South (R )</t>
  </si>
  <si>
    <t>North (L)</t>
  </si>
  <si>
    <t>Vertical effect of surcharge on roof</t>
  </si>
  <si>
    <r>
      <t>20-Effective horizontal earth pressure at active,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>on Right wall</t>
    </r>
  </si>
  <si>
    <t>Load Case 43 West</t>
  </si>
  <si>
    <t>Load Case 43 East</t>
  </si>
  <si>
    <t>Load Case 42 West</t>
  </si>
  <si>
    <t>Cumulative sum of vertical pressures above layer (42 West)</t>
  </si>
  <si>
    <t>Load Case 42 East</t>
  </si>
  <si>
    <t>Cumulative sum of vertical pressures above layer (42 East)</t>
  </si>
  <si>
    <t>Load Case 41 West</t>
  </si>
  <si>
    <t>21-Effective Vertical Soil Pressure (Roof);</t>
  </si>
  <si>
    <t>WT Varies 1.5m Below GL (Right) to 4.5m below GL (Left)</t>
  </si>
  <si>
    <r>
      <t>Horizontal effect of surcharge on North wall (considering K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values)</t>
    </r>
  </si>
  <si>
    <t>Vertical earth pressure at CL of roof (Left)</t>
  </si>
  <si>
    <t>Vertical earth pressure at CL of roof (Right)</t>
  </si>
  <si>
    <r>
      <t>Horizontal effect of surcharge on South wall (considering K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values)</t>
    </r>
  </si>
  <si>
    <r>
      <t>22- Effective horizontal earth pressure at rest, K</t>
    </r>
    <r>
      <rPr>
        <u/>
        <vertAlign val="subscript"/>
        <sz val="10"/>
        <rFont val="Arial"/>
        <family val="2"/>
      </rPr>
      <t xml:space="preserve">0 </t>
    </r>
    <r>
      <rPr>
        <u/>
        <sz val="10"/>
        <rFont val="Arial"/>
        <family val="2"/>
      </rPr>
      <t xml:space="preserve">on Right wall; </t>
    </r>
  </si>
  <si>
    <r>
      <t>23-Effective horizontal earth pressure at active, K</t>
    </r>
    <r>
      <rPr>
        <u/>
        <vertAlign val="subscript"/>
        <sz val="10"/>
        <rFont val="Arial"/>
        <family val="2"/>
      </rPr>
      <t xml:space="preserve">a </t>
    </r>
    <r>
      <rPr>
        <u/>
        <sz val="10"/>
        <rFont val="Arial"/>
        <family val="2"/>
      </rPr>
      <t>on Left wall</t>
    </r>
  </si>
  <si>
    <t xml:space="preserve">31-Hydrostatic Vertical Pressure (Roof) -  WT at GL </t>
  </si>
  <si>
    <t xml:space="preserve">kN/m2 </t>
  </si>
  <si>
    <t xml:space="preserve">32- Hydrostatic Lateral (Left &amp; Right); WT at GL </t>
  </si>
  <si>
    <t>Hydrostatic Lateral Pressure - Top</t>
  </si>
  <si>
    <t>Hydrostatic Lateral Pressure - Bottom</t>
  </si>
  <si>
    <t xml:space="preserve">33-Uplift (Base); WT at GL </t>
  </si>
  <si>
    <t xml:space="preserve">Uplift at Base Slab </t>
  </si>
  <si>
    <t xml:space="preserve">34-Hydrostatic Vertical, Lateral (Left and Right) and Uplift Pressure; WT at Flood level </t>
  </si>
  <si>
    <t xml:space="preserve">Hydrostatic Vertical Pressure on Roof </t>
  </si>
  <si>
    <t xml:space="preserve">35-Hydrostatic Vertical + Uplift Pressure ; WT at 5m Below GL </t>
  </si>
  <si>
    <t>36-Hydrostatic Lateral Pressure ( Left &amp; Right); WT at 5m Below GL</t>
  </si>
  <si>
    <t>37-Hydrostatic Vertical and Uplift (Roof &amp; Base); WT at 1.5m below GL due to excavation</t>
  </si>
  <si>
    <t>38-Hydrostatic Vertical Pressure (Roof); WT at 1.5m Below GL  &amp; 4.5m below GL (Right)</t>
  </si>
  <si>
    <t xml:space="preserve">Hydrostatic Vertical Pressure on Left </t>
  </si>
  <si>
    <t>Hydrostatic Vertical Pressure Right</t>
  </si>
  <si>
    <t>39-Hydrostatic Lateral Pressure(Left &amp; Right);</t>
  </si>
  <si>
    <t>WT at 1.5m Below GL &amp; 4.5m below GL (Right)</t>
  </si>
  <si>
    <t>Hydrostatic Lateral Pressure Left - Top</t>
  </si>
  <si>
    <t>Hydrostatic Lateral Pressure Left - Bottom</t>
  </si>
  <si>
    <t>Hydrostatic Lateral Pressure Right - Top</t>
  </si>
  <si>
    <t>Hydrostatic Lateral Pressure Right - Bottom</t>
  </si>
  <si>
    <t>40-Uplift (Base); WT at 1.5m Below GL &amp; 4.5m below GL (Right)</t>
  </si>
  <si>
    <t>Uplift at Base  - Left</t>
  </si>
  <si>
    <t>Uplift at Base  - Right</t>
  </si>
  <si>
    <t>HORIZONTAL EFFECT OF SURCHARGE CALCULATOR</t>
  </si>
  <si>
    <t>Fill LB</t>
  </si>
  <si>
    <t>M</t>
  </si>
  <si>
    <t>Entrance Box Base CL</t>
  </si>
  <si>
    <t xml:space="preserve">Entrance Box Base </t>
  </si>
  <si>
    <t>41-Hydrostatic Vertical Pressure (Roof); WT at 4.5m Below GL  &amp; 1.5m below GL (Right)</t>
  </si>
  <si>
    <t>O(D)</t>
  </si>
  <si>
    <t>Stn Box Base CL</t>
  </si>
  <si>
    <t>Stn Box Base</t>
  </si>
  <si>
    <t>42-Hydrostatic Lateral Pressure(Left &amp; Right);</t>
  </si>
  <si>
    <t>WT at 4.5m Below GL &amp; 1.5m below GL (Right)</t>
  </si>
  <si>
    <t>43-Uplift (Base); WT at 4.5m Below GL &amp; 1.5m below GL (Right)</t>
  </si>
  <si>
    <t>51-Internal Live Load</t>
  </si>
  <si>
    <t xml:space="preserve">Internal Live load </t>
  </si>
  <si>
    <t xml:space="preserve">Hoist Load </t>
  </si>
  <si>
    <t>kN/m</t>
  </si>
  <si>
    <t>Wind Pressure</t>
  </si>
  <si>
    <t>52-Surcharge (Roof)</t>
  </si>
  <si>
    <t xml:space="preserve">Surcharge Load </t>
  </si>
  <si>
    <t>A</t>
  </si>
  <si>
    <t>53-Lateral Surcharge (Left &amp; Right)</t>
  </si>
  <si>
    <t xml:space="preserve">Lateral Surcharge at Highest layer </t>
  </si>
  <si>
    <t>Lateral Surcharge at Lowest layer</t>
  </si>
  <si>
    <t>54-Lateral Surcharge (Left )</t>
  </si>
  <si>
    <t>55-Lateral Surcharge (Right)</t>
  </si>
  <si>
    <t xml:space="preserve">Lateral Surcharge at Fill </t>
  </si>
  <si>
    <t>Lateral Surcharge at Marine Clay</t>
  </si>
  <si>
    <t>56-Construction Load (Roof)</t>
  </si>
  <si>
    <t xml:space="preserve">Construction Load </t>
  </si>
  <si>
    <t>57-Lateral Construction (Left &amp; Right)</t>
  </si>
  <si>
    <t>Project:</t>
  </si>
  <si>
    <t>MEGASPINE</t>
  </si>
  <si>
    <t>Calculations for:</t>
  </si>
  <si>
    <t>Discipline:</t>
  </si>
  <si>
    <t>Structural</t>
  </si>
  <si>
    <t>Job No/File No:</t>
  </si>
  <si>
    <t>Analysis Model Lateral Spring Stiffness</t>
  </si>
  <si>
    <t>Calc by:</t>
  </si>
  <si>
    <t>AH</t>
  </si>
  <si>
    <t>Date:</t>
  </si>
  <si>
    <t>Rev</t>
  </si>
  <si>
    <t>SECTION E1</t>
  </si>
  <si>
    <t>Checked by:</t>
  </si>
  <si>
    <t>KSI</t>
  </si>
  <si>
    <t>REF</t>
  </si>
  <si>
    <t>Dwg Ref.</t>
  </si>
  <si>
    <t>OUTPUT</t>
  </si>
  <si>
    <t>LATERAL SPRING STIFFNESS AT NODES FOR WALLS</t>
  </si>
  <si>
    <t>Soil Strata</t>
  </si>
  <si>
    <t>B side</t>
  </si>
  <si>
    <t>v</t>
  </si>
  <si>
    <t>kh</t>
  </si>
  <si>
    <r>
      <t>kN/m</t>
    </r>
    <r>
      <rPr>
        <vertAlign val="superscript"/>
        <sz val="9"/>
        <rFont val="Arial"/>
        <family val="2"/>
      </rPr>
      <t>2</t>
    </r>
  </si>
  <si>
    <r>
      <t>kN/m</t>
    </r>
    <r>
      <rPr>
        <vertAlign val="superscript"/>
        <sz val="9"/>
        <rFont val="Arial"/>
        <family val="2"/>
      </rPr>
      <t>3</t>
    </r>
  </si>
  <si>
    <t>Horizontal Spring stiffness, kh</t>
  </si>
  <si>
    <t>E' is the the modulus of the soil layer</t>
  </si>
  <si>
    <t>B is the influence thickness of the soil layer</t>
  </si>
  <si>
    <t>is the Poission's ratio of the soil layer</t>
  </si>
  <si>
    <t xml:space="preserve">In the model for the analysis multilinear springs are adopted to only allow for </t>
  </si>
  <si>
    <t>compression soil springs and to avoid tension springs.</t>
  </si>
  <si>
    <t>Left Wall</t>
  </si>
  <si>
    <t>INPUT TABLE</t>
  </si>
  <si>
    <t>Node No.(psudo)</t>
  </si>
  <si>
    <t>Layer Type</t>
  </si>
  <si>
    <t>Node No.</t>
  </si>
  <si>
    <t>Y Coord</t>
  </si>
  <si>
    <t>Width</t>
  </si>
  <si>
    <t>Kh</t>
  </si>
  <si>
    <t>Stiffness</t>
  </si>
  <si>
    <t>(m)</t>
  </si>
  <si>
    <t xml:space="preserve"> </t>
  </si>
  <si>
    <t>X</t>
  </si>
  <si>
    <t>Y</t>
  </si>
  <si>
    <t>Z</t>
  </si>
  <si>
    <t>SUPPORTS IN LHS</t>
  </si>
  <si>
    <t>SPRINGS</t>
  </si>
  <si>
    <t>FIXED</t>
  </si>
  <si>
    <t>BUT</t>
  </si>
  <si>
    <t>FY</t>
  </si>
  <si>
    <t>FZ</t>
  </si>
  <si>
    <t>MX</t>
  </si>
  <si>
    <t>MY</t>
  </si>
  <si>
    <t>MZ</t>
  </si>
  <si>
    <t>KFX</t>
  </si>
  <si>
    <t>Right Wall</t>
  </si>
  <si>
    <t>SUPPORTS IN RHS</t>
  </si>
  <si>
    <t>Column1</t>
  </si>
  <si>
    <t>Load Case</t>
  </si>
  <si>
    <t>Vertical Load (Roof)</t>
  </si>
  <si>
    <t>Vertical Load (Base)</t>
  </si>
  <si>
    <t>Pavement (Self-weight)</t>
  </si>
  <si>
    <t>Eff. Vertical Soil Pressure, WL at GL &amp; +1.0m &amp; base</t>
  </si>
  <si>
    <t>Total Vertical Soil Pressure Roof, WT at 5.0m BGL</t>
  </si>
  <si>
    <t>Eff. Vertical Soil Pressure, WL at base</t>
  </si>
  <si>
    <t xml:space="preserve">Eff. Vertical Soil Pressure Roof, 1.5m excavation above Roof Slab </t>
  </si>
  <si>
    <t xml:space="preserve">Eff. Vertical Soil Pressure, WT at 1.5mBGL (L) and 4.5mBGL (R) </t>
  </si>
  <si>
    <t>18 West</t>
  </si>
  <si>
    <t>18 East</t>
  </si>
  <si>
    <t xml:space="preserve">Eff. Vertical Soil Pressure, WT at 1.5mBGL (R) and 4.5mBGL (L) </t>
  </si>
  <si>
    <t>21 West</t>
  </si>
  <si>
    <t>21 East</t>
  </si>
  <si>
    <t xml:space="preserve">31-Hydrostatic Vertical Roof, WT at GL </t>
  </si>
  <si>
    <t xml:space="preserve">Hydrostatic Uplift Base, WT at GL </t>
  </si>
  <si>
    <t xml:space="preserve">34-Hydrostatic Vertical Roof, WT at FL +1.0m </t>
  </si>
  <si>
    <t>38 LHS</t>
  </si>
  <si>
    <t>38 RHS</t>
  </si>
  <si>
    <t>41 LHS</t>
  </si>
  <si>
    <t>41 RHS</t>
  </si>
  <si>
    <t>Permanent Superimposed Dead Load (Self-weight)</t>
  </si>
  <si>
    <t>40 LHS</t>
  </si>
  <si>
    <t>40 RHS</t>
  </si>
  <si>
    <t>43 LHS</t>
  </si>
  <si>
    <t>43 RHS</t>
  </si>
  <si>
    <t>SECTION E1-E1 TRIAL 1</t>
  </si>
  <si>
    <t>NODE</t>
  </si>
  <si>
    <t xml:space="preserve">TABLE:  </t>
  </si>
  <si>
    <t>Frame</t>
  </si>
  <si>
    <t>LoadPat</t>
  </si>
  <si>
    <t>CoordSys</t>
  </si>
  <si>
    <t>Type</t>
  </si>
  <si>
    <t>Dir</t>
  </si>
  <si>
    <t>DistType</t>
  </si>
  <si>
    <t>RelDistA</t>
  </si>
  <si>
    <t>RelDistB</t>
  </si>
  <si>
    <t>AbsDistA</t>
  </si>
  <si>
    <t>AbsDistB</t>
  </si>
  <si>
    <t>FOverLA</t>
  </si>
  <si>
    <t>FOverLB</t>
  </si>
  <si>
    <t/>
  </si>
  <si>
    <t>KN/m</t>
  </si>
  <si>
    <t>46</t>
  </si>
  <si>
    <t>51</t>
  </si>
  <si>
    <t>GLOBAL</t>
  </si>
  <si>
    <t>Force</t>
  </si>
  <si>
    <t>RelDist</t>
  </si>
  <si>
    <t>48</t>
  </si>
  <si>
    <t>49</t>
  </si>
  <si>
    <t>52</t>
  </si>
  <si>
    <t>54</t>
  </si>
  <si>
    <t>55</t>
  </si>
  <si>
    <t>57</t>
  </si>
  <si>
    <t>58</t>
  </si>
  <si>
    <t>60</t>
  </si>
  <si>
    <t>61</t>
  </si>
  <si>
    <t>63</t>
  </si>
  <si>
    <t>64</t>
  </si>
  <si>
    <t>66</t>
  </si>
  <si>
    <t>67</t>
  </si>
  <si>
    <t>69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</si>
  <si>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</si>
  <si>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</si>
  <si>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</si>
  <si>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</si>
  <si>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</si>
  <si>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</si>
  <si>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</si>
  <si>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</si>
  <si>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</si>
  <si>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</si>
  <si>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</si>
  <si>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</si>
  <si>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</si>
  <si>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</si>
  <si>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</si>
  <si>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</si>
  <si>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</si>
  <si>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</si>
  <si>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</si>
  <si>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</si>
  <si>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</si>
  <si>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</si>
  <si>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</si>
  <si>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</si>
  <si>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</si>
  <si>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</si>
  <si>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</si>
  <si>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</si>
  <si>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</si>
  <si>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</si>
  <si>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</si>
  <si>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</si>
  <si>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</si>
  <si>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</si>
  <si>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</si>
  <si>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</si>
  <si>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</si>
  <si>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</si>
  <si>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</si>
  <si>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</si>
  <si>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</si>
  <si>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</si>
  <si>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</si>
  <si>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</si>
  <si>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2</t>
  </si>
  <si>
    <t>thickness_outer_wall</t>
  </si>
  <si>
    <t>thickness_inner_wall</t>
  </si>
  <si>
    <t>first_cell_internal_width</t>
  </si>
  <si>
    <t>second_cell_internal_width</t>
  </si>
  <si>
    <t>third_cell_internal_width</t>
  </si>
  <si>
    <t>roof_slab_thickness</t>
  </si>
  <si>
    <t>base_slab_thickness</t>
  </si>
  <si>
    <t>internal_height</t>
  </si>
  <si>
    <t>2000mm Pile</t>
  </si>
  <si>
    <t>Load Case 17.1</t>
  </si>
  <si>
    <t>Load Case 31.1</t>
  </si>
  <si>
    <t xml:space="preserve">17.1-Effective Earth Pressure on Roof ; 4.5m soil excavated from GL </t>
  </si>
  <si>
    <t xml:space="preserve">31.1-Hydrostatic Vertical Pressure (Roof) -  WT 4.5m BGL </t>
  </si>
  <si>
    <t>Hydrostatic Vertical Pressure 4.5m BGL</t>
  </si>
  <si>
    <t>Hydrostatic Vertical Pressure GL</t>
  </si>
  <si>
    <t>Int_pile_position</t>
  </si>
  <si>
    <t>None</t>
  </si>
  <si>
    <t>Put None if no internal pile</t>
  </si>
  <si>
    <t>Eu'</t>
  </si>
  <si>
    <t>North of ATB (CST) - Section Test</t>
  </si>
  <si>
    <t>Put 0 if none</t>
  </si>
  <si>
    <t>no_of_cells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</si>
</sst>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"/>
    <numFmt numFmtId="167" formatCode="dd/mm/yyyy;@"/>
    <numFmt numFmtId="168" formatCode="_(* #,##0_);_(* \(#,##0\);_(* &quot;-&quot;??_);_(@_)"/>
  </numFmts>
  <fonts count="6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6"/>
      <name val="Wingdings"/>
      <charset val="2"/>
    </font>
    <font>
      <i/>
      <sz val="8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i/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vertAlign val="subscript"/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color indexed="12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10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 Unicode MS"/>
      <family val="2"/>
    </font>
    <font>
      <sz val="36"/>
      <name val="Mott MacDonald Logo"/>
      <charset val="2"/>
    </font>
    <font>
      <sz val="9"/>
      <name val="Arial"/>
      <family val="2"/>
    </font>
    <font>
      <sz val="9"/>
      <name val="Mott MacDonald Logo"/>
      <charset val="2"/>
    </font>
    <font>
      <sz val="9"/>
      <color indexed="48"/>
      <name val="Arial"/>
      <family val="2"/>
    </font>
    <font>
      <b/>
      <sz val="9"/>
      <name val="LucidaSans"/>
      <family val="2"/>
    </font>
    <font>
      <b/>
      <sz val="9"/>
      <name val="Arial"/>
      <family val="2"/>
    </font>
    <font>
      <sz val="10"/>
      <name val="Waker"/>
      <family val="2"/>
    </font>
    <font>
      <sz val="10"/>
      <color rgb="FF0000FF"/>
      <name val="Arial"/>
      <family val="2"/>
    </font>
    <font>
      <sz val="9"/>
      <name val="Symbol"/>
      <family val="1"/>
      <charset val="2"/>
    </font>
    <font>
      <sz val="9"/>
      <name val="Times New Roman"/>
      <family val="1"/>
    </font>
    <font>
      <vertAlign val="subscript"/>
      <sz val="9"/>
      <name val="Times New Roman"/>
      <family val="1"/>
    </font>
    <font>
      <i/>
      <sz val="9"/>
      <name val="Symbol"/>
      <family val="1"/>
      <charset val="2"/>
    </font>
    <font>
      <sz val="8"/>
      <color rgb="FFFF0000"/>
      <name val="Arial"/>
      <family val="2"/>
    </font>
    <font>
      <sz val="8"/>
      <name val="Times New Roman"/>
      <family val="1"/>
    </font>
    <font>
      <sz val="8"/>
      <color rgb="FFFF0000"/>
      <name val="Times New Roman"/>
      <family val="1"/>
    </font>
    <font>
      <i/>
      <sz val="10"/>
      <color rgb="FF0000FF"/>
      <name val="Arial"/>
      <family val="2"/>
    </font>
    <font>
      <b/>
      <sz val="8"/>
      <name val="Tahoma"/>
      <family val="2"/>
    </font>
    <font>
      <sz val="9"/>
      <name val="Tahoma"/>
      <family val="2"/>
    </font>
    <font>
      <i/>
      <sz val="6"/>
      <name val="Arial"/>
      <family val="2"/>
    </font>
    <font>
      <b/>
      <i/>
      <sz val="8"/>
      <name val="Arial"/>
      <family val="2"/>
    </font>
    <font>
      <b/>
      <i/>
      <sz val="8"/>
      <color rgb="FFFF0000"/>
      <name val="Arial"/>
      <family val="2"/>
    </font>
    <font>
      <i/>
      <u/>
      <sz val="10"/>
      <name val="Arial"/>
      <family val="2"/>
    </font>
    <font>
      <u/>
      <vertAlign val="subscript"/>
      <sz val="10"/>
      <name val="Arial"/>
      <family val="2"/>
    </font>
    <font>
      <vertAlign val="subscript"/>
      <sz val="9"/>
      <name val="Calibri"/>
      <family val="2"/>
      <scheme val="minor"/>
    </font>
    <font>
      <i/>
      <sz val="9"/>
      <name val="Calibri"/>
      <family val="2"/>
      <scheme val="minor"/>
    </font>
    <font>
      <vertAlign val="subscript"/>
      <sz val="8"/>
      <name val="Times New Roman"/>
      <family val="1"/>
    </font>
    <font>
      <sz val="36"/>
      <name val="Arial"/>
      <family val="2"/>
    </font>
    <font>
      <b/>
      <sz val="10"/>
      <name val="Arial Narrow"/>
      <family val="2"/>
    </font>
    <font>
      <vertAlign val="superscript"/>
      <sz val="9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8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9"/>
        <bgColor indexed="64"/>
      </patternFill>
    </fill>
  </fills>
  <borders count="120">
    <border>
      <left/>
      <right/>
      <top/>
      <bottom/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dashed">
        <color indexed="44"/>
      </left>
      <right style="dashed">
        <color indexed="44"/>
      </right>
      <top/>
      <bottom style="dashed">
        <color indexed="4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thin">
        <color indexed="48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 style="dashed">
        <color indexed="44"/>
      </left>
      <right/>
      <top style="dashed">
        <color indexed="44"/>
      </top>
      <bottom style="dashed">
        <color indexed="4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44"/>
      </top>
      <bottom style="dashed">
        <color indexed="44"/>
      </bottom>
      <diagonal/>
    </border>
    <border>
      <left/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/>
      <diagonal/>
    </border>
    <border>
      <left/>
      <right/>
      <top style="medium">
        <color indexed="64"/>
      </top>
      <bottom style="thin">
        <color indexed="18"/>
      </bottom>
      <diagonal/>
    </border>
    <border>
      <left/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/>
      <top style="medium">
        <color indexed="64"/>
      </top>
      <bottom/>
      <diagonal/>
    </border>
    <border>
      <left/>
      <right style="thin">
        <color indexed="18"/>
      </right>
      <top style="medium">
        <color indexed="64"/>
      </top>
      <bottom/>
      <diagonal/>
    </border>
    <border>
      <left style="thin">
        <color indexed="18"/>
      </left>
      <right style="medium">
        <color indexed="64"/>
      </right>
      <top style="medium">
        <color indexed="64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8"/>
      </left>
      <right/>
      <top style="medium">
        <color indexed="64"/>
      </top>
      <bottom style="thin">
        <color indexed="1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18"/>
      </left>
      <right/>
      <top/>
      <bottom style="thin">
        <color indexed="64"/>
      </bottom>
      <diagonal/>
    </border>
    <border>
      <left/>
      <right style="thin">
        <color indexed="18"/>
      </right>
      <top/>
      <bottom style="thin">
        <color indexed="64"/>
      </bottom>
      <diagonal/>
    </border>
    <border>
      <left style="dashed">
        <color indexed="44"/>
      </left>
      <right style="dashed">
        <color indexed="44"/>
      </right>
      <top style="dashed">
        <color indexed="44"/>
      </top>
      <bottom style="thin">
        <color indexed="64"/>
      </bottom>
      <diagonal/>
    </border>
    <border>
      <left style="dashed">
        <color indexed="44"/>
      </left>
      <right/>
      <top style="dashed">
        <color indexed="44"/>
      </top>
      <bottom style="thin">
        <color indexed="64"/>
      </bottom>
      <diagonal/>
    </border>
    <border>
      <left style="dashed">
        <color indexed="44"/>
      </left>
      <right/>
      <top/>
      <bottom style="dashed">
        <color indexed="44"/>
      </bottom>
      <diagonal/>
    </border>
    <border>
      <left/>
      <right/>
      <top/>
      <bottom style="dashed">
        <color indexed="44"/>
      </bottom>
      <diagonal/>
    </border>
    <border>
      <left/>
      <right style="dashed">
        <color indexed="44"/>
      </right>
      <top/>
      <bottom style="dashed">
        <color indexed="44"/>
      </bottom>
      <diagonal/>
    </border>
    <border>
      <left style="dashed">
        <color indexed="44"/>
      </left>
      <right style="dashed">
        <color indexed="44"/>
      </right>
      <top/>
      <bottom/>
      <diagonal/>
    </border>
    <border>
      <left style="dashed">
        <color indexed="44"/>
      </left>
      <right/>
      <top/>
      <bottom/>
      <diagonal/>
    </border>
    <border>
      <left/>
      <right style="dashed">
        <color indexed="44"/>
      </right>
      <top/>
      <bottom/>
      <diagonal/>
    </border>
    <border>
      <left style="dashed">
        <color indexed="44"/>
      </left>
      <right style="dashed">
        <color indexed="44"/>
      </right>
      <top style="thin">
        <color indexed="64"/>
      </top>
      <bottom style="thin">
        <color indexed="64"/>
      </bottom>
      <diagonal/>
    </border>
    <border>
      <left style="dashed">
        <color indexed="44"/>
      </left>
      <right/>
      <top style="dashed">
        <color indexed="4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44"/>
      </right>
      <top style="medium">
        <color indexed="64"/>
      </top>
      <bottom/>
      <diagonal/>
    </border>
    <border>
      <left style="thin">
        <color indexed="4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44"/>
      </bottom>
      <diagonal/>
    </border>
    <border>
      <left/>
      <right style="medium">
        <color indexed="64"/>
      </right>
      <top/>
      <bottom style="thin">
        <color indexed="44"/>
      </bottom>
      <diagonal/>
    </border>
    <border>
      <left style="thin">
        <color indexed="44"/>
      </left>
      <right style="medium">
        <color indexed="64"/>
      </right>
      <top/>
      <bottom style="thin">
        <color indexed="44"/>
      </bottom>
      <diagonal/>
    </border>
    <border>
      <left style="medium">
        <color indexed="64"/>
      </left>
      <right style="dashed">
        <color indexed="44"/>
      </right>
      <top style="dashed">
        <color indexed="44"/>
      </top>
      <bottom style="dashed">
        <color indexed="44"/>
      </bottom>
      <diagonal/>
    </border>
    <border>
      <left style="dashed">
        <color indexed="44"/>
      </left>
      <right style="medium">
        <color indexed="64"/>
      </right>
      <top style="dashed">
        <color indexed="44"/>
      </top>
      <bottom style="dash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44"/>
      </top>
      <bottom style="dashed">
        <color indexed="4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 style="thin">
        <color indexed="64"/>
      </bottom>
      <diagonal/>
    </border>
    <border>
      <left/>
      <right/>
      <top style="thin">
        <color indexed="18"/>
      </top>
      <bottom style="thin">
        <color indexed="64"/>
      </bottom>
      <diagonal/>
    </border>
    <border>
      <left/>
      <right style="thin">
        <color indexed="18"/>
      </right>
      <top style="thin">
        <color indexed="18"/>
      </top>
      <bottom style="thin">
        <color indexed="64"/>
      </bottom>
      <diagonal/>
    </border>
    <border>
      <left style="thin">
        <color indexed="18"/>
      </left>
      <right style="medium">
        <color indexed="64"/>
      </right>
      <top style="thin">
        <color indexed="1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44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 style="medium">
        <color indexed="6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 style="thin">
        <color indexed="44"/>
      </left>
      <right style="medium">
        <color indexed="64"/>
      </right>
      <top style="thin">
        <color indexed="44"/>
      </top>
      <bottom/>
      <diagonal/>
    </border>
    <border>
      <left style="medium">
        <color indexed="64"/>
      </left>
      <right style="thin">
        <color indexed="44"/>
      </right>
      <top style="thin">
        <color indexed="44"/>
      </top>
      <bottom style="thin">
        <color indexed="48"/>
      </bottom>
      <diagonal/>
    </border>
    <border>
      <left style="thin">
        <color indexed="44"/>
      </left>
      <right/>
      <top style="thin">
        <color indexed="44"/>
      </top>
      <bottom style="thin">
        <color indexed="48"/>
      </bottom>
      <diagonal/>
    </border>
    <border>
      <left/>
      <right/>
      <top style="thin">
        <color indexed="44"/>
      </top>
      <bottom style="thin">
        <color indexed="48"/>
      </bottom>
      <diagonal/>
    </border>
    <border>
      <left/>
      <right style="thin">
        <color indexed="44"/>
      </right>
      <top style="thin">
        <color indexed="44"/>
      </top>
      <bottom style="thin">
        <color indexed="48"/>
      </bottom>
      <diagonal/>
    </border>
    <border>
      <left style="thin">
        <color indexed="44"/>
      </left>
      <right style="medium">
        <color indexed="64"/>
      </right>
      <top style="thin">
        <color indexed="44"/>
      </top>
      <bottom style="thin">
        <color indexed="48"/>
      </bottom>
      <diagonal/>
    </border>
    <border>
      <left style="medium">
        <color indexed="64"/>
      </left>
      <right/>
      <top style="thin">
        <color indexed="48"/>
      </top>
      <bottom/>
      <diagonal/>
    </border>
    <border>
      <left/>
      <right/>
      <top style="thin">
        <color indexed="48"/>
      </top>
      <bottom/>
      <diagonal/>
    </border>
    <border>
      <left/>
      <right style="medium">
        <color indexed="64"/>
      </right>
      <top style="thin">
        <color indexed="4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</cellStyleXfs>
  <cellXfs count="671">
    <xf numFmtId="0" fontId="0" fillId="0" borderId="0" xfId="0"/>
    <xf numFmtId="0" fontId="29" fillId="3" borderId="0" xfId="2" applyFont="1" applyFill="1"/>
    <xf numFmtId="0" fontId="27" fillId="10" borderId="0" xfId="2" applyFont="1" applyFill="1"/>
    <xf numFmtId="0" fontId="27" fillId="10" borderId="0" xfId="2" applyFont="1" applyFill="1" applyAlignment="1">
      <alignment horizontal="left"/>
    </xf>
    <xf numFmtId="0" fontId="27" fillId="10" borderId="21" xfId="2" applyFont="1" applyFill="1" applyBorder="1"/>
    <xf numFmtId="0" fontId="32" fillId="3" borderId="0" xfId="2" applyFont="1" applyFill="1"/>
    <xf numFmtId="0" fontId="32" fillId="3" borderId="0" xfId="2" applyFont="1" applyFill="1" applyAlignment="1">
      <alignment horizontal="right"/>
    </xf>
    <xf numFmtId="0" fontId="27" fillId="3" borderId="0" xfId="2" applyFont="1" applyFill="1"/>
    <xf numFmtId="0" fontId="29" fillId="3" borderId="0" xfId="2" applyFont="1" applyFill="1" applyAlignment="1">
      <alignment horizontal="left" indent="1"/>
    </xf>
    <xf numFmtId="0" fontId="29" fillId="3" borderId="0" xfId="2" applyFont="1" applyFill="1" applyAlignment="1" applyProtection="1">
      <alignment horizontal="center"/>
      <protection locked="0"/>
    </xf>
    <xf numFmtId="14" fontId="29" fillId="3" borderId="0" xfId="2" applyNumberFormat="1" applyFont="1" applyFill="1" applyAlignment="1">
      <alignment horizontal="center"/>
    </xf>
    <xf numFmtId="0" fontId="3" fillId="0" borderId="0" xfId="2"/>
    <xf numFmtId="0" fontId="29" fillId="0" borderId="0" xfId="2" applyFont="1"/>
    <xf numFmtId="0" fontId="5" fillId="0" borderId="0" xfId="2" applyFont="1"/>
    <xf numFmtId="0" fontId="29" fillId="0" borderId="0" xfId="2" applyFont="1" applyAlignment="1">
      <alignment vertical="center"/>
    </xf>
    <xf numFmtId="0" fontId="3" fillId="3" borderId="0" xfId="2" applyFill="1"/>
    <xf numFmtId="0" fontId="33" fillId="0" borderId="0" xfId="2" applyFont="1"/>
    <xf numFmtId="0" fontId="9" fillId="0" borderId="0" xfId="2" applyFont="1" applyAlignment="1">
      <alignment vertical="center"/>
    </xf>
    <xf numFmtId="168" fontId="3" fillId="0" borderId="0" xfId="4" applyNumberFormat="1" applyFont="1" applyFill="1" applyBorder="1" applyAlignment="1">
      <alignment vertical="center"/>
    </xf>
    <xf numFmtId="2" fontId="3" fillId="0" borderId="0" xfId="3" applyNumberFormat="1"/>
    <xf numFmtId="2" fontId="3" fillId="0" borderId="0" xfId="4" applyNumberFormat="1" applyFont="1" applyFill="1" applyBorder="1" applyAlignment="1">
      <alignment vertical="center"/>
    </xf>
    <xf numFmtId="168" fontId="9" fillId="0" borderId="0" xfId="4" applyNumberFormat="1" applyFont="1" applyFill="1" applyBorder="1" applyAlignment="1">
      <alignment vertical="center"/>
    </xf>
    <xf numFmtId="168" fontId="3" fillId="0" borderId="0" xfId="4" applyNumberFormat="1" applyFont="1" applyFill="1" applyBorder="1" applyAlignment="1">
      <alignment horizontal="center" vertical="center"/>
    </xf>
    <xf numFmtId="0" fontId="10" fillId="0" borderId="0" xfId="2" applyFont="1"/>
    <xf numFmtId="0" fontId="8" fillId="0" borderId="0" xfId="2" applyFont="1"/>
    <xf numFmtId="0" fontId="3" fillId="2" borderId="0" xfId="2" applyFill="1"/>
    <xf numFmtId="2" fontId="18" fillId="2" borderId="0" xfId="2" applyNumberFormat="1" applyFont="1" applyFill="1"/>
    <xf numFmtId="165" fontId="3" fillId="2" borderId="0" xfId="2" applyNumberFormat="1" applyFill="1" applyAlignment="1">
      <alignment horizontal="right"/>
    </xf>
    <xf numFmtId="0" fontId="17" fillId="0" borderId="0" xfId="2" applyFont="1"/>
    <xf numFmtId="0" fontId="34" fillId="0" borderId="0" xfId="2" applyFont="1"/>
    <xf numFmtId="2" fontId="18" fillId="2" borderId="0" xfId="2" applyNumberFormat="1" applyFont="1" applyFill="1" applyAlignment="1">
      <alignment vertical="center"/>
    </xf>
    <xf numFmtId="0" fontId="3" fillId="0" borderId="31" xfId="2" applyBorder="1" applyAlignment="1">
      <alignment horizontal="center" wrapText="1" shrinkToFit="1"/>
    </xf>
    <xf numFmtId="0" fontId="3" fillId="0" borderId="31" xfId="2" applyBorder="1" applyAlignment="1">
      <alignment horizontal="center"/>
    </xf>
    <xf numFmtId="0" fontId="4" fillId="0" borderId="0" xfId="2" applyFont="1" applyAlignment="1">
      <alignment wrapText="1"/>
    </xf>
    <xf numFmtId="0" fontId="4" fillId="0" borderId="0" xfId="2" applyFont="1"/>
    <xf numFmtId="2" fontId="3" fillId="2" borderId="0" xfId="2" applyNumberFormat="1" applyFill="1"/>
    <xf numFmtId="0" fontId="18" fillId="2" borderId="0" xfId="2" applyFont="1" applyFill="1"/>
    <xf numFmtId="165" fontId="3" fillId="2" borderId="0" xfId="2" applyNumberFormat="1" applyFill="1"/>
    <xf numFmtId="165" fontId="4" fillId="2" borderId="0" xfId="2" applyNumberFormat="1" applyFont="1" applyFill="1"/>
    <xf numFmtId="2" fontId="3" fillId="0" borderId="0" xfId="2" applyNumberFormat="1"/>
    <xf numFmtId="0" fontId="5" fillId="3" borderId="0" xfId="2" applyFont="1" applyFill="1"/>
    <xf numFmtId="0" fontId="29" fillId="0" borderId="31" xfId="2" applyFont="1" applyBorder="1" applyAlignment="1">
      <alignment horizontal="left"/>
    </xf>
    <xf numFmtId="165" fontId="29" fillId="0" borderId="31" xfId="2" applyNumberFormat="1" applyFont="1" applyBorder="1" applyAlignment="1">
      <alignment horizontal="left"/>
    </xf>
    <xf numFmtId="1" fontId="29" fillId="0" borderId="31" xfId="2" applyNumberFormat="1" applyFont="1" applyBorder="1" applyAlignment="1">
      <alignment horizontal="left"/>
    </xf>
    <xf numFmtId="0" fontId="3" fillId="0" borderId="31" xfId="2" applyBorder="1"/>
    <xf numFmtId="1" fontId="3" fillId="0" borderId="31" xfId="2" applyNumberFormat="1" applyBorder="1"/>
    <xf numFmtId="165" fontId="29" fillId="0" borderId="0" xfId="2" applyNumberFormat="1" applyFont="1"/>
    <xf numFmtId="165" fontId="18" fillId="0" borderId="0" xfId="2" applyNumberFormat="1" applyFont="1" applyProtection="1">
      <protection locked="0"/>
    </xf>
    <xf numFmtId="0" fontId="29" fillId="3" borderId="0" xfId="2" applyFont="1" applyFill="1" applyAlignment="1">
      <alignment vertical="center"/>
    </xf>
    <xf numFmtId="0" fontId="29" fillId="0" borderId="0" xfId="2" applyFont="1" applyAlignment="1">
      <alignment horizontal="left"/>
    </xf>
    <xf numFmtId="165" fontId="29" fillId="0" borderId="0" xfId="2" applyNumberFormat="1" applyFont="1" applyAlignment="1">
      <alignment horizontal="left"/>
    </xf>
    <xf numFmtId="1" fontId="29" fillId="0" borderId="0" xfId="2" applyNumberFormat="1" applyFont="1" applyAlignment="1">
      <alignment horizontal="left"/>
    </xf>
    <xf numFmtId="1" fontId="3" fillId="0" borderId="0" xfId="2" applyNumberFormat="1"/>
    <xf numFmtId="0" fontId="30" fillId="3" borderId="0" xfId="2" applyFont="1" applyFill="1" applyAlignment="1">
      <alignment horizontal="center" vertical="center"/>
    </xf>
    <xf numFmtId="0" fontId="3" fillId="3" borderId="8" xfId="2" applyFill="1" applyBorder="1"/>
    <xf numFmtId="0" fontId="3" fillId="3" borderId="9" xfId="2" applyFill="1" applyBorder="1"/>
    <xf numFmtId="0" fontId="29" fillId="3" borderId="0" xfId="2" applyFont="1" applyFill="1" applyAlignment="1">
      <alignment horizontal="right"/>
    </xf>
    <xf numFmtId="0" fontId="29" fillId="3" borderId="11" xfId="2" applyFont="1" applyFill="1" applyBorder="1" applyAlignment="1">
      <alignment horizontal="right"/>
    </xf>
    <xf numFmtId="0" fontId="29" fillId="3" borderId="10" xfId="2" applyFont="1" applyFill="1" applyBorder="1"/>
    <xf numFmtId="0" fontId="3" fillId="0" borderId="10" xfId="2" applyBorder="1"/>
    <xf numFmtId="0" fontId="3" fillId="0" borderId="11" xfId="2" applyBorder="1"/>
    <xf numFmtId="0" fontId="3" fillId="0" borderId="12" xfId="2" applyBorder="1"/>
    <xf numFmtId="0" fontId="3" fillId="0" borderId="13" xfId="2" applyBorder="1"/>
    <xf numFmtId="0" fontId="3" fillId="0" borderId="14" xfId="2" applyBorder="1"/>
    <xf numFmtId="164" fontId="16" fillId="3" borderId="0" xfId="1" applyFont="1" applyFill="1" applyBorder="1" applyAlignment="1"/>
    <xf numFmtId="165" fontId="18" fillId="2" borderId="0" xfId="2" applyNumberFormat="1" applyFont="1" applyFill="1" applyAlignment="1">
      <alignment horizontal="center"/>
    </xf>
    <xf numFmtId="0" fontId="29" fillId="3" borderId="0" xfId="2" applyFont="1" applyFill="1" applyAlignment="1">
      <alignment horizontal="center"/>
    </xf>
    <xf numFmtId="0" fontId="18" fillId="2" borderId="0" xfId="2" applyFont="1" applyFill="1" applyAlignment="1" applyProtection="1">
      <alignment horizontal="center"/>
      <protection locked="0"/>
    </xf>
    <xf numFmtId="2" fontId="3" fillId="0" borderId="0" xfId="2" applyNumberFormat="1" applyAlignment="1">
      <alignment horizontal="left"/>
    </xf>
    <xf numFmtId="0" fontId="3" fillId="0" borderId="0" xfId="2" applyAlignment="1">
      <alignment horizontal="left"/>
    </xf>
    <xf numFmtId="2" fontId="18" fillId="2" borderId="0" xfId="2" applyNumberFormat="1" applyFont="1" applyFill="1" applyAlignment="1" applyProtection="1">
      <alignment horizontal="center"/>
      <protection locked="0"/>
    </xf>
    <xf numFmtId="165" fontId="18" fillId="2" borderId="0" xfId="2" applyNumberFormat="1" applyFont="1" applyFill="1" applyAlignment="1" applyProtection="1">
      <alignment horizontal="left"/>
      <protection locked="0"/>
    </xf>
    <xf numFmtId="0" fontId="18" fillId="2" borderId="0" xfId="2" applyFont="1" applyFill="1" applyAlignment="1" applyProtection="1">
      <alignment horizontal="right"/>
      <protection locked="0"/>
    </xf>
    <xf numFmtId="2" fontId="18" fillId="2" borderId="0" xfId="2" applyNumberFormat="1" applyFont="1" applyFill="1" applyAlignment="1" applyProtection="1">
      <alignment horizontal="left"/>
      <protection locked="0"/>
    </xf>
    <xf numFmtId="0" fontId="32" fillId="3" borderId="0" xfId="2" applyFont="1" applyFill="1" applyAlignment="1">
      <alignment horizontal="center"/>
    </xf>
    <xf numFmtId="0" fontId="29" fillId="3" borderId="0" xfId="2" applyFont="1" applyFill="1" applyAlignment="1">
      <alignment horizontal="center" vertical="center"/>
    </xf>
    <xf numFmtId="0" fontId="37" fillId="0" borderId="0" xfId="2" applyFont="1" applyAlignment="1">
      <alignment horizontal="left" vertical="center"/>
    </xf>
    <xf numFmtId="0" fontId="37" fillId="0" borderId="0" xfId="2" applyFont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42" fillId="5" borderId="0" xfId="2" applyFont="1" applyFill="1" applyAlignment="1">
      <alignment horizontal="center" vertical="center"/>
    </xf>
    <xf numFmtId="0" fontId="10" fillId="8" borderId="26" xfId="2" applyFont="1" applyFill="1" applyBorder="1"/>
    <xf numFmtId="0" fontId="23" fillId="8" borderId="26" xfId="3" applyFont="1" applyFill="1" applyBorder="1" applyAlignment="1">
      <alignment horizontal="center"/>
    </xf>
    <xf numFmtId="0" fontId="3" fillId="8" borderId="66" xfId="2" applyFill="1" applyBorder="1" applyAlignment="1">
      <alignment vertical="center"/>
    </xf>
    <xf numFmtId="0" fontId="3" fillId="8" borderId="65" xfId="2" applyFill="1" applyBorder="1" applyAlignment="1">
      <alignment vertical="center"/>
    </xf>
    <xf numFmtId="0" fontId="3" fillId="8" borderId="34" xfId="2" applyFill="1" applyBorder="1" applyAlignment="1">
      <alignment vertical="center"/>
    </xf>
    <xf numFmtId="0" fontId="3" fillId="8" borderId="35" xfId="2" applyFill="1" applyBorder="1" applyAlignment="1">
      <alignment vertical="center"/>
    </xf>
    <xf numFmtId="0" fontId="29" fillId="3" borderId="7" xfId="2" applyFont="1" applyFill="1" applyBorder="1"/>
    <xf numFmtId="0" fontId="29" fillId="3" borderId="8" xfId="2" applyFont="1" applyFill="1" applyBorder="1"/>
    <xf numFmtId="0" fontId="29" fillId="3" borderId="9" xfId="2" applyFont="1" applyFill="1" applyBorder="1"/>
    <xf numFmtId="0" fontId="0" fillId="3" borderId="7" xfId="2" applyFont="1" applyFill="1" applyBorder="1"/>
    <xf numFmtId="2" fontId="3" fillId="3" borderId="0" xfId="2" applyNumberFormat="1" applyFill="1"/>
    <xf numFmtId="2" fontId="3" fillId="0" borderId="13" xfId="2" applyNumberFormat="1" applyBorder="1"/>
    <xf numFmtId="0" fontId="29" fillId="3" borderId="70" xfId="2" applyFont="1" applyFill="1" applyBorder="1"/>
    <xf numFmtId="0" fontId="29" fillId="3" borderId="71" xfId="2" applyFont="1" applyFill="1" applyBorder="1"/>
    <xf numFmtId="0" fontId="29" fillId="3" borderId="72" xfId="2" applyFont="1" applyFill="1" applyBorder="1"/>
    <xf numFmtId="0" fontId="29" fillId="3" borderId="8" xfId="2" applyFont="1" applyFill="1" applyBorder="1" applyAlignment="1">
      <alignment horizontal="right"/>
    </xf>
    <xf numFmtId="0" fontId="29" fillId="3" borderId="9" xfId="2" applyFont="1" applyFill="1" applyBorder="1" applyAlignment="1">
      <alignment horizontal="right"/>
    </xf>
    <xf numFmtId="0" fontId="2" fillId="0" borderId="0" xfId="5"/>
    <xf numFmtId="0" fontId="27" fillId="10" borderId="7" xfId="2" applyFont="1" applyFill="1" applyBorder="1" applyAlignment="1">
      <alignment vertical="justify"/>
    </xf>
    <xf numFmtId="0" fontId="27" fillId="10" borderId="8" xfId="2" applyFont="1" applyFill="1" applyBorder="1"/>
    <xf numFmtId="0" fontId="27" fillId="10" borderId="73" xfId="2" applyFont="1" applyFill="1" applyBorder="1"/>
    <xf numFmtId="0" fontId="27" fillId="10" borderId="77" xfId="2" applyFont="1" applyFill="1" applyBorder="1" applyAlignment="1" applyProtection="1">
      <alignment horizontal="center"/>
      <protection locked="0"/>
    </xf>
    <xf numFmtId="0" fontId="29" fillId="0" borderId="10" xfId="2" applyFont="1" applyBorder="1"/>
    <xf numFmtId="0" fontId="29" fillId="0" borderId="11" xfId="2" applyFont="1" applyBorder="1"/>
    <xf numFmtId="166" fontId="3" fillId="0" borderId="10" xfId="2" applyNumberFormat="1" applyBorder="1" applyAlignment="1">
      <alignment horizontal="right"/>
    </xf>
    <xf numFmtId="0" fontId="57" fillId="0" borderId="0" xfId="2" applyFont="1"/>
    <xf numFmtId="2" fontId="3" fillId="0" borderId="10" xfId="2" applyNumberFormat="1" applyBorder="1" applyAlignment="1">
      <alignment horizontal="right"/>
    </xf>
    <xf numFmtId="0" fontId="3" fillId="0" borderId="7" xfId="2" applyBorder="1"/>
    <xf numFmtId="0" fontId="3" fillId="0" borderId="8" xfId="2" applyBorder="1"/>
    <xf numFmtId="0" fontId="3" fillId="0" borderId="9" xfId="2" applyBorder="1"/>
    <xf numFmtId="0" fontId="3" fillId="0" borderId="10" xfId="2" applyBorder="1" applyAlignment="1">
      <alignment vertical="center" wrapText="1"/>
    </xf>
    <xf numFmtId="0" fontId="29" fillId="0" borderId="13" xfId="2" applyFont="1" applyBorder="1" applyAlignment="1">
      <alignment vertical="center"/>
    </xf>
    <xf numFmtId="0" fontId="5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9" fillId="12" borderId="85" xfId="0" applyFont="1" applyFill="1" applyBorder="1" applyAlignment="1">
      <alignment horizontal="center" wrapText="1"/>
    </xf>
    <xf numFmtId="0" fontId="59" fillId="12" borderId="86" xfId="0" applyFont="1" applyFill="1" applyBorder="1" applyAlignment="1">
      <alignment horizontal="center" wrapText="1"/>
    </xf>
    <xf numFmtId="0" fontId="59" fillId="12" borderId="0" xfId="0" applyFont="1" applyFill="1" applyAlignment="1">
      <alignment horizontal="center" wrapText="1"/>
    </xf>
    <xf numFmtId="0" fontId="0" fillId="13" borderId="85" xfId="0" applyFill="1" applyBorder="1" applyAlignment="1">
      <alignment horizontal="center" vertical="top" wrapText="1"/>
    </xf>
    <xf numFmtId="0" fontId="0" fillId="13" borderId="86" xfId="0" applyFill="1" applyBorder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4" borderId="85" xfId="0" applyFill="1" applyBorder="1" applyAlignment="1">
      <alignment horizontal="center" vertical="top" wrapText="1"/>
    </xf>
    <xf numFmtId="0" fontId="0" fillId="14" borderId="86" xfId="0" applyFill="1" applyBorder="1" applyAlignment="1">
      <alignment horizontal="center" wrapText="1"/>
    </xf>
    <xf numFmtId="0" fontId="0" fillId="14" borderId="0" xfId="0" applyFill="1" applyAlignment="1">
      <alignment horizontal="center" wrapText="1"/>
    </xf>
    <xf numFmtId="0" fontId="17" fillId="14" borderId="1" xfId="0" applyFont="1" applyFill="1" applyBorder="1" applyAlignment="1">
      <alignment horizontal="center" wrapText="1"/>
    </xf>
    <xf numFmtId="0" fontId="17" fillId="15" borderId="85" xfId="0" applyFont="1" applyFill="1" applyBorder="1" applyAlignment="1">
      <alignment horizontal="center" wrapText="1"/>
    </xf>
    <xf numFmtId="0" fontId="0" fillId="15" borderId="86" xfId="0" applyFill="1" applyBorder="1" applyAlignment="1">
      <alignment horizontal="center" wrapText="1"/>
    </xf>
    <xf numFmtId="0" fontId="0" fillId="15" borderId="0" xfId="0" applyFill="1" applyAlignment="1">
      <alignment horizontal="center" wrapText="1"/>
    </xf>
    <xf numFmtId="0" fontId="17" fillId="15" borderId="1" xfId="0" applyFont="1" applyFill="1" applyBorder="1" applyAlignment="1">
      <alignment horizontal="center" wrapText="1"/>
    </xf>
    <xf numFmtId="0" fontId="0" fillId="16" borderId="85" xfId="0" applyFill="1" applyBorder="1" applyAlignment="1">
      <alignment horizontal="center" vertical="top" wrapText="1"/>
    </xf>
    <xf numFmtId="0" fontId="0" fillId="16" borderId="86" xfId="0" applyFill="1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17" fillId="16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86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7" fillId="0" borderId="0" xfId="0" applyFont="1" applyAlignment="1">
      <alignment horizontal="center" wrapText="1"/>
    </xf>
    <xf numFmtId="0" fontId="27" fillId="10" borderId="98" xfId="2" applyFont="1" applyFill="1" applyBorder="1"/>
    <xf numFmtId="0" fontId="27" fillId="10" borderId="99" xfId="2" applyFont="1" applyFill="1" applyBorder="1" applyAlignment="1">
      <alignment horizontal="left"/>
    </xf>
    <xf numFmtId="0" fontId="27" fillId="10" borderId="100" xfId="2" applyFont="1" applyFill="1" applyBorder="1"/>
    <xf numFmtId="0" fontId="27" fillId="10" borderId="100" xfId="2" applyFont="1" applyFill="1" applyBorder="1" applyProtection="1">
      <protection locked="0"/>
    </xf>
    <xf numFmtId="0" fontId="27" fillId="10" borderId="99" xfId="2" applyFont="1" applyFill="1" applyBorder="1"/>
    <xf numFmtId="0" fontId="29" fillId="10" borderId="100" xfId="2" applyFont="1" applyFill="1" applyBorder="1"/>
    <xf numFmtId="0" fontId="27" fillId="10" borderId="103" xfId="2" applyFont="1" applyFill="1" applyBorder="1" applyAlignment="1">
      <alignment horizontal="left"/>
    </xf>
    <xf numFmtId="0" fontId="27" fillId="10" borderId="104" xfId="2" applyFont="1" applyFill="1" applyBorder="1"/>
    <xf numFmtId="14" fontId="27" fillId="10" borderId="100" xfId="2" applyNumberFormat="1" applyFont="1" applyFill="1" applyBorder="1" applyAlignment="1">
      <alignment horizontal="center"/>
    </xf>
    <xf numFmtId="0" fontId="27" fillId="10" borderId="105" xfId="2" applyFont="1" applyFill="1" applyBorder="1" applyAlignment="1">
      <alignment horizontal="center"/>
    </xf>
    <xf numFmtId="14" fontId="27" fillId="10" borderId="101" xfId="2" applyNumberFormat="1" applyFont="1" applyFill="1" applyBorder="1" applyProtection="1">
      <protection locked="0"/>
    </xf>
    <xf numFmtId="0" fontId="27" fillId="10" borderId="106" xfId="2" applyFont="1" applyFill="1" applyBorder="1" applyAlignment="1">
      <alignment horizontal="left"/>
    </xf>
    <xf numFmtId="0" fontId="27" fillId="10" borderId="107" xfId="2" applyFont="1" applyFill="1" applyBorder="1"/>
    <xf numFmtId="0" fontId="27" fillId="10" borderId="108" xfId="2" applyFont="1" applyFill="1" applyBorder="1"/>
    <xf numFmtId="0" fontId="27" fillId="10" borderId="110" xfId="2" applyFont="1" applyFill="1" applyBorder="1"/>
    <xf numFmtId="0" fontId="29" fillId="0" borderId="111" xfId="2" applyFont="1" applyBorder="1"/>
    <xf numFmtId="0" fontId="29" fillId="0" borderId="112" xfId="2" applyFont="1" applyBorder="1" applyAlignment="1">
      <alignment vertical="center"/>
    </xf>
    <xf numFmtId="0" fontId="29" fillId="0" borderId="113" xfId="2" applyFont="1" applyBorder="1"/>
    <xf numFmtId="0" fontId="3" fillId="8" borderId="94" xfId="2" applyFill="1" applyBorder="1" applyAlignment="1">
      <alignment vertical="center"/>
    </xf>
    <xf numFmtId="0" fontId="3" fillId="8" borderId="95" xfId="2" applyFill="1" applyBorder="1" applyAlignment="1">
      <alignment vertical="center"/>
    </xf>
    <xf numFmtId="0" fontId="3" fillId="17" borderId="80" xfId="2" applyFill="1" applyBorder="1"/>
    <xf numFmtId="0" fontId="3" fillId="3" borderId="80" xfId="2" applyFill="1" applyBorder="1"/>
    <xf numFmtId="0" fontId="3" fillId="17" borderId="81" xfId="2" applyFill="1" applyBorder="1"/>
    <xf numFmtId="0" fontId="3" fillId="3" borderId="81" xfId="2" applyFill="1" applyBorder="1"/>
    <xf numFmtId="16" fontId="45" fillId="2" borderId="31" xfId="2" quotePrefix="1" applyNumberFormat="1" applyFont="1" applyFill="1" applyBorder="1" applyAlignment="1">
      <alignment horizontal="center"/>
    </xf>
    <xf numFmtId="0" fontId="3" fillId="0" borderId="1" xfId="2" applyBorder="1"/>
    <xf numFmtId="2" fontId="3" fillId="0" borderId="1" xfId="2" applyNumberFormat="1" applyBorder="1"/>
    <xf numFmtId="0" fontId="6" fillId="0" borderId="1" xfId="2" applyFont="1" applyBorder="1"/>
    <xf numFmtId="2" fontId="15" fillId="0" borderId="1" xfId="2" applyNumberFormat="1" applyFont="1" applyBorder="1"/>
    <xf numFmtId="0" fontId="7" fillId="0" borderId="1" xfId="2" applyFont="1" applyBorder="1"/>
    <xf numFmtId="0" fontId="3" fillId="0" borderId="37" xfId="2" applyBorder="1"/>
    <xf numFmtId="2" fontId="3" fillId="0" borderId="37" xfId="2" applyNumberFormat="1" applyBorder="1"/>
    <xf numFmtId="0" fontId="3" fillId="0" borderId="6" xfId="2" applyBorder="1"/>
    <xf numFmtId="0" fontId="3" fillId="0" borderId="16" xfId="2" applyBorder="1"/>
    <xf numFmtId="2" fontId="37" fillId="0" borderId="87" xfId="2" applyNumberFormat="1" applyFont="1" applyBorder="1" applyAlignment="1">
      <alignment horizontal="left" vertical="center"/>
    </xf>
    <xf numFmtId="2" fontId="37" fillId="0" borderId="88" xfId="2" applyNumberFormat="1" applyFont="1" applyBorder="1" applyAlignment="1">
      <alignment horizontal="center" vertical="center"/>
    </xf>
    <xf numFmtId="0" fontId="3" fillId="3" borderId="31" xfId="2" applyFill="1" applyBorder="1" applyAlignment="1">
      <alignment horizontal="center"/>
    </xf>
    <xf numFmtId="0" fontId="3" fillId="3" borderId="31" xfId="2" applyFill="1" applyBorder="1"/>
    <xf numFmtId="0" fontId="23" fillId="3" borderId="0" xfId="2" applyFont="1" applyFill="1"/>
    <xf numFmtId="0" fontId="3" fillId="8" borderId="0" xfId="2" applyFill="1"/>
    <xf numFmtId="165" fontId="3" fillId="8" borderId="0" xfId="2" applyNumberFormat="1" applyFill="1"/>
    <xf numFmtId="0" fontId="3" fillId="0" borderId="2" xfId="2" applyBorder="1"/>
    <xf numFmtId="2" fontId="3" fillId="0" borderId="2" xfId="2" applyNumberFormat="1" applyBorder="1"/>
    <xf numFmtId="0" fontId="19" fillId="3" borderId="0" xfId="2" applyFont="1" applyFill="1"/>
    <xf numFmtId="0" fontId="35" fillId="3" borderId="0" xfId="2" applyFont="1" applyFill="1"/>
    <xf numFmtId="0" fontId="35" fillId="3" borderId="81" xfId="2" applyFont="1" applyFill="1" applyBorder="1"/>
    <xf numFmtId="0" fontId="45" fillId="2" borderId="31" xfId="2" quotePrefix="1" applyFont="1" applyFill="1" applyBorder="1" applyAlignment="1">
      <alignment horizontal="center"/>
    </xf>
    <xf numFmtId="0" fontId="3" fillId="8" borderId="0" xfId="2" applyFill="1" applyAlignment="1">
      <alignment horizontal="center"/>
    </xf>
    <xf numFmtId="0" fontId="40" fillId="6" borderId="0" xfId="2" applyFont="1" applyFill="1"/>
    <xf numFmtId="2" fontId="4" fillId="3" borderId="0" xfId="2" applyNumberFormat="1" applyFont="1" applyFill="1"/>
    <xf numFmtId="165" fontId="4" fillId="3" borderId="0" xfId="2" applyNumberFormat="1" applyFont="1" applyFill="1" applyAlignment="1">
      <alignment horizontal="right"/>
    </xf>
    <xf numFmtId="2" fontId="4" fillId="3" borderId="0" xfId="2" applyNumberFormat="1" applyFont="1" applyFill="1" applyAlignment="1">
      <alignment horizontal="right"/>
    </xf>
    <xf numFmtId="165" fontId="14" fillId="17" borderId="81" xfId="2" applyNumberFormat="1" applyFont="1" applyFill="1" applyBorder="1"/>
    <xf numFmtId="0" fontId="5" fillId="0" borderId="55" xfId="2" applyFont="1" applyBorder="1"/>
    <xf numFmtId="0" fontId="3" fillId="0" borderId="55" xfId="2" applyBorder="1"/>
    <xf numFmtId="2" fontId="3" fillId="0" borderId="55" xfId="2" applyNumberFormat="1" applyBorder="1"/>
    <xf numFmtId="0" fontId="4" fillId="3" borderId="0" xfId="2" applyFont="1" applyFill="1"/>
    <xf numFmtId="165" fontId="4" fillId="3" borderId="0" xfId="2" applyNumberFormat="1" applyFont="1" applyFill="1"/>
    <xf numFmtId="165" fontId="14" fillId="3" borderId="81" xfId="2" applyNumberFormat="1" applyFont="1" applyFill="1" applyBorder="1"/>
    <xf numFmtId="165" fontId="14" fillId="3" borderId="0" xfId="2" applyNumberFormat="1" applyFont="1" applyFill="1"/>
    <xf numFmtId="165" fontId="4" fillId="8" borderId="0" xfId="2" applyNumberFormat="1" applyFont="1" applyFill="1"/>
    <xf numFmtId="165" fontId="3" fillId="3" borderId="0" xfId="2" applyNumberFormat="1" applyFill="1"/>
    <xf numFmtId="2" fontId="4" fillId="6" borderId="0" xfId="2" applyNumberFormat="1" applyFont="1" applyFill="1"/>
    <xf numFmtId="0" fontId="4" fillId="6" borderId="0" xfId="2" applyFont="1" applyFill="1"/>
    <xf numFmtId="0" fontId="20" fillId="3" borderId="0" xfId="2" applyFont="1" applyFill="1"/>
    <xf numFmtId="165" fontId="14" fillId="4" borderId="81" xfId="2" applyNumberFormat="1" applyFont="1" applyFill="1" applyBorder="1"/>
    <xf numFmtId="165" fontId="14" fillId="4" borderId="0" xfId="2" applyNumberFormat="1" applyFont="1" applyFill="1"/>
    <xf numFmtId="0" fontId="4" fillId="3" borderId="4" xfId="2" applyFont="1" applyFill="1" applyBorder="1"/>
    <xf numFmtId="165" fontId="4" fillId="3" borderId="4" xfId="2" applyNumberFormat="1" applyFont="1" applyFill="1" applyBorder="1"/>
    <xf numFmtId="0" fontId="20" fillId="3" borderId="94" xfId="2" applyFont="1" applyFill="1" applyBorder="1"/>
    <xf numFmtId="2" fontId="4" fillId="3" borderId="94" xfId="2" applyNumberFormat="1" applyFont="1" applyFill="1" applyBorder="1"/>
    <xf numFmtId="2" fontId="4" fillId="3" borderId="94" xfId="2" applyNumberFormat="1" applyFont="1" applyFill="1" applyBorder="1" applyAlignment="1">
      <alignment horizontal="right"/>
    </xf>
    <xf numFmtId="165" fontId="4" fillId="7" borderId="4" xfId="2" applyNumberFormat="1" applyFont="1" applyFill="1" applyBorder="1"/>
    <xf numFmtId="165" fontId="4" fillId="3" borderId="94" xfId="2" applyNumberFormat="1" applyFont="1" applyFill="1" applyBorder="1"/>
    <xf numFmtId="165" fontId="14" fillId="4" borderId="83" xfId="2" applyNumberFormat="1" applyFont="1" applyFill="1" applyBorder="1"/>
    <xf numFmtId="2" fontId="14" fillId="4" borderId="94" xfId="2" applyNumberFormat="1" applyFont="1" applyFill="1" applyBorder="1"/>
    <xf numFmtId="165" fontId="4" fillId="7" borderId="0" xfId="2" applyNumberFormat="1" applyFont="1" applyFill="1"/>
    <xf numFmtId="0" fontId="19" fillId="0" borderId="1" xfId="2" applyFont="1" applyBorder="1"/>
    <xf numFmtId="0" fontId="17" fillId="0" borderId="1" xfId="2" applyFont="1" applyBorder="1"/>
    <xf numFmtId="2" fontId="17" fillId="0" borderId="1" xfId="2" applyNumberFormat="1" applyFont="1" applyBorder="1"/>
    <xf numFmtId="0" fontId="4" fillId="3" borderId="96" xfId="2" applyFont="1" applyFill="1" applyBorder="1"/>
    <xf numFmtId="2" fontId="4" fillId="3" borderId="96" xfId="2" applyNumberFormat="1" applyFont="1" applyFill="1" applyBorder="1" applyAlignment="1">
      <alignment horizontal="right"/>
    </xf>
    <xf numFmtId="165" fontId="4" fillId="7" borderId="96" xfId="2" applyNumberFormat="1" applyFont="1" applyFill="1" applyBorder="1"/>
    <xf numFmtId="165" fontId="4" fillId="3" borderId="96" xfId="2" applyNumberFormat="1" applyFont="1" applyFill="1" applyBorder="1"/>
    <xf numFmtId="165" fontId="14" fillId="4" borderId="97" xfId="2" applyNumberFormat="1" applyFont="1" applyFill="1" applyBorder="1"/>
    <xf numFmtId="165" fontId="14" fillId="4" borderId="96" xfId="2" applyNumberFormat="1" applyFont="1" applyFill="1" applyBorder="1"/>
    <xf numFmtId="1" fontId="3" fillId="3" borderId="0" xfId="2" applyNumberFormat="1" applyFill="1"/>
    <xf numFmtId="0" fontId="20" fillId="3" borderId="4" xfId="2" applyFont="1" applyFill="1" applyBorder="1"/>
    <xf numFmtId="2" fontId="4" fillId="3" borderId="4" xfId="2" applyNumberFormat="1" applyFont="1" applyFill="1" applyBorder="1"/>
    <xf numFmtId="2" fontId="4" fillId="3" borderId="4" xfId="2" applyNumberFormat="1" applyFont="1" applyFill="1" applyBorder="1" applyAlignment="1">
      <alignment horizontal="right"/>
    </xf>
    <xf numFmtId="165" fontId="14" fillId="3" borderId="82" xfId="2" applyNumberFormat="1" applyFont="1" applyFill="1" applyBorder="1"/>
    <xf numFmtId="165" fontId="14" fillId="3" borderId="4" xfId="2" applyNumberFormat="1" applyFont="1" applyFill="1" applyBorder="1"/>
    <xf numFmtId="0" fontId="16" fillId="3" borderId="0" xfId="2" applyFont="1" applyFill="1"/>
    <xf numFmtId="2" fontId="16" fillId="3" borderId="0" xfId="2" applyNumberFormat="1" applyFont="1" applyFill="1"/>
    <xf numFmtId="165" fontId="4" fillId="4" borderId="0" xfId="2" applyNumberFormat="1" applyFont="1" applyFill="1"/>
    <xf numFmtId="165" fontId="4" fillId="4" borderId="81" xfId="2" applyNumberFormat="1" applyFont="1" applyFill="1" applyBorder="1"/>
    <xf numFmtId="0" fontId="5" fillId="0" borderId="1" xfId="2" applyFont="1" applyBorder="1"/>
    <xf numFmtId="0" fontId="21" fillId="3" borderId="0" xfId="2" applyFont="1" applyFill="1"/>
    <xf numFmtId="2" fontId="21" fillId="3" borderId="0" xfId="2" applyNumberFormat="1" applyFont="1" applyFill="1"/>
    <xf numFmtId="0" fontId="21" fillId="17" borderId="81" xfId="2" applyFont="1" applyFill="1" applyBorder="1"/>
    <xf numFmtId="0" fontId="21" fillId="3" borderId="81" xfId="2" applyFont="1" applyFill="1" applyBorder="1"/>
    <xf numFmtId="0" fontId="17" fillId="3" borderId="0" xfId="2" applyFont="1" applyFill="1"/>
    <xf numFmtId="2" fontId="24" fillId="0" borderId="1" xfId="2" applyNumberFormat="1" applyFont="1" applyBorder="1"/>
    <xf numFmtId="0" fontId="3" fillId="0" borderId="1" xfId="2" applyBorder="1" applyAlignment="1">
      <alignment horizontal="left"/>
    </xf>
    <xf numFmtId="165" fontId="18" fillId="0" borderId="6" xfId="2" applyNumberFormat="1" applyFont="1" applyBorder="1"/>
    <xf numFmtId="165" fontId="18" fillId="0" borderId="16" xfId="2" applyNumberFormat="1" applyFont="1" applyBorder="1"/>
    <xf numFmtId="165" fontId="18" fillId="0" borderId="15" xfId="2" applyNumberFormat="1" applyFont="1" applyBorder="1"/>
    <xf numFmtId="2" fontId="4" fillId="3" borderId="96" xfId="2" applyNumberFormat="1" applyFont="1" applyFill="1" applyBorder="1"/>
    <xf numFmtId="165" fontId="4" fillId="3" borderId="96" xfId="2" applyNumberFormat="1" applyFont="1" applyFill="1" applyBorder="1" applyAlignment="1">
      <alignment horizontal="right"/>
    </xf>
    <xf numFmtId="0" fontId="3" fillId="3" borderId="96" xfId="2" applyFill="1" applyBorder="1"/>
    <xf numFmtId="165" fontId="14" fillId="17" borderId="97" xfId="2" applyNumberFormat="1" applyFont="1" applyFill="1" applyBorder="1"/>
    <xf numFmtId="0" fontId="3" fillId="3" borderId="97" xfId="2" applyFill="1" applyBorder="1"/>
    <xf numFmtId="0" fontId="4" fillId="3" borderId="94" xfId="2" applyFont="1" applyFill="1" applyBorder="1"/>
    <xf numFmtId="165" fontId="14" fillId="4" borderId="94" xfId="2" applyNumberFormat="1" applyFont="1" applyFill="1" applyBorder="1"/>
    <xf numFmtId="0" fontId="3" fillId="0" borderId="1" xfId="2" applyBorder="1" applyAlignment="1">
      <alignment horizontal="right"/>
    </xf>
    <xf numFmtId="165" fontId="14" fillId="4" borderId="82" xfId="2" applyNumberFormat="1" applyFont="1" applyFill="1" applyBorder="1"/>
    <xf numFmtId="165" fontId="14" fillId="4" borderId="4" xfId="2" applyNumberFormat="1" applyFont="1" applyFill="1" applyBorder="1"/>
    <xf numFmtId="0" fontId="3" fillId="3" borderId="0" xfId="2" applyFill="1" applyAlignment="1">
      <alignment horizontal="center"/>
    </xf>
    <xf numFmtId="2" fontId="16" fillId="8" borderId="0" xfId="2" applyNumberFormat="1" applyFont="1" applyFill="1"/>
    <xf numFmtId="0" fontId="3" fillId="0" borderId="3" xfId="2" applyBorder="1"/>
    <xf numFmtId="2" fontId="3" fillId="0" borderId="3" xfId="2" applyNumberFormat="1" applyBorder="1"/>
    <xf numFmtId="0" fontId="4" fillId="3" borderId="0" xfId="2" applyFont="1" applyFill="1" applyAlignment="1">
      <alignment horizontal="left"/>
    </xf>
    <xf numFmtId="0" fontId="4" fillId="3" borderId="0" xfId="2" applyFont="1" applyFill="1" applyAlignment="1">
      <alignment horizontal="right" wrapText="1"/>
    </xf>
    <xf numFmtId="0" fontId="15" fillId="3" borderId="0" xfId="2" applyFont="1" applyFill="1" applyAlignment="1">
      <alignment horizontal="center" wrapText="1"/>
    </xf>
    <xf numFmtId="0" fontId="14" fillId="3" borderId="0" xfId="2" applyFont="1" applyFill="1" applyAlignment="1">
      <alignment horizontal="center" wrapText="1"/>
    </xf>
    <xf numFmtId="2" fontId="14" fillId="3" borderId="0" xfId="2" applyNumberFormat="1" applyFont="1" applyFill="1" applyAlignment="1">
      <alignment horizontal="center" wrapText="1"/>
    </xf>
    <xf numFmtId="0" fontId="15" fillId="17" borderId="81" xfId="2" applyFont="1" applyFill="1" applyBorder="1" applyAlignment="1">
      <alignment horizontal="center" wrapText="1"/>
    </xf>
    <xf numFmtId="0" fontId="15" fillId="3" borderId="81" xfId="2" applyFont="1" applyFill="1" applyBorder="1" applyAlignment="1">
      <alignment horizontal="center" wrapText="1"/>
    </xf>
    <xf numFmtId="0" fontId="14" fillId="3" borderId="81" xfId="2" applyFont="1" applyFill="1" applyBorder="1" applyAlignment="1">
      <alignment horizontal="center" wrapText="1"/>
    </xf>
    <xf numFmtId="0" fontId="14" fillId="3" borderId="0" xfId="2" applyFont="1" applyFill="1" applyAlignment="1">
      <alignment wrapText="1"/>
    </xf>
    <xf numFmtId="0" fontId="14" fillId="3" borderId="81" xfId="2" applyFont="1" applyFill="1" applyBorder="1" applyAlignment="1">
      <alignment wrapText="1"/>
    </xf>
    <xf numFmtId="0" fontId="4" fillId="3" borderId="0" xfId="2" applyFont="1" applyFill="1" applyAlignment="1">
      <alignment horizontal="right"/>
    </xf>
    <xf numFmtId="0" fontId="14" fillId="17" borderId="81" xfId="2" applyFont="1" applyFill="1" applyBorder="1" applyAlignment="1">
      <alignment horizontal="center" wrapText="1"/>
    </xf>
    <xf numFmtId="0" fontId="49" fillId="0" borderId="1" xfId="2" applyFont="1" applyBorder="1"/>
    <xf numFmtId="0" fontId="3" fillId="0" borderId="1" xfId="2" applyBorder="1" applyAlignment="1">
      <alignment vertical="center"/>
    </xf>
    <xf numFmtId="165" fontId="16" fillId="3" borderId="0" xfId="2" applyNumberFormat="1" applyFont="1" applyFill="1"/>
    <xf numFmtId="165" fontId="16" fillId="3" borderId="0" xfId="2" applyNumberFormat="1" applyFont="1" applyFill="1" applyAlignment="1">
      <alignment horizontal="right"/>
    </xf>
    <xf numFmtId="0" fontId="4" fillId="17" borderId="81" xfId="2" applyFont="1" applyFill="1" applyBorder="1"/>
    <xf numFmtId="165" fontId="4" fillId="3" borderId="81" xfId="2" applyNumberFormat="1" applyFont="1" applyFill="1" applyBorder="1"/>
    <xf numFmtId="165" fontId="4" fillId="3" borderId="0" xfId="2" applyNumberFormat="1" applyFont="1" applyFill="1" applyAlignment="1">
      <alignment horizontal="center"/>
    </xf>
    <xf numFmtId="165" fontId="4" fillId="17" borderId="81" xfId="2" applyNumberFormat="1" applyFont="1" applyFill="1" applyBorder="1"/>
    <xf numFmtId="2" fontId="14" fillId="3" borderId="0" xfId="2" applyNumberFormat="1" applyFont="1" applyFill="1"/>
    <xf numFmtId="0" fontId="15" fillId="3" borderId="0" xfId="2" applyFont="1" applyFill="1" applyAlignment="1">
      <alignment wrapText="1"/>
    </xf>
    <xf numFmtId="0" fontId="15" fillId="3" borderId="4" xfId="2" applyFont="1" applyFill="1" applyBorder="1" applyAlignment="1">
      <alignment wrapText="1"/>
    </xf>
    <xf numFmtId="165" fontId="16" fillId="3" borderId="5" xfId="2" applyNumberFormat="1" applyFont="1" applyFill="1" applyBorder="1"/>
    <xf numFmtId="165" fontId="4" fillId="3" borderId="5" xfId="2" applyNumberFormat="1" applyFont="1" applyFill="1" applyBorder="1"/>
    <xf numFmtId="165" fontId="40" fillId="6" borderId="0" xfId="2" applyNumberFormat="1" applyFont="1" applyFill="1"/>
    <xf numFmtId="165" fontId="40" fillId="6" borderId="81" xfId="2" applyNumberFormat="1" applyFont="1" applyFill="1" applyBorder="1"/>
    <xf numFmtId="165" fontId="4" fillId="0" borderId="0" xfId="2" applyNumberFormat="1" applyFont="1"/>
    <xf numFmtId="0" fontId="20" fillId="0" borderId="0" xfId="2" applyFont="1"/>
    <xf numFmtId="2" fontId="4" fillId="0" borderId="0" xfId="2" applyNumberFormat="1" applyFont="1"/>
    <xf numFmtId="165" fontId="14" fillId="0" borderId="0" xfId="2" applyNumberFormat="1" applyFont="1"/>
    <xf numFmtId="165" fontId="4" fillId="0" borderId="81" xfId="2" applyNumberFormat="1" applyFont="1" applyBorder="1"/>
    <xf numFmtId="165" fontId="14" fillId="0" borderId="81" xfId="2" applyNumberFormat="1" applyFont="1" applyBorder="1"/>
    <xf numFmtId="2" fontId="14" fillId="4" borderId="0" xfId="2" applyNumberFormat="1" applyFont="1" applyFill="1"/>
    <xf numFmtId="0" fontId="3" fillId="0" borderId="60" xfId="2" applyBorder="1"/>
    <xf numFmtId="2" fontId="3" fillId="0" borderId="60" xfId="2" applyNumberFormat="1" applyBorder="1"/>
    <xf numFmtId="0" fontId="3" fillId="0" borderId="61" xfId="2" applyBorder="1"/>
    <xf numFmtId="0" fontId="3" fillId="0" borderId="62" xfId="2" applyBorder="1"/>
    <xf numFmtId="165" fontId="14" fillId="8" borderId="0" xfId="2" applyNumberFormat="1" applyFont="1" applyFill="1"/>
    <xf numFmtId="2" fontId="16" fillId="3" borderId="4" xfId="2" applyNumberFormat="1" applyFont="1" applyFill="1" applyBorder="1"/>
    <xf numFmtId="0" fontId="3" fillId="3" borderId="4" xfId="2" applyFill="1" applyBorder="1"/>
    <xf numFmtId="2" fontId="14" fillId="3" borderId="4" xfId="2" applyNumberFormat="1" applyFont="1" applyFill="1" applyBorder="1"/>
    <xf numFmtId="2" fontId="14" fillId="4" borderId="4" xfId="2" applyNumberFormat="1" applyFont="1" applyFill="1" applyBorder="1"/>
    <xf numFmtId="165" fontId="4" fillId="17" borderId="82" xfId="2" applyNumberFormat="1" applyFont="1" applyFill="1" applyBorder="1"/>
    <xf numFmtId="165" fontId="4" fillId="3" borderId="82" xfId="2" applyNumberFormat="1" applyFont="1" applyFill="1" applyBorder="1"/>
    <xf numFmtId="165" fontId="4" fillId="0" borderId="4" xfId="2" applyNumberFormat="1" applyFont="1" applyBorder="1"/>
    <xf numFmtId="165" fontId="4" fillId="0" borderId="82" xfId="2" applyNumberFormat="1" applyFont="1" applyBorder="1"/>
    <xf numFmtId="0" fontId="10" fillId="3" borderId="0" xfId="2" applyFont="1" applyFill="1"/>
    <xf numFmtId="2" fontId="10" fillId="3" borderId="0" xfId="2" applyNumberFormat="1" applyFont="1" applyFill="1"/>
    <xf numFmtId="165" fontId="46" fillId="3" borderId="0" xfId="2" applyNumberFormat="1" applyFont="1" applyFill="1"/>
    <xf numFmtId="165" fontId="7" fillId="3" borderId="0" xfId="2" applyNumberFormat="1" applyFont="1" applyFill="1"/>
    <xf numFmtId="165" fontId="7" fillId="17" borderId="81" xfId="2" applyNumberFormat="1" applyFont="1" applyFill="1" applyBorder="1"/>
    <xf numFmtId="165" fontId="7" fillId="3" borderId="81" xfId="2" applyNumberFormat="1" applyFont="1" applyFill="1" applyBorder="1"/>
    <xf numFmtId="165" fontId="47" fillId="4" borderId="0" xfId="2" applyNumberFormat="1" applyFont="1" applyFill="1"/>
    <xf numFmtId="165" fontId="47" fillId="4" borderId="81" xfId="2" applyNumberFormat="1" applyFont="1" applyFill="1" applyBorder="1"/>
    <xf numFmtId="165" fontId="48" fillId="6" borderId="0" xfId="2" applyNumberFormat="1" applyFont="1" applyFill="1"/>
    <xf numFmtId="165" fontId="48" fillId="6" borderId="81" xfId="2" applyNumberFormat="1" applyFont="1" applyFill="1" applyBorder="1"/>
    <xf numFmtId="2" fontId="14" fillId="9" borderId="0" xfId="2" applyNumberFormat="1" applyFont="1" applyFill="1"/>
    <xf numFmtId="165" fontId="14" fillId="9" borderId="0" xfId="2" applyNumberFormat="1" applyFont="1" applyFill="1"/>
    <xf numFmtId="0" fontId="3" fillId="0" borderId="64" xfId="2" applyBorder="1"/>
    <xf numFmtId="0" fontId="3" fillId="3" borderId="0" xfId="2" applyFill="1" applyAlignment="1">
      <alignment horizontal="left"/>
    </xf>
    <xf numFmtId="0" fontId="3" fillId="0" borderId="56" xfId="2" applyBorder="1"/>
    <xf numFmtId="0" fontId="3" fillId="0" borderId="63" xfId="2" applyBorder="1"/>
    <xf numFmtId="2" fontId="3" fillId="0" borderId="63" xfId="2" applyNumberFormat="1" applyBorder="1"/>
    <xf numFmtId="0" fontId="16" fillId="3" borderId="4" xfId="2" applyFont="1" applyFill="1" applyBorder="1"/>
    <xf numFmtId="0" fontId="3" fillId="0" borderId="84" xfId="2" applyBorder="1"/>
    <xf numFmtId="0" fontId="3" fillId="17" borderId="84" xfId="2" applyFill="1" applyBorder="1"/>
    <xf numFmtId="165" fontId="3" fillId="0" borderId="84" xfId="2" applyNumberFormat="1" applyBorder="1" applyAlignment="1">
      <alignment horizontal="center"/>
    </xf>
    <xf numFmtId="165" fontId="3" fillId="0" borderId="15" xfId="2" applyNumberFormat="1" applyBorder="1" applyAlignment="1">
      <alignment horizontal="center"/>
    </xf>
    <xf numFmtId="0" fontId="3" fillId="0" borderId="84" xfId="2" applyBorder="1" applyAlignment="1">
      <alignment horizontal="right"/>
    </xf>
    <xf numFmtId="0" fontId="3" fillId="0" borderId="16" xfId="2" applyBorder="1" applyAlignment="1">
      <alignment horizontal="right"/>
    </xf>
    <xf numFmtId="0" fontId="10" fillId="0" borderId="1" xfId="2" applyFont="1" applyBorder="1"/>
    <xf numFmtId="2" fontId="3" fillId="0" borderId="1" xfId="2" applyNumberFormat="1" applyBorder="1" applyAlignment="1">
      <alignment horizontal="right"/>
    </xf>
    <xf numFmtId="0" fontId="4" fillId="0" borderId="1" xfId="2" applyFont="1" applyBorder="1"/>
    <xf numFmtId="2" fontId="16" fillId="3" borderId="0" xfId="2" applyNumberFormat="1" applyFont="1" applyFill="1" applyAlignment="1">
      <alignment horizontal="center"/>
    </xf>
    <xf numFmtId="2" fontId="4" fillId="3" borderId="0" xfId="2" applyNumberFormat="1" applyFont="1" applyFill="1" applyAlignment="1">
      <alignment horizontal="center"/>
    </xf>
    <xf numFmtId="0" fontId="3" fillId="0" borderId="15" xfId="2" applyBorder="1"/>
    <xf numFmtId="165" fontId="22" fillId="3" borderId="0" xfId="2" applyNumberFormat="1" applyFont="1" applyFill="1"/>
    <xf numFmtId="0" fontId="10" fillId="0" borderId="16" xfId="2" applyFont="1" applyBorder="1"/>
    <xf numFmtId="0" fontId="16" fillId="3" borderId="0" xfId="2" applyFont="1" applyFill="1" applyAlignment="1">
      <alignment horizontal="center"/>
    </xf>
    <xf numFmtId="0" fontId="10" fillId="0" borderId="59" xfId="2" applyFont="1" applyBorder="1"/>
    <xf numFmtId="0" fontId="3" fillId="0" borderId="6" xfId="2" applyBorder="1" applyAlignment="1">
      <alignment horizontal="right"/>
    </xf>
    <xf numFmtId="0" fontId="10" fillId="0" borderId="6" xfId="2" applyFont="1" applyBorder="1" applyAlignment="1">
      <alignment horizontal="right"/>
    </xf>
    <xf numFmtId="0" fontId="10" fillId="0" borderId="57" xfId="2" applyFont="1" applyBorder="1" applyAlignment="1">
      <alignment horizontal="right"/>
    </xf>
    <xf numFmtId="165" fontId="4" fillId="0" borderId="0" xfId="2" applyNumberFormat="1" applyFont="1" applyAlignment="1">
      <alignment horizontal="right"/>
    </xf>
    <xf numFmtId="0" fontId="43" fillId="0" borderId="1" xfId="2" applyFont="1" applyBorder="1"/>
    <xf numFmtId="165" fontId="4" fillId="3" borderId="4" xfId="2" applyNumberFormat="1" applyFont="1" applyFill="1" applyBorder="1" applyAlignment="1">
      <alignment horizontal="right"/>
    </xf>
    <xf numFmtId="0" fontId="3" fillId="0" borderId="84" xfId="2" applyBorder="1" applyAlignment="1">
      <alignment vertical="center"/>
    </xf>
    <xf numFmtId="165" fontId="4" fillId="17" borderId="81" xfId="2" applyNumberFormat="1" applyFont="1" applyFill="1" applyBorder="1" applyAlignment="1">
      <alignment horizontal="right"/>
    </xf>
    <xf numFmtId="166" fontId="16" fillId="3" borderId="0" xfId="2" applyNumberFormat="1" applyFont="1" applyFill="1"/>
    <xf numFmtId="2" fontId="4" fillId="17" borderId="81" xfId="2" applyNumberFormat="1" applyFont="1" applyFill="1" applyBorder="1" applyAlignment="1">
      <alignment horizontal="right"/>
    </xf>
    <xf numFmtId="2" fontId="4" fillId="4" borderId="0" xfId="2" applyNumberFormat="1" applyFont="1" applyFill="1"/>
    <xf numFmtId="2" fontId="16" fillId="3" borderId="4" xfId="2" applyNumberFormat="1" applyFont="1" applyFill="1" applyBorder="1" applyAlignment="1">
      <alignment horizontal="center"/>
    </xf>
    <xf numFmtId="2" fontId="3" fillId="3" borderId="0" xfId="2" applyNumberFormat="1" applyFill="1" applyAlignment="1">
      <alignment horizontal="center"/>
    </xf>
    <xf numFmtId="0" fontId="20" fillId="3" borderId="0" xfId="2" applyFont="1" applyFill="1" applyAlignment="1">
      <alignment horizontal="right"/>
    </xf>
    <xf numFmtId="0" fontId="16" fillId="3" borderId="0" xfId="2" applyFont="1" applyFill="1" applyAlignment="1">
      <alignment horizontal="right"/>
    </xf>
    <xf numFmtId="2" fontId="4" fillId="17" borderId="82" xfId="2" applyNumberFormat="1" applyFont="1" applyFill="1" applyBorder="1" applyAlignment="1">
      <alignment horizontal="right"/>
    </xf>
    <xf numFmtId="165" fontId="16" fillId="3" borderId="4" xfId="2" applyNumberFormat="1" applyFont="1" applyFill="1" applyBorder="1"/>
    <xf numFmtId="0" fontId="3" fillId="3" borderId="82" xfId="2" applyFill="1" applyBorder="1"/>
    <xf numFmtId="0" fontId="3" fillId="0" borderId="78" xfId="2" applyBorder="1"/>
    <xf numFmtId="0" fontId="3" fillId="0" borderId="79" xfId="2" applyBorder="1"/>
    <xf numFmtId="0" fontId="5" fillId="9" borderId="0" xfId="2" applyFont="1" applyFill="1"/>
    <xf numFmtId="2" fontId="60" fillId="9" borderId="0" xfId="2" applyNumberFormat="1" applyFont="1" applyFill="1"/>
    <xf numFmtId="165" fontId="5" fillId="9" borderId="0" xfId="2" applyNumberFormat="1" applyFont="1" applyFill="1"/>
    <xf numFmtId="2" fontId="5" fillId="9" borderId="0" xfId="2" applyNumberFormat="1" applyFont="1" applyFill="1"/>
    <xf numFmtId="0" fontId="5" fillId="9" borderId="81" xfId="2" applyFont="1" applyFill="1" applyBorder="1"/>
    <xf numFmtId="49" fontId="61" fillId="18" borderId="0" xfId="6" applyNumberFormat="1" applyFont="1" applyFill="1"/>
    <xf numFmtId="49" fontId="1" fillId="18" borderId="0" xfId="6" applyNumberFormat="1" applyFill="1"/>
    <xf numFmtId="0" fontId="1" fillId="18" borderId="0" xfId="6" applyFill="1"/>
    <xf numFmtId="0" fontId="1" fillId="0" borderId="0" xfId="6"/>
    <xf numFmtId="49" fontId="61" fillId="5" borderId="118" xfId="6" applyNumberFormat="1" applyFont="1" applyFill="1" applyBorder="1" applyAlignment="1">
      <alignment horizontal="center"/>
    </xf>
    <xf numFmtId="0" fontId="61" fillId="5" borderId="118" xfId="6" applyFont="1" applyFill="1" applyBorder="1" applyAlignment="1">
      <alignment horizontal="center"/>
    </xf>
    <xf numFmtId="49" fontId="1" fillId="5" borderId="119" xfId="6" applyNumberFormat="1" applyFill="1" applyBorder="1" applyAlignment="1">
      <alignment horizontal="center"/>
    </xf>
    <xf numFmtId="0" fontId="1" fillId="5" borderId="119" xfId="6" applyFill="1" applyBorder="1" applyAlignment="1">
      <alignment horizontal="center"/>
    </xf>
    <xf numFmtId="49" fontId="1" fillId="0" borderId="0" xfId="6" applyNumberFormat="1"/>
    <xf numFmtId="0" fontId="3" fillId="8" borderId="31" xfId="2" applyFill="1" applyBorder="1"/>
    <xf numFmtId="165" fontId="4" fillId="3" borderId="0" xfId="2" applyNumberFormat="1" applyFont="1" applyFill="1" applyBorder="1"/>
    <xf numFmtId="0" fontId="4" fillId="3" borderId="0" xfId="2" applyFont="1" applyFill="1" applyAlignment="1">
      <alignment wrapText="1"/>
    </xf>
    <xf numFmtId="2" fontId="4" fillId="3" borderId="0" xfId="2" applyNumberFormat="1" applyFont="1" applyFill="1" applyAlignment="1">
      <alignment horizontal="right"/>
    </xf>
    <xf numFmtId="2" fontId="4" fillId="3" borderId="4" xfId="2" applyNumberFormat="1" applyFont="1" applyFill="1" applyBorder="1" applyAlignment="1">
      <alignment horizontal="right"/>
    </xf>
    <xf numFmtId="0" fontId="3" fillId="0" borderId="31" xfId="2" applyFill="1" applyBorder="1"/>
    <xf numFmtId="0" fontId="4" fillId="3" borderId="0" xfId="2" applyFont="1" applyFill="1" applyAlignment="1">
      <alignment horizontal="left" vertical="top" wrapText="1"/>
    </xf>
    <xf numFmtId="0" fontId="45" fillId="2" borderId="115" xfId="2" applyFont="1" applyFill="1" applyBorder="1" applyAlignment="1">
      <alignment horizontal="center"/>
    </xf>
    <xf numFmtId="0" fontId="45" fillId="2" borderId="96" xfId="2" applyFont="1" applyFill="1" applyBorder="1" applyAlignment="1">
      <alignment horizontal="center"/>
    </xf>
    <xf numFmtId="0" fontId="45" fillId="2" borderId="116" xfId="2" applyFont="1" applyFill="1" applyBorder="1" applyAlignment="1">
      <alignment horizontal="center"/>
    </xf>
    <xf numFmtId="0" fontId="45" fillId="2" borderId="51" xfId="2" applyFont="1" applyFill="1" applyBorder="1" applyAlignment="1">
      <alignment horizontal="center"/>
    </xf>
    <xf numFmtId="0" fontId="45" fillId="2" borderId="0" xfId="2" applyFont="1" applyFill="1" applyAlignment="1">
      <alignment horizontal="center"/>
    </xf>
    <xf numFmtId="0" fontId="45" fillId="2" borderId="52" xfId="2" applyFont="1" applyFill="1" applyBorder="1" applyAlignment="1">
      <alignment horizontal="center"/>
    </xf>
    <xf numFmtId="0" fontId="45" fillId="2" borderId="32" xfId="2" applyFont="1" applyFill="1" applyBorder="1" applyAlignment="1">
      <alignment horizontal="center"/>
    </xf>
    <xf numFmtId="0" fontId="45" fillId="2" borderId="4" xfId="2" applyFont="1" applyFill="1" applyBorder="1" applyAlignment="1">
      <alignment horizontal="center"/>
    </xf>
    <xf numFmtId="0" fontId="45" fillId="2" borderId="30" xfId="2" applyFont="1" applyFill="1" applyBorder="1" applyAlignment="1">
      <alignment horizontal="center"/>
    </xf>
    <xf numFmtId="0" fontId="14" fillId="0" borderId="31" xfId="2" applyFont="1" applyBorder="1" applyAlignment="1">
      <alignment horizontal="center"/>
    </xf>
    <xf numFmtId="0" fontId="33" fillId="0" borderId="93" xfId="2" applyFont="1" applyBorder="1" applyAlignment="1">
      <alignment horizontal="center"/>
    </xf>
    <xf numFmtId="0" fontId="33" fillId="0" borderId="94" xfId="2" applyFont="1" applyBorder="1" applyAlignment="1">
      <alignment horizontal="center"/>
    </xf>
    <xf numFmtId="0" fontId="33" fillId="0" borderId="95" xfId="2" applyFont="1" applyBorder="1" applyAlignment="1">
      <alignment horizontal="center"/>
    </xf>
    <xf numFmtId="0" fontId="44" fillId="2" borderId="115" xfId="2" applyFont="1" applyFill="1" applyBorder="1" applyAlignment="1">
      <alignment horizontal="center" vertical="center"/>
    </xf>
    <xf numFmtId="0" fontId="44" fillId="2" borderId="96" xfId="2" applyFont="1" applyFill="1" applyBorder="1" applyAlignment="1">
      <alignment horizontal="center" vertical="center"/>
    </xf>
    <xf numFmtId="0" fontId="44" fillId="2" borderId="116" xfId="2" applyFont="1" applyFill="1" applyBorder="1" applyAlignment="1">
      <alignment horizontal="center" vertical="center"/>
    </xf>
    <xf numFmtId="0" fontId="44" fillId="2" borderId="51" xfId="2" applyFont="1" applyFill="1" applyBorder="1" applyAlignment="1">
      <alignment horizontal="center" vertical="center"/>
    </xf>
    <xf numFmtId="0" fontId="44" fillId="2" borderId="0" xfId="2" applyFont="1" applyFill="1" applyAlignment="1">
      <alignment horizontal="center" vertical="center"/>
    </xf>
    <xf numFmtId="0" fontId="44" fillId="2" borderId="52" xfId="2" applyFont="1" applyFill="1" applyBorder="1" applyAlignment="1">
      <alignment horizontal="center" vertical="center"/>
    </xf>
    <xf numFmtId="0" fontId="44" fillId="2" borderId="32" xfId="2" applyFont="1" applyFill="1" applyBorder="1" applyAlignment="1">
      <alignment horizontal="center" vertical="center"/>
    </xf>
    <xf numFmtId="0" fontId="44" fillId="2" borderId="4" xfId="2" applyFont="1" applyFill="1" applyBorder="1" applyAlignment="1">
      <alignment horizontal="center" vertical="center"/>
    </xf>
    <xf numFmtId="0" fontId="44" fillId="2" borderId="30" xfId="2" applyFont="1" applyFill="1" applyBorder="1" applyAlignment="1">
      <alignment horizontal="center" vertical="center"/>
    </xf>
    <xf numFmtId="0" fontId="45" fillId="8" borderId="115" xfId="2" applyFont="1" applyFill="1" applyBorder="1" applyAlignment="1">
      <alignment horizontal="center" wrapText="1"/>
    </xf>
    <xf numFmtId="0" fontId="45" fillId="8" borderId="96" xfId="2" applyFont="1" applyFill="1" applyBorder="1" applyAlignment="1">
      <alignment horizontal="center" wrapText="1"/>
    </xf>
    <xf numFmtId="0" fontId="45" fillId="8" borderId="116" xfId="2" applyFont="1" applyFill="1" applyBorder="1" applyAlignment="1">
      <alignment horizontal="center" wrapText="1"/>
    </xf>
    <xf numFmtId="0" fontId="45" fillId="2" borderId="51" xfId="2" applyFont="1" applyFill="1" applyBorder="1" applyAlignment="1">
      <alignment horizontal="center" vertical="center" wrapText="1"/>
    </xf>
    <xf numFmtId="0" fontId="45" fillId="2" borderId="0" xfId="2" applyFont="1" applyFill="1" applyAlignment="1">
      <alignment horizontal="center" vertical="center" wrapText="1"/>
    </xf>
    <xf numFmtId="0" fontId="45" fillId="2" borderId="52" xfId="2" applyFont="1" applyFill="1" applyBorder="1" applyAlignment="1">
      <alignment horizontal="center" vertical="center" wrapText="1"/>
    </xf>
    <xf numFmtId="0" fontId="45" fillId="2" borderId="32" xfId="2" applyFont="1" applyFill="1" applyBorder="1" applyAlignment="1">
      <alignment horizontal="center" vertical="center" wrapText="1"/>
    </xf>
    <xf numFmtId="0" fontId="45" fillId="2" borderId="4" xfId="2" applyFont="1" applyFill="1" applyBorder="1" applyAlignment="1">
      <alignment horizontal="center" vertical="center" wrapText="1"/>
    </xf>
    <xf numFmtId="0" fontId="45" fillId="2" borderId="30" xfId="2" applyFont="1" applyFill="1" applyBorder="1" applyAlignment="1">
      <alignment horizontal="center" vertical="center" wrapText="1"/>
    </xf>
    <xf numFmtId="14" fontId="33" fillId="0" borderId="93" xfId="2" applyNumberFormat="1" applyFont="1" applyBorder="1" applyAlignment="1">
      <alignment horizontal="center"/>
    </xf>
    <xf numFmtId="0" fontId="45" fillId="2" borderId="115" xfId="2" applyFont="1" applyFill="1" applyBorder="1" applyAlignment="1">
      <alignment horizontal="center" vertical="center"/>
    </xf>
    <xf numFmtId="0" fontId="45" fillId="2" borderId="96" xfId="2" applyFont="1" applyFill="1" applyBorder="1" applyAlignment="1">
      <alignment horizontal="center" vertical="center"/>
    </xf>
    <xf numFmtId="0" fontId="45" fillId="2" borderId="116" xfId="2" applyFont="1" applyFill="1" applyBorder="1" applyAlignment="1">
      <alignment horizontal="center" vertical="center"/>
    </xf>
    <xf numFmtId="0" fontId="45" fillId="2" borderId="32" xfId="2" applyFont="1" applyFill="1" applyBorder="1" applyAlignment="1">
      <alignment horizontal="center" vertical="center"/>
    </xf>
    <xf numFmtId="0" fontId="45" fillId="2" borderId="4" xfId="2" applyFont="1" applyFill="1" applyBorder="1" applyAlignment="1">
      <alignment horizontal="center" vertical="center"/>
    </xf>
    <xf numFmtId="0" fontId="45" fillId="2" borderId="30" xfId="2" applyFont="1" applyFill="1" applyBorder="1" applyAlignment="1">
      <alignment horizontal="center" vertical="center"/>
    </xf>
    <xf numFmtId="0" fontId="44" fillId="2" borderId="93" xfId="2" applyFont="1" applyFill="1" applyBorder="1" applyAlignment="1">
      <alignment horizontal="center"/>
    </xf>
    <xf numFmtId="0" fontId="44" fillId="2" borderId="95" xfId="2" applyFont="1" applyFill="1" applyBorder="1" applyAlignment="1">
      <alignment horizontal="center"/>
    </xf>
    <xf numFmtId="0" fontId="29" fillId="0" borderId="7" xfId="2" applyFont="1" applyBorder="1" applyAlignment="1">
      <alignment horizontal="center"/>
    </xf>
    <xf numFmtId="0" fontId="29" fillId="0" borderId="8" xfId="2" applyFont="1" applyBorder="1" applyAlignment="1">
      <alignment horizontal="center"/>
    </xf>
    <xf numFmtId="0" fontId="29" fillId="0" borderId="42" xfId="2" applyFont="1" applyBorder="1" applyAlignment="1">
      <alignment horizontal="center"/>
    </xf>
    <xf numFmtId="0" fontId="29" fillId="0" borderId="29" xfId="2" applyFont="1" applyBorder="1" applyAlignment="1">
      <alignment horizontal="center"/>
    </xf>
    <xf numFmtId="0" fontId="29" fillId="0" borderId="4" xfId="2" applyFont="1" applyBorder="1" applyAlignment="1">
      <alignment horizontal="center"/>
    </xf>
    <xf numFmtId="0" fontId="29" fillId="0" borderId="54" xfId="2" applyFont="1" applyBorder="1" applyAlignment="1">
      <alignment horizontal="center"/>
    </xf>
    <xf numFmtId="2" fontId="36" fillId="0" borderId="39" xfId="2" applyNumberFormat="1" applyFont="1" applyBorder="1" applyAlignment="1">
      <alignment horizontal="center" vertical="center"/>
    </xf>
    <xf numFmtId="2" fontId="36" fillId="0" borderId="40" xfId="2" applyNumberFormat="1" applyFont="1" applyBorder="1" applyAlignment="1">
      <alignment horizontal="center" vertical="center"/>
    </xf>
    <xf numFmtId="2" fontId="37" fillId="0" borderId="40" xfId="2" applyNumberFormat="1" applyFont="1" applyBorder="1" applyAlignment="1">
      <alignment horizontal="center" vertical="center"/>
    </xf>
    <xf numFmtId="2" fontId="37" fillId="0" borderId="88" xfId="2" applyNumberFormat="1" applyFont="1" applyBorder="1" applyAlignment="1">
      <alignment horizontal="center" vertical="center"/>
    </xf>
    <xf numFmtId="2" fontId="37" fillId="0" borderId="41" xfId="2" applyNumberFormat="1" applyFont="1" applyBorder="1" applyAlignment="1">
      <alignment horizontal="center" vertical="center"/>
    </xf>
    <xf numFmtId="2" fontId="37" fillId="0" borderId="42" xfId="2" applyNumberFormat="1" applyFont="1" applyBorder="1" applyAlignment="1">
      <alignment horizontal="center" vertical="center"/>
    </xf>
    <xf numFmtId="2" fontId="37" fillId="0" borderId="53" xfId="2" applyNumberFormat="1" applyFont="1" applyBorder="1" applyAlignment="1">
      <alignment horizontal="center" vertical="center"/>
    </xf>
    <xf numFmtId="2" fontId="37" fillId="0" borderId="54" xfId="2" applyNumberFormat="1" applyFont="1" applyBorder="1" applyAlignment="1">
      <alignment horizontal="center" vertical="center"/>
    </xf>
    <xf numFmtId="2" fontId="39" fillId="0" borderId="41" xfId="2" applyNumberFormat="1" applyFont="1" applyBorder="1" applyAlignment="1">
      <alignment horizontal="center" vertical="center"/>
    </xf>
    <xf numFmtId="2" fontId="39" fillId="0" borderId="42" xfId="2" applyNumberFormat="1" applyFont="1" applyBorder="1" applyAlignment="1">
      <alignment horizontal="center" vertical="center"/>
    </xf>
    <xf numFmtId="2" fontId="39" fillId="0" borderId="44" xfId="2" applyNumberFormat="1" applyFont="1" applyBorder="1" applyAlignment="1">
      <alignment horizontal="center" vertical="center"/>
    </xf>
    <xf numFmtId="2" fontId="39" fillId="0" borderId="45" xfId="2" applyNumberFormat="1" applyFont="1" applyBorder="1" applyAlignment="1">
      <alignment horizontal="center" vertical="center"/>
    </xf>
    <xf numFmtId="0" fontId="37" fillId="0" borderId="50" xfId="2" applyFont="1" applyBorder="1" applyAlignment="1">
      <alignment horizontal="center" vertical="center"/>
    </xf>
    <xf numFmtId="0" fontId="37" fillId="0" borderId="38" xfId="2" applyFont="1" applyBorder="1" applyAlignment="1">
      <alignment horizontal="center" vertical="center"/>
    </xf>
    <xf numFmtId="0" fontId="37" fillId="0" borderId="39" xfId="2" applyFont="1" applyBorder="1" applyAlignment="1">
      <alignment horizontal="center" vertical="center"/>
    </xf>
    <xf numFmtId="0" fontId="36" fillId="0" borderId="40" xfId="2" applyFont="1" applyBorder="1" applyAlignment="1">
      <alignment horizontal="center" vertical="center"/>
    </xf>
    <xf numFmtId="0" fontId="37" fillId="0" borderId="43" xfId="2" applyFont="1" applyBorder="1" applyAlignment="1">
      <alignment horizontal="center" vertical="center"/>
    </xf>
    <xf numFmtId="0" fontId="37" fillId="0" borderId="88" xfId="2" applyFont="1" applyBorder="1" applyAlignment="1">
      <alignment horizontal="center" vertical="center"/>
    </xf>
    <xf numFmtId="0" fontId="37" fillId="0" borderId="92" xfId="2" applyFont="1" applyBorder="1" applyAlignment="1">
      <alignment horizontal="center" vertical="center"/>
    </xf>
    <xf numFmtId="0" fontId="37" fillId="0" borderId="89" xfId="2" applyFont="1" applyBorder="1" applyAlignment="1">
      <alignment horizontal="center" vertical="center"/>
    </xf>
    <xf numFmtId="0" fontId="37" fillId="0" borderId="90" xfId="2" applyFont="1" applyBorder="1" applyAlignment="1">
      <alignment horizontal="center" vertical="center"/>
    </xf>
    <xf numFmtId="0" fontId="37" fillId="0" borderId="91" xfId="2" applyFont="1" applyBorder="1" applyAlignment="1">
      <alignment horizontal="center" vertical="center"/>
    </xf>
    <xf numFmtId="0" fontId="41" fillId="0" borderId="46" xfId="2" applyFont="1" applyBorder="1" applyAlignment="1">
      <alignment horizontal="center" vertical="center"/>
    </xf>
    <xf numFmtId="0" fontId="41" fillId="0" borderId="31" xfId="2" applyFont="1" applyBorder="1" applyAlignment="1">
      <alignment horizontal="center" vertical="center"/>
    </xf>
    <xf numFmtId="2" fontId="37" fillId="0" borderId="31" xfId="2" applyNumberFormat="1" applyFont="1" applyBorder="1" applyAlignment="1">
      <alignment horizontal="center" vertical="center"/>
    </xf>
    <xf numFmtId="0" fontId="37" fillId="0" borderId="93" xfId="2" applyFont="1" applyBorder="1" applyAlignment="1">
      <alignment horizontal="center" vertical="center"/>
    </xf>
    <xf numFmtId="0" fontId="37" fillId="0" borderId="94" xfId="2" applyFont="1" applyBorder="1" applyAlignment="1">
      <alignment horizontal="center" vertical="center"/>
    </xf>
    <xf numFmtId="0" fontId="37" fillId="0" borderId="95" xfId="2" applyFont="1" applyBorder="1" applyAlignment="1">
      <alignment horizontal="center" vertical="center"/>
    </xf>
    <xf numFmtId="0" fontId="37" fillId="0" borderId="31" xfId="2" applyFont="1" applyBorder="1" applyAlignment="1">
      <alignment horizontal="center" vertical="center"/>
    </xf>
    <xf numFmtId="0" fontId="37" fillId="0" borderId="33" xfId="2" applyFont="1" applyBorder="1" applyAlignment="1">
      <alignment horizontal="center" vertical="center"/>
    </xf>
    <xf numFmtId="0" fontId="41" fillId="0" borderId="93" xfId="2" applyFont="1" applyBorder="1" applyAlignment="1">
      <alignment horizontal="center" vertical="center"/>
    </xf>
    <xf numFmtId="0" fontId="41" fillId="0" borderId="94" xfId="2" applyFont="1" applyBorder="1" applyAlignment="1">
      <alignment horizontal="center" vertical="center"/>
    </xf>
    <xf numFmtId="0" fontId="41" fillId="0" borderId="95" xfId="2" applyFont="1" applyBorder="1" applyAlignment="1">
      <alignment horizontal="center" vertical="center"/>
    </xf>
    <xf numFmtId="0" fontId="4" fillId="3" borderId="0" xfId="2" applyFont="1" applyFill="1" applyAlignment="1">
      <alignment horizontal="left" wrapText="1"/>
    </xf>
    <xf numFmtId="0" fontId="4" fillId="3" borderId="4" xfId="2" applyFont="1" applyFill="1" applyBorder="1" applyAlignment="1">
      <alignment horizontal="left" wrapText="1"/>
    </xf>
    <xf numFmtId="0" fontId="4" fillId="3" borderId="0" xfId="2" applyFont="1" applyFill="1" applyAlignment="1">
      <alignment wrapText="1"/>
    </xf>
    <xf numFmtId="0" fontId="4" fillId="3" borderId="4" xfId="2" applyFont="1" applyFill="1" applyBorder="1" applyAlignment="1">
      <alignment wrapText="1"/>
    </xf>
    <xf numFmtId="0" fontId="4" fillId="3" borderId="0" xfId="2" applyFont="1" applyFill="1" applyAlignment="1">
      <alignment horizontal="right" wrapText="1"/>
    </xf>
    <xf numFmtId="0" fontId="4" fillId="3" borderId="4" xfId="2" applyFont="1" applyFill="1" applyBorder="1" applyAlignment="1">
      <alignment horizontal="right" wrapText="1"/>
    </xf>
    <xf numFmtId="0" fontId="8" fillId="3" borderId="0" xfId="2" applyFont="1" applyFill="1" applyAlignment="1">
      <alignment horizontal="right"/>
    </xf>
    <xf numFmtId="0" fontId="3" fillId="3" borderId="0" xfId="2" applyFill="1" applyAlignment="1">
      <alignment horizontal="right"/>
    </xf>
    <xf numFmtId="0" fontId="3" fillId="3" borderId="4" xfId="2" applyFill="1" applyBorder="1" applyAlignment="1">
      <alignment horizontal="right"/>
    </xf>
    <xf numFmtId="0" fontId="37" fillId="0" borderId="48" xfId="2" applyFont="1" applyBorder="1" applyAlignment="1">
      <alignment horizontal="center" vertical="center"/>
    </xf>
    <xf numFmtId="0" fontId="37" fillId="0" borderId="49" xfId="2" applyFont="1" applyBorder="1" applyAlignment="1">
      <alignment horizontal="center" vertical="center"/>
    </xf>
    <xf numFmtId="0" fontId="41" fillId="0" borderId="47" xfId="2" applyFont="1" applyBorder="1" applyAlignment="1">
      <alignment horizontal="center" vertical="center"/>
    </xf>
    <xf numFmtId="0" fontId="41" fillId="0" borderId="48" xfId="2" applyFont="1" applyBorder="1" applyAlignment="1">
      <alignment horizontal="center" vertical="center"/>
    </xf>
    <xf numFmtId="2" fontId="37" fillId="0" borderId="48" xfId="2" applyNumberFormat="1" applyFont="1" applyBorder="1" applyAlignment="1">
      <alignment horizontal="center" vertical="center"/>
    </xf>
    <xf numFmtId="0" fontId="37" fillId="0" borderId="36" xfId="2" applyFont="1" applyBorder="1" applyAlignment="1">
      <alignment horizontal="center" vertical="center"/>
    </xf>
    <xf numFmtId="0" fontId="37" fillId="0" borderId="34" xfId="2" applyFont="1" applyBorder="1" applyAlignment="1">
      <alignment horizontal="center" vertical="center"/>
    </xf>
    <xf numFmtId="0" fontId="37" fillId="0" borderId="35" xfId="2" applyFont="1" applyBorder="1" applyAlignment="1">
      <alignment horizontal="center" vertical="center"/>
    </xf>
    <xf numFmtId="0" fontId="41" fillId="0" borderId="36" xfId="2" applyFont="1" applyBorder="1" applyAlignment="1">
      <alignment horizontal="center" vertical="center"/>
    </xf>
    <xf numFmtId="0" fontId="41" fillId="0" borderId="34" xfId="2" applyFont="1" applyBorder="1" applyAlignment="1">
      <alignment horizontal="center" vertical="center"/>
    </xf>
    <xf numFmtId="0" fontId="41" fillId="0" borderId="35" xfId="2" applyFont="1" applyBorder="1" applyAlignment="1">
      <alignment horizontal="center" vertical="center"/>
    </xf>
    <xf numFmtId="0" fontId="14" fillId="3" borderId="81" xfId="2" applyFont="1" applyFill="1" applyBorder="1" applyAlignment="1">
      <alignment horizontal="center" wrapText="1"/>
    </xf>
    <xf numFmtId="0" fontId="14" fillId="3" borderId="82" xfId="2" applyFont="1" applyFill="1" applyBorder="1" applyAlignment="1">
      <alignment horizontal="center" wrapText="1"/>
    </xf>
    <xf numFmtId="0" fontId="14" fillId="3" borderId="0" xfId="2" applyFont="1" applyFill="1" applyAlignment="1">
      <alignment horizontal="center" wrapText="1"/>
    </xf>
    <xf numFmtId="0" fontId="14" fillId="3" borderId="4" xfId="2" applyFont="1" applyFill="1" applyBorder="1" applyAlignment="1">
      <alignment horizontal="center" wrapText="1"/>
    </xf>
    <xf numFmtId="0" fontId="15" fillId="3" borderId="0" xfId="2" applyFont="1" applyFill="1" applyAlignment="1">
      <alignment horizontal="center" wrapText="1"/>
    </xf>
    <xf numFmtId="0" fontId="15" fillId="3" borderId="4" xfId="2" applyFont="1" applyFill="1" applyBorder="1" applyAlignment="1">
      <alignment horizontal="center" wrapText="1"/>
    </xf>
    <xf numFmtId="2" fontId="4" fillId="3" borderId="0" xfId="2" applyNumberFormat="1" applyFont="1" applyFill="1" applyAlignment="1">
      <alignment horizontal="right"/>
    </xf>
    <xf numFmtId="2" fontId="4" fillId="3" borderId="4" xfId="2" applyNumberFormat="1" applyFont="1" applyFill="1" applyBorder="1" applyAlignment="1">
      <alignment horizontal="right"/>
    </xf>
    <xf numFmtId="0" fontId="14" fillId="17" borderId="81" xfId="2" applyFont="1" applyFill="1" applyBorder="1" applyAlignment="1">
      <alignment horizontal="center" wrapText="1"/>
    </xf>
    <xf numFmtId="0" fontId="14" fillId="17" borderId="82" xfId="2" applyFont="1" applyFill="1" applyBorder="1" applyAlignment="1">
      <alignment horizontal="center" wrapText="1"/>
    </xf>
    <xf numFmtId="0" fontId="45" fillId="2" borderId="51" xfId="2" applyFont="1" applyFill="1" applyBorder="1" applyAlignment="1">
      <alignment horizontal="center" vertical="center"/>
    </xf>
    <xf numFmtId="0" fontId="45" fillId="2" borderId="0" xfId="2" applyFont="1" applyFill="1" applyAlignment="1">
      <alignment horizontal="center" vertical="center"/>
    </xf>
    <xf numFmtId="0" fontId="45" fillId="2" borderId="52" xfId="2" applyFont="1" applyFill="1" applyBorder="1" applyAlignment="1">
      <alignment horizontal="center" vertical="center"/>
    </xf>
    <xf numFmtId="14" fontId="33" fillId="0" borderId="94" xfId="2" applyNumberFormat="1" applyFont="1" applyBorder="1" applyAlignment="1">
      <alignment horizontal="center"/>
    </xf>
    <xf numFmtId="14" fontId="33" fillId="0" borderId="95" xfId="2" applyNumberFormat="1" applyFont="1" applyBorder="1" applyAlignment="1">
      <alignment horizontal="center"/>
    </xf>
    <xf numFmtId="2" fontId="3" fillId="0" borderId="6" xfId="2" applyNumberFormat="1" applyBorder="1" applyAlignment="1">
      <alignment horizontal="center"/>
    </xf>
    <xf numFmtId="2" fontId="3" fillId="0" borderId="15" xfId="2" applyNumberFormat="1" applyBorder="1" applyAlignment="1">
      <alignment horizontal="center"/>
    </xf>
    <xf numFmtId="2" fontId="3" fillId="0" borderId="16" xfId="2" applyNumberFormat="1" applyBorder="1" applyAlignment="1">
      <alignment horizontal="center"/>
    </xf>
    <xf numFmtId="165" fontId="3" fillId="0" borderId="6" xfId="2" applyNumberFormat="1" applyBorder="1" applyAlignment="1">
      <alignment horizontal="center"/>
    </xf>
    <xf numFmtId="165" fontId="3" fillId="0" borderId="15" xfId="2" applyNumberFormat="1" applyBorder="1" applyAlignment="1">
      <alignment horizontal="center"/>
    </xf>
    <xf numFmtId="165" fontId="3" fillId="0" borderId="16" xfId="2" applyNumberFormat="1" applyBorder="1" applyAlignment="1">
      <alignment horizontal="center"/>
    </xf>
    <xf numFmtId="0" fontId="3" fillId="0" borderId="6" xfId="2" applyBorder="1" applyAlignment="1">
      <alignment horizontal="center"/>
    </xf>
    <xf numFmtId="0" fontId="3" fillId="0" borderId="15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6" xfId="2" applyBorder="1" applyAlignment="1">
      <alignment horizontal="left"/>
    </xf>
    <xf numFmtId="0" fontId="3" fillId="0" borderId="15" xfId="2" applyBorder="1" applyAlignment="1">
      <alignment horizontal="left"/>
    </xf>
    <xf numFmtId="0" fontId="3" fillId="0" borderId="16" xfId="2" applyBorder="1" applyAlignment="1">
      <alignment horizontal="left"/>
    </xf>
    <xf numFmtId="165" fontId="18" fillId="8" borderId="6" xfId="2" applyNumberFormat="1" applyFont="1" applyFill="1" applyBorder="1" applyAlignment="1">
      <alignment horizontal="center"/>
    </xf>
    <xf numFmtId="165" fontId="18" fillId="8" borderId="15" xfId="2" applyNumberFormat="1" applyFont="1" applyFill="1" applyBorder="1" applyAlignment="1">
      <alignment horizontal="center"/>
    </xf>
    <xf numFmtId="165" fontId="18" fillId="8" borderId="16" xfId="2" applyNumberFormat="1" applyFont="1" applyFill="1" applyBorder="1" applyAlignment="1">
      <alignment horizontal="center"/>
    </xf>
    <xf numFmtId="0" fontId="18" fillId="8" borderId="6" xfId="2" applyFont="1" applyFill="1" applyBorder="1" applyAlignment="1">
      <alignment horizontal="center"/>
    </xf>
    <xf numFmtId="0" fontId="18" fillId="8" borderId="15" xfId="2" applyFont="1" applyFill="1" applyBorder="1" applyAlignment="1">
      <alignment horizontal="center"/>
    </xf>
    <xf numFmtId="0" fontId="18" fillId="8" borderId="16" xfId="2" applyFont="1" applyFill="1" applyBorder="1" applyAlignment="1">
      <alignment horizontal="center"/>
    </xf>
    <xf numFmtId="0" fontId="18" fillId="0" borderId="6" xfId="2" applyFont="1" applyBorder="1" applyAlignment="1">
      <alignment horizontal="center"/>
    </xf>
    <xf numFmtId="0" fontId="18" fillId="0" borderId="15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165" fontId="18" fillId="0" borderId="6" xfId="2" applyNumberFormat="1" applyFont="1" applyBorder="1" applyAlignment="1">
      <alignment horizontal="center"/>
    </xf>
    <xf numFmtId="165" fontId="18" fillId="0" borderId="16" xfId="2" applyNumberFormat="1" applyFont="1" applyBorder="1" applyAlignment="1">
      <alignment horizontal="center"/>
    </xf>
    <xf numFmtId="0" fontId="4" fillId="3" borderId="0" xfId="2" applyFont="1" applyFill="1" applyAlignment="1"/>
    <xf numFmtId="0" fontId="4" fillId="3" borderId="4" xfId="2" applyFont="1" applyFill="1" applyBorder="1" applyAlignment="1"/>
    <xf numFmtId="0" fontId="15" fillId="3" borderId="0" xfId="2" applyFont="1" applyFill="1" applyAlignment="1">
      <alignment wrapText="1"/>
    </xf>
    <xf numFmtId="0" fontId="15" fillId="3" borderId="4" xfId="2" applyFont="1" applyFill="1" applyBorder="1" applyAlignment="1">
      <alignment wrapText="1"/>
    </xf>
    <xf numFmtId="0" fontId="14" fillId="3" borderId="0" xfId="2" applyFont="1" applyFill="1" applyAlignment="1">
      <alignment wrapText="1"/>
    </xf>
    <xf numFmtId="0" fontId="14" fillId="3" borderId="4" xfId="2" applyFont="1" applyFill="1" applyBorder="1" applyAlignment="1">
      <alignment wrapText="1"/>
    </xf>
    <xf numFmtId="2" fontId="14" fillId="3" borderId="0" xfId="2" applyNumberFormat="1" applyFont="1" applyFill="1" applyAlignment="1">
      <alignment wrapText="1"/>
    </xf>
    <xf numFmtId="2" fontId="14" fillId="3" borderId="4" xfId="2" applyNumberFormat="1" applyFont="1" applyFill="1" applyBorder="1" applyAlignment="1">
      <alignment wrapText="1"/>
    </xf>
    <xf numFmtId="165" fontId="3" fillId="0" borderId="57" xfId="2" applyNumberFormat="1" applyBorder="1" applyAlignment="1">
      <alignment horizontal="center"/>
    </xf>
    <xf numFmtId="165" fontId="3" fillId="0" borderId="58" xfId="2" applyNumberFormat="1" applyBorder="1" applyAlignment="1">
      <alignment horizontal="center"/>
    </xf>
    <xf numFmtId="165" fontId="3" fillId="0" borderId="59" xfId="2" applyNumberFormat="1" applyBorder="1" applyAlignment="1">
      <alignment horizontal="center"/>
    </xf>
    <xf numFmtId="0" fontId="14" fillId="3" borderId="81" xfId="2" applyFont="1" applyFill="1" applyBorder="1" applyAlignment="1">
      <alignment wrapText="1"/>
    </xf>
    <xf numFmtId="0" fontId="14" fillId="3" borderId="82" xfId="2" applyFont="1" applyFill="1" applyBorder="1" applyAlignment="1">
      <alignment wrapText="1"/>
    </xf>
    <xf numFmtId="0" fontId="15" fillId="3" borderId="81" xfId="2" applyFont="1" applyFill="1" applyBorder="1" applyAlignment="1">
      <alignment wrapText="1"/>
    </xf>
    <xf numFmtId="0" fontId="15" fillId="3" borderId="82" xfId="2" applyFont="1" applyFill="1" applyBorder="1" applyAlignment="1">
      <alignment wrapText="1"/>
    </xf>
    <xf numFmtId="0" fontId="15" fillId="17" borderId="81" xfId="2" applyFont="1" applyFill="1" applyBorder="1" applyAlignment="1">
      <alignment wrapText="1"/>
    </xf>
    <xf numFmtId="0" fontId="15" fillId="17" borderId="82" xfId="2" applyFont="1" applyFill="1" applyBorder="1" applyAlignment="1">
      <alignment wrapText="1"/>
    </xf>
    <xf numFmtId="0" fontId="4" fillId="3" borderId="0" xfId="2" applyFont="1" applyFill="1" applyAlignment="1">
      <alignment horizontal="right"/>
    </xf>
    <xf numFmtId="0" fontId="4" fillId="3" borderId="4" xfId="2" applyFont="1" applyFill="1" applyBorder="1" applyAlignment="1">
      <alignment horizontal="right"/>
    </xf>
    <xf numFmtId="2" fontId="14" fillId="3" borderId="0" xfId="2" applyNumberFormat="1" applyFont="1" applyFill="1" applyAlignment="1">
      <alignment horizontal="center" wrapText="1"/>
    </xf>
    <xf numFmtId="2" fontId="14" fillId="3" borderId="4" xfId="2" applyNumberFormat="1" applyFont="1" applyFill="1" applyBorder="1" applyAlignment="1">
      <alignment horizontal="center" wrapText="1"/>
    </xf>
    <xf numFmtId="0" fontId="4" fillId="17" borderId="81" xfId="2" applyFont="1" applyFill="1" applyBorder="1" applyAlignment="1">
      <alignment horizontal="right" wrapText="1"/>
    </xf>
    <xf numFmtId="0" fontId="4" fillId="17" borderId="82" xfId="2" applyFont="1" applyFill="1" applyBorder="1" applyAlignment="1">
      <alignment horizontal="right" wrapText="1"/>
    </xf>
    <xf numFmtId="165" fontId="3" fillId="8" borderId="6" xfId="2" applyNumberFormat="1" applyFill="1" applyBorder="1" applyAlignment="1">
      <alignment horizontal="center"/>
    </xf>
    <xf numFmtId="165" fontId="3" fillId="8" borderId="15" xfId="2" applyNumberFormat="1" applyFill="1" applyBorder="1" applyAlignment="1">
      <alignment horizontal="center"/>
    </xf>
    <xf numFmtId="165" fontId="3" fillId="8" borderId="16" xfId="2" applyNumberFormat="1" applyFill="1" applyBorder="1" applyAlignment="1">
      <alignment horizontal="center"/>
    </xf>
    <xf numFmtId="0" fontId="15" fillId="3" borderId="0" xfId="2" applyFont="1" applyFill="1" applyBorder="1" applyAlignment="1">
      <alignment wrapText="1"/>
    </xf>
    <xf numFmtId="0" fontId="3" fillId="0" borderId="93" xfId="0" applyFont="1" applyBorder="1" applyAlignment="1"/>
    <xf numFmtId="0" fontId="3" fillId="0" borderId="117" xfId="0" applyFont="1" applyBorder="1" applyAlignment="1"/>
    <xf numFmtId="0" fontId="3" fillId="0" borderId="93" xfId="2" applyBorder="1" applyAlignment="1">
      <alignment horizontal="center"/>
    </xf>
    <xf numFmtId="0" fontId="3" fillId="0" borderId="95" xfId="2" applyBorder="1" applyAlignment="1">
      <alignment horizontal="center"/>
    </xf>
    <xf numFmtId="0" fontId="0" fillId="0" borderId="31" xfId="2" applyFont="1" applyBorder="1" applyAlignment="1">
      <alignment horizontal="center" wrapText="1"/>
    </xf>
    <xf numFmtId="0" fontId="3" fillId="0" borderId="31" xfId="2" applyBorder="1" applyAlignment="1">
      <alignment horizontal="center" wrapText="1"/>
    </xf>
    <xf numFmtId="2" fontId="3" fillId="0" borderId="0" xfId="2" applyNumberFormat="1" applyAlignment="1">
      <alignment horizontal="center"/>
    </xf>
    <xf numFmtId="2" fontId="3" fillId="0" borderId="0" xfId="2" applyNumberFormat="1" applyAlignment="1">
      <alignment horizontal="left"/>
    </xf>
    <xf numFmtId="0" fontId="3" fillId="0" borderId="0" xfId="2" applyAlignment="1">
      <alignment horizontal="left"/>
    </xf>
    <xf numFmtId="165" fontId="18" fillId="0" borderId="0" xfId="2" applyNumberFormat="1" applyFont="1" applyAlignment="1" applyProtection="1">
      <alignment horizontal="center"/>
      <protection locked="0"/>
    </xf>
    <xf numFmtId="2" fontId="18" fillId="2" borderId="0" xfId="2" applyNumberFormat="1" applyFont="1" applyFill="1" applyAlignment="1" applyProtection="1">
      <alignment horizontal="center"/>
      <protection locked="0"/>
    </xf>
    <xf numFmtId="165" fontId="18" fillId="2" borderId="0" xfId="2" applyNumberFormat="1" applyFont="1" applyFill="1" applyAlignment="1" applyProtection="1">
      <alignment horizontal="left"/>
      <protection locked="0"/>
    </xf>
    <xf numFmtId="0" fontId="18" fillId="2" borderId="0" xfId="2" applyFont="1" applyFill="1" applyAlignment="1" applyProtection="1">
      <alignment horizontal="right"/>
      <protection locked="0"/>
    </xf>
    <xf numFmtId="2" fontId="18" fillId="2" borderId="0" xfId="2" applyNumberFormat="1" applyFont="1" applyFill="1" applyAlignment="1" applyProtection="1">
      <alignment horizontal="left"/>
      <protection locked="0"/>
    </xf>
    <xf numFmtId="0" fontId="32" fillId="3" borderId="0" xfId="2" applyFont="1" applyFill="1" applyAlignment="1">
      <alignment horizontal="center"/>
    </xf>
    <xf numFmtId="0" fontId="29" fillId="3" borderId="0" xfId="2" applyFont="1" applyFill="1" applyAlignment="1">
      <alignment horizontal="center" vertical="center"/>
    </xf>
    <xf numFmtId="0" fontId="29" fillId="3" borderId="0" xfId="2" applyFont="1" applyFill="1" applyAlignment="1">
      <alignment horizontal="center"/>
    </xf>
    <xf numFmtId="2" fontId="3" fillId="2" borderId="0" xfId="2" applyNumberFormat="1" applyFill="1" applyAlignment="1">
      <alignment horizontal="center"/>
    </xf>
    <xf numFmtId="2" fontId="18" fillId="2" borderId="0" xfId="2" applyNumberFormat="1" applyFont="1" applyFill="1" applyAlignment="1" applyProtection="1">
      <alignment horizontal="center" vertical="center"/>
      <protection locked="0"/>
    </xf>
    <xf numFmtId="0" fontId="18" fillId="2" borderId="0" xfId="2" applyFont="1" applyFill="1" applyAlignment="1" applyProtection="1">
      <alignment horizontal="center"/>
      <protection locked="0"/>
    </xf>
    <xf numFmtId="2" fontId="3" fillId="0" borderId="93" xfId="2" applyNumberFormat="1" applyBorder="1" applyAlignment="1">
      <alignment horizontal="center"/>
    </xf>
    <xf numFmtId="2" fontId="3" fillId="0" borderId="94" xfId="2" applyNumberFormat="1" applyBorder="1" applyAlignment="1">
      <alignment horizontal="center"/>
    </xf>
    <xf numFmtId="2" fontId="3" fillId="0" borderId="95" xfId="2" applyNumberFormat="1" applyBorder="1" applyAlignment="1">
      <alignment horizontal="center"/>
    </xf>
    <xf numFmtId="166" fontId="3" fillId="0" borderId="93" xfId="2" applyNumberFormat="1" applyBorder="1" applyAlignment="1">
      <alignment horizontal="center"/>
    </xf>
    <xf numFmtId="166" fontId="3" fillId="0" borderId="94" xfId="2" applyNumberFormat="1" applyBorder="1" applyAlignment="1">
      <alignment horizontal="center"/>
    </xf>
    <xf numFmtId="166" fontId="3" fillId="0" borderId="95" xfId="2" applyNumberFormat="1" applyBorder="1" applyAlignment="1">
      <alignment horizontal="center"/>
    </xf>
    <xf numFmtId="11" fontId="3" fillId="0" borderId="93" xfId="2" quotePrefix="1" applyNumberFormat="1" applyBorder="1" applyAlignment="1">
      <alignment horizontal="center"/>
    </xf>
    <xf numFmtId="11" fontId="3" fillId="0" borderId="94" xfId="2" quotePrefix="1" applyNumberFormat="1" applyBorder="1" applyAlignment="1">
      <alignment horizontal="center"/>
    </xf>
    <xf numFmtId="11" fontId="3" fillId="0" borderId="95" xfId="2" quotePrefix="1" applyNumberFormat="1" applyBorder="1" applyAlignment="1">
      <alignment horizontal="center"/>
    </xf>
    <xf numFmtId="11" fontId="3" fillId="11" borderId="93" xfId="2" quotePrefix="1" applyNumberFormat="1" applyFill="1" applyBorder="1" applyAlignment="1">
      <alignment horizontal="center"/>
    </xf>
    <xf numFmtId="11" fontId="3" fillId="11" borderId="94" xfId="2" quotePrefix="1" applyNumberFormat="1" applyFill="1" applyBorder="1" applyAlignment="1">
      <alignment horizontal="center"/>
    </xf>
    <xf numFmtId="11" fontId="3" fillId="11" borderId="95" xfId="2" quotePrefix="1" applyNumberFormat="1" applyFill="1" applyBorder="1" applyAlignment="1">
      <alignment horizontal="center"/>
    </xf>
    <xf numFmtId="0" fontId="3" fillId="0" borderId="93" xfId="2" quotePrefix="1" applyBorder="1" applyAlignment="1">
      <alignment horizontal="center"/>
    </xf>
    <xf numFmtId="0" fontId="3" fillId="0" borderId="94" xfId="2" quotePrefix="1" applyBorder="1" applyAlignment="1">
      <alignment horizontal="center"/>
    </xf>
    <xf numFmtId="0" fontId="3" fillId="0" borderId="95" xfId="2" quotePrefix="1" applyBorder="1" applyAlignment="1">
      <alignment horizontal="center"/>
    </xf>
    <xf numFmtId="0" fontId="3" fillId="11" borderId="93" xfId="2" applyFill="1" applyBorder="1" applyAlignment="1">
      <alignment horizontal="center"/>
    </xf>
    <xf numFmtId="0" fontId="3" fillId="11" borderId="94" xfId="2" applyFill="1" applyBorder="1" applyAlignment="1">
      <alignment horizontal="center"/>
    </xf>
    <xf numFmtId="0" fontId="3" fillId="11" borderId="95" xfId="2" applyFill="1" applyBorder="1" applyAlignment="1">
      <alignment horizontal="center"/>
    </xf>
    <xf numFmtId="0" fontId="3" fillId="0" borderId="115" xfId="2" applyBorder="1" applyAlignment="1">
      <alignment horizontal="center" wrapText="1"/>
    </xf>
    <xf numFmtId="0" fontId="3" fillId="0" borderId="116" xfId="2" applyBorder="1" applyAlignment="1">
      <alignment horizontal="center" wrapText="1"/>
    </xf>
    <xf numFmtId="0" fontId="3" fillId="0" borderId="32" xfId="2" applyBorder="1" applyAlignment="1">
      <alignment horizontal="center" wrapText="1"/>
    </xf>
    <xf numFmtId="0" fontId="3" fillId="0" borderId="30" xfId="2" applyBorder="1" applyAlignment="1">
      <alignment horizontal="center" wrapText="1"/>
    </xf>
    <xf numFmtId="0" fontId="3" fillId="0" borderId="115" xfId="2" applyBorder="1" applyAlignment="1">
      <alignment horizontal="center" vertical="center" wrapText="1" shrinkToFit="1"/>
    </xf>
    <xf numFmtId="0" fontId="3" fillId="0" borderId="96" xfId="2" applyBorder="1" applyAlignment="1">
      <alignment horizontal="center" vertical="center" wrapText="1" shrinkToFit="1"/>
    </xf>
    <xf numFmtId="0" fontId="3" fillId="0" borderId="116" xfId="2" applyBorder="1" applyAlignment="1">
      <alignment horizontal="center" vertical="center" wrapText="1" shrinkToFit="1"/>
    </xf>
    <xf numFmtId="0" fontId="3" fillId="0" borderId="32" xfId="2" applyBorder="1" applyAlignment="1">
      <alignment horizontal="center" vertical="center" wrapText="1" shrinkToFit="1"/>
    </xf>
    <xf numFmtId="0" fontId="3" fillId="0" borderId="4" xfId="2" applyBorder="1" applyAlignment="1">
      <alignment horizontal="center" vertical="center" wrapText="1" shrinkToFit="1"/>
    </xf>
    <xf numFmtId="0" fontId="3" fillId="0" borderId="30" xfId="2" applyBorder="1" applyAlignment="1">
      <alignment horizontal="center" vertical="center" wrapText="1" shrinkToFit="1"/>
    </xf>
    <xf numFmtId="0" fontId="10" fillId="0" borderId="93" xfId="2" quotePrefix="1" applyFont="1" applyBorder="1" applyAlignment="1">
      <alignment horizontal="center"/>
    </xf>
    <xf numFmtId="0" fontId="10" fillId="0" borderId="94" xfId="2" quotePrefix="1" applyFont="1" applyBorder="1" applyAlignment="1">
      <alignment horizontal="center"/>
    </xf>
    <xf numFmtId="0" fontId="10" fillId="0" borderId="95" xfId="2" quotePrefix="1" applyFont="1" applyBorder="1" applyAlignment="1">
      <alignment horizontal="center"/>
    </xf>
    <xf numFmtId="0" fontId="37" fillId="0" borderId="0" xfId="2" applyFont="1" applyAlignment="1">
      <alignment horizontal="center" vertical="center"/>
    </xf>
    <xf numFmtId="0" fontId="41" fillId="0" borderId="0" xfId="2" applyFont="1" applyAlignment="1">
      <alignment horizontal="center" vertical="center"/>
    </xf>
    <xf numFmtId="0" fontId="42" fillId="5" borderId="0" xfId="2" applyFont="1" applyFill="1" applyAlignment="1">
      <alignment horizontal="center" vertical="center"/>
    </xf>
    <xf numFmtId="168" fontId="3" fillId="8" borderId="68" xfId="4" applyNumberFormat="1" applyFont="1" applyFill="1" applyBorder="1" applyAlignment="1">
      <alignment horizontal="center" vertical="center"/>
    </xf>
    <xf numFmtId="168" fontId="3" fillId="8" borderId="69" xfId="4" applyNumberFormat="1" applyFont="1" applyFill="1" applyBorder="1" applyAlignment="1">
      <alignment horizontal="center" vertical="center"/>
    </xf>
    <xf numFmtId="2" fontId="3" fillId="8" borderId="69" xfId="4" quotePrefix="1" applyNumberFormat="1" applyFont="1" applyFill="1" applyBorder="1" applyAlignment="1">
      <alignment horizontal="center" vertical="center"/>
    </xf>
    <xf numFmtId="2" fontId="3" fillId="8" borderId="69" xfId="4" applyNumberFormat="1" applyFont="1" applyFill="1" applyBorder="1" applyAlignment="1">
      <alignment horizontal="center" vertical="center"/>
    </xf>
    <xf numFmtId="11" fontId="3" fillId="8" borderId="36" xfId="4" applyNumberFormat="1" applyFont="1" applyFill="1" applyBorder="1" applyAlignment="1">
      <alignment horizontal="center" vertical="center"/>
    </xf>
    <xf numFmtId="11" fontId="3" fillId="8" borderId="34" xfId="4" applyNumberFormat="1" applyFont="1" applyFill="1" applyBorder="1" applyAlignment="1">
      <alignment horizontal="center" vertical="center"/>
    </xf>
    <xf numFmtId="11" fontId="3" fillId="8" borderId="67" xfId="4" applyNumberFormat="1" applyFont="1" applyFill="1" applyBorder="1" applyAlignment="1">
      <alignment horizontal="center" vertical="center"/>
    </xf>
    <xf numFmtId="168" fontId="3" fillId="8" borderId="95" xfId="4" applyNumberFormat="1" applyFont="1" applyFill="1" applyBorder="1" applyAlignment="1">
      <alignment horizontal="center" vertical="center"/>
    </xf>
    <xf numFmtId="168" fontId="3" fillId="8" borderId="31" xfId="4" applyNumberFormat="1" applyFont="1" applyFill="1" applyBorder="1" applyAlignment="1">
      <alignment horizontal="center" vertical="center"/>
    </xf>
    <xf numFmtId="2" fontId="3" fillId="8" borderId="31" xfId="4" applyNumberFormat="1" applyFont="1" applyFill="1" applyBorder="1" applyAlignment="1">
      <alignment horizontal="center" vertical="center"/>
    </xf>
    <xf numFmtId="11" fontId="3" fillId="8" borderId="93" xfId="4" applyNumberFormat="1" applyFont="1" applyFill="1" applyBorder="1" applyAlignment="1">
      <alignment horizontal="center" vertical="center"/>
    </xf>
    <xf numFmtId="11" fontId="3" fillId="8" borderId="94" xfId="4" applyNumberFormat="1" applyFont="1" applyFill="1" applyBorder="1" applyAlignment="1">
      <alignment horizontal="center" vertical="center"/>
    </xf>
    <xf numFmtId="11" fontId="3" fillId="8" borderId="114" xfId="4" applyNumberFormat="1" applyFont="1" applyFill="1" applyBorder="1" applyAlignment="1">
      <alignment horizontal="center" vertical="center"/>
    </xf>
    <xf numFmtId="168" fontId="3" fillId="8" borderId="93" xfId="4" applyNumberFormat="1" applyFont="1" applyFill="1" applyBorder="1" applyAlignment="1">
      <alignment horizontal="center" vertical="center"/>
    </xf>
    <xf numFmtId="168" fontId="3" fillId="8" borderId="94" xfId="4" applyNumberFormat="1" applyFont="1" applyFill="1" applyBorder="1" applyAlignment="1">
      <alignment horizontal="center" vertical="center"/>
    </xf>
    <xf numFmtId="2" fontId="3" fillId="8" borderId="93" xfId="4" applyNumberFormat="1" applyFont="1" applyFill="1" applyBorder="1" applyAlignment="1">
      <alignment horizontal="center" vertical="center"/>
    </xf>
    <xf numFmtId="2" fontId="3" fillId="8" borderId="94" xfId="4" applyNumberFormat="1" applyFont="1" applyFill="1" applyBorder="1" applyAlignment="1">
      <alignment horizontal="center" vertical="center"/>
    </xf>
    <xf numFmtId="2" fontId="3" fillId="8" borderId="95" xfId="4" applyNumberFormat="1" applyFont="1" applyFill="1" applyBorder="1" applyAlignment="1">
      <alignment horizontal="center" vertical="center"/>
    </xf>
    <xf numFmtId="2" fontId="3" fillId="8" borderId="93" xfId="4" quotePrefix="1" applyNumberFormat="1" applyFont="1" applyFill="1" applyBorder="1" applyAlignment="1">
      <alignment horizontal="center" vertical="center"/>
    </xf>
    <xf numFmtId="0" fontId="27" fillId="10" borderId="107" xfId="2" applyFont="1" applyFill="1" applyBorder="1" applyAlignment="1" applyProtection="1">
      <alignment horizontal="center"/>
      <protection locked="0"/>
    </xf>
    <xf numFmtId="0" fontId="27" fillId="10" borderId="108" xfId="2" applyFont="1" applyFill="1" applyBorder="1" applyAlignment="1" applyProtection="1">
      <alignment horizontal="center"/>
      <protection locked="0"/>
    </xf>
    <xf numFmtId="0" fontId="27" fillId="10" borderId="109" xfId="2" applyFont="1" applyFill="1" applyBorder="1" applyAlignment="1" applyProtection="1">
      <alignment horizontal="center"/>
      <protection locked="0"/>
    </xf>
    <xf numFmtId="0" fontId="5" fillId="8" borderId="7" xfId="3" applyFont="1" applyFill="1" applyBorder="1" applyAlignment="1">
      <alignment horizontal="center" vertical="center"/>
    </xf>
    <xf numFmtId="0" fontId="5" fillId="8" borderId="8" xfId="3" applyFont="1" applyFill="1" applyBorder="1" applyAlignment="1">
      <alignment horizontal="center" vertical="center"/>
    </xf>
    <xf numFmtId="0" fontId="5" fillId="8" borderId="22" xfId="3" applyFont="1" applyFill="1" applyBorder="1" applyAlignment="1">
      <alignment horizontal="center" vertical="center"/>
    </xf>
    <xf numFmtId="0" fontId="5" fillId="8" borderId="10" xfId="3" applyFont="1" applyFill="1" applyBorder="1" applyAlignment="1">
      <alignment horizontal="center" vertical="center"/>
    </xf>
    <xf numFmtId="0" fontId="5" fillId="8" borderId="0" xfId="3" applyFont="1" applyFill="1" applyAlignment="1">
      <alignment horizontal="center" vertical="center"/>
    </xf>
    <xf numFmtId="0" fontId="5" fillId="8" borderId="52" xfId="3" applyFont="1" applyFill="1" applyBorder="1" applyAlignment="1">
      <alignment horizontal="center" vertical="center"/>
    </xf>
    <xf numFmtId="0" fontId="23" fillId="8" borderId="23" xfId="3" applyFont="1" applyFill="1" applyBorder="1" applyAlignment="1">
      <alignment horizontal="center"/>
    </xf>
    <xf numFmtId="0" fontId="23" fillId="8" borderId="24" xfId="3" applyFont="1" applyFill="1" applyBorder="1" applyAlignment="1">
      <alignment horizontal="center"/>
    </xf>
    <xf numFmtId="0" fontId="23" fillId="8" borderId="25" xfId="3" applyFont="1" applyFill="1" applyBorder="1" applyAlignment="1">
      <alignment horizontal="center"/>
    </xf>
    <xf numFmtId="0" fontId="23" fillId="8" borderId="27" xfId="3" applyFont="1" applyFill="1" applyBorder="1" applyAlignment="1">
      <alignment horizontal="center" vertical="center"/>
    </xf>
    <xf numFmtId="0" fontId="23" fillId="8" borderId="8" xfId="3" applyFont="1" applyFill="1" applyBorder="1" applyAlignment="1">
      <alignment horizontal="center" vertical="center"/>
    </xf>
    <xf numFmtId="0" fontId="23" fillId="8" borderId="22" xfId="3" applyFont="1" applyFill="1" applyBorder="1" applyAlignment="1">
      <alignment horizontal="center" vertical="center"/>
    </xf>
    <xf numFmtId="0" fontId="23" fillId="8" borderId="32" xfId="3" applyFont="1" applyFill="1" applyBorder="1" applyAlignment="1">
      <alignment horizontal="center" vertical="center"/>
    </xf>
    <xf numFmtId="0" fontId="23" fillId="8" borderId="4" xfId="3" applyFont="1" applyFill="1" applyBorder="1" applyAlignment="1">
      <alignment horizontal="center" vertical="center"/>
    </xf>
    <xf numFmtId="0" fontId="23" fillId="8" borderId="30" xfId="3" applyFont="1" applyFill="1" applyBorder="1" applyAlignment="1">
      <alignment horizontal="center" vertical="center"/>
    </xf>
    <xf numFmtId="0" fontId="23" fillId="8" borderId="28" xfId="3" applyFont="1" applyFill="1" applyBorder="1" applyAlignment="1">
      <alignment horizontal="center"/>
    </xf>
    <xf numFmtId="0" fontId="29" fillId="8" borderId="93" xfId="3" applyFont="1" applyFill="1" applyBorder="1" applyAlignment="1">
      <alignment horizontal="center"/>
    </xf>
    <xf numFmtId="0" fontId="29" fillId="8" borderId="94" xfId="3" applyFont="1" applyFill="1" applyBorder="1" applyAlignment="1">
      <alignment horizontal="center"/>
    </xf>
    <xf numFmtId="0" fontId="29" fillId="8" borderId="95" xfId="3" applyFont="1" applyFill="1" applyBorder="1" applyAlignment="1">
      <alignment horizontal="center"/>
    </xf>
    <xf numFmtId="0" fontId="29" fillId="8" borderId="114" xfId="3" applyFont="1" applyFill="1" applyBorder="1" applyAlignment="1">
      <alignment horizontal="center"/>
    </xf>
    <xf numFmtId="0" fontId="33" fillId="0" borderId="10" xfId="2" applyFont="1" applyBorder="1" applyAlignment="1" applyProtection="1">
      <alignment horizontal="center"/>
      <protection locked="0"/>
    </xf>
    <xf numFmtId="0" fontId="33" fillId="0" borderId="0" xfId="2" applyFont="1" applyAlignment="1" applyProtection="1">
      <alignment horizontal="center"/>
      <protection locked="0"/>
    </xf>
    <xf numFmtId="0" fontId="33" fillId="0" borderId="21" xfId="2" applyFont="1" applyBorder="1" applyAlignment="1" applyProtection="1">
      <alignment horizontal="center"/>
      <protection locked="0"/>
    </xf>
    <xf numFmtId="0" fontId="27" fillId="10" borderId="100" xfId="2" applyFont="1" applyFill="1" applyBorder="1" applyAlignment="1" applyProtection="1">
      <alignment horizontal="center"/>
      <protection locked="0"/>
    </xf>
    <xf numFmtId="0" fontId="27" fillId="10" borderId="101" xfId="2" applyFont="1" applyFill="1" applyBorder="1" applyAlignment="1" applyProtection="1">
      <alignment horizontal="center"/>
      <protection locked="0"/>
    </xf>
    <xf numFmtId="167" fontId="27" fillId="10" borderId="100" xfId="2" applyNumberFormat="1" applyFont="1" applyFill="1" applyBorder="1" applyAlignment="1" applyProtection="1">
      <alignment horizontal="center"/>
      <protection locked="0"/>
    </xf>
    <xf numFmtId="0" fontId="27" fillId="10" borderId="75" xfId="2" applyFont="1" applyFill="1" applyBorder="1" applyAlignment="1" applyProtection="1">
      <alignment horizontal="center"/>
      <protection locked="0"/>
    </xf>
    <xf numFmtId="0" fontId="27" fillId="10" borderId="18" xfId="2" applyFont="1" applyFill="1" applyBorder="1" applyAlignment="1" applyProtection="1">
      <alignment horizontal="center"/>
      <protection locked="0"/>
    </xf>
    <xf numFmtId="0" fontId="27" fillId="10" borderId="19" xfId="2" applyFont="1" applyFill="1" applyBorder="1" applyAlignment="1" applyProtection="1">
      <alignment horizontal="center"/>
      <protection locked="0"/>
    </xf>
    <xf numFmtId="0" fontId="37" fillId="5" borderId="0" xfId="2" applyFont="1" applyFill="1" applyAlignment="1">
      <alignment horizontal="center" vertical="center"/>
    </xf>
    <xf numFmtId="0" fontId="27" fillId="10" borderId="100" xfId="2" applyFont="1" applyFill="1" applyBorder="1" applyAlignment="1" applyProtection="1">
      <alignment horizontal="left"/>
      <protection locked="0"/>
    </xf>
    <xf numFmtId="0" fontId="27" fillId="10" borderId="102" xfId="2" applyFont="1" applyFill="1" applyBorder="1" applyAlignment="1" applyProtection="1">
      <alignment horizontal="left"/>
      <protection locked="0"/>
    </xf>
    <xf numFmtId="0" fontId="31" fillId="10" borderId="17" xfId="2" applyFont="1" applyFill="1" applyBorder="1" applyAlignment="1">
      <alignment horizontal="center" vertical="center"/>
    </xf>
    <xf numFmtId="0" fontId="31" fillId="0" borderId="18" xfId="2" applyFont="1" applyBorder="1" applyAlignment="1">
      <alignment horizontal="center" vertical="center"/>
    </xf>
    <xf numFmtId="0" fontId="31" fillId="0" borderId="76" xfId="2" applyFont="1" applyBorder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55" fillId="10" borderId="10" xfId="2" applyFont="1" applyFill="1" applyBorder="1" applyAlignment="1">
      <alignment horizontal="center" vertical="center"/>
    </xf>
    <xf numFmtId="0" fontId="55" fillId="10" borderId="0" xfId="2" applyFont="1" applyFill="1" applyAlignment="1">
      <alignment horizontal="center" vertical="center"/>
    </xf>
    <xf numFmtId="0" fontId="55" fillId="10" borderId="21" xfId="2" applyFont="1" applyFill="1" applyBorder="1" applyAlignment="1">
      <alignment horizontal="center" vertical="center"/>
    </xf>
    <xf numFmtId="0" fontId="55" fillId="10" borderId="75" xfId="2" applyFont="1" applyFill="1" applyBorder="1" applyAlignment="1">
      <alignment horizontal="center" vertical="center"/>
    </xf>
    <xf numFmtId="0" fontId="55" fillId="10" borderId="18" xfId="2" applyFont="1" applyFill="1" applyBorder="1" applyAlignment="1">
      <alignment horizontal="center" vertical="center"/>
    </xf>
    <xf numFmtId="0" fontId="55" fillId="10" borderId="19" xfId="2" applyFont="1" applyFill="1" applyBorder="1" applyAlignment="1">
      <alignment horizontal="center" vertical="center"/>
    </xf>
    <xf numFmtId="0" fontId="28" fillId="10" borderId="74" xfId="2" applyFont="1" applyFill="1" applyBorder="1" applyAlignment="1">
      <alignment vertical="center"/>
    </xf>
    <xf numFmtId="0" fontId="54" fillId="0" borderId="8" xfId="2" applyFont="1" applyBorder="1" applyAlignment="1">
      <alignment vertical="center"/>
    </xf>
    <xf numFmtId="0" fontId="54" fillId="0" borderId="9" xfId="2" applyFont="1" applyBorder="1" applyAlignment="1">
      <alignment vertical="center"/>
    </xf>
    <xf numFmtId="0" fontId="54" fillId="0" borderId="20" xfId="2" applyFont="1" applyBorder="1" applyAlignment="1">
      <alignment vertical="center"/>
    </xf>
    <xf numFmtId="0" fontId="54" fillId="0" borderId="0" xfId="2" applyFont="1" applyAlignment="1">
      <alignment vertical="center"/>
    </xf>
    <xf numFmtId="0" fontId="54" fillId="0" borderId="11" xfId="2" applyFont="1" applyBorder="1" applyAlignment="1">
      <alignment vertical="center"/>
    </xf>
    <xf numFmtId="0" fontId="39" fillId="0" borderId="0" xfId="2" applyFont="1" applyAlignment="1">
      <alignment horizontal="center" vertical="center"/>
    </xf>
    <xf numFmtId="0" fontId="2" fillId="0" borderId="0" xfId="5" applyAlignment="1">
      <alignment horizontal="center"/>
    </xf>
    <xf numFmtId="0" fontId="58" fillId="0" borderId="0" xfId="0" applyFont="1" applyAlignment="1"/>
  </cellXfs>
  <cellStyles count="7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3" xfId="5" xr:uid="{00000000-0005-0000-0000-000004000000}"/>
    <cellStyle name="Normal 4" xfId="6" xr:uid="{22A61C81-2134-44D0-BD03-92E0A72C8153}"/>
    <cellStyle name="Normal_C909 Spring Stiffness for Tunnel Section" xfId="3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628523</xdr:colOff>
      <xdr:row>8</xdr:row>
      <xdr:rowOff>2079</xdr:rowOff>
    </xdr:from>
    <xdr:to>
      <xdr:col>25</xdr:col>
      <xdr:colOff>171562</xdr:colOff>
      <xdr:row>13</xdr:row>
      <xdr:rowOff>8284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632333" y="1373679"/>
          <a:ext cx="4774169" cy="865360"/>
        </a:xfrm>
        <a:prstGeom prst="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 w="127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0</xdr:col>
      <xdr:colOff>318299</xdr:colOff>
      <xdr:row>9</xdr:row>
      <xdr:rowOff>143441</xdr:rowOff>
    </xdr:from>
    <xdr:to>
      <xdr:col>26</xdr:col>
      <xdr:colOff>534018</xdr:colOff>
      <xdr:row>30</xdr:row>
      <xdr:rowOff>147808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22109" y="1654330"/>
          <a:ext cx="5646762" cy="3534220"/>
          <a:chOff x="319293" y="1790078"/>
          <a:chExt cx="5418933" cy="385165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 bwMode="auto">
          <a:xfrm>
            <a:off x="1162666" y="4825742"/>
            <a:ext cx="101806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 bwMode="auto">
          <a:xfrm>
            <a:off x="646043" y="2397679"/>
            <a:ext cx="4584624" cy="2355876"/>
          </a:xfrm>
          <a:prstGeom prst="rect">
            <a:avLst/>
          </a:prstGeom>
          <a:blipFill>
            <a:blip xmlns:r="http://schemas.openxmlformats.org/officeDocument/2006/relationships" r:embed="rId2"/>
            <a:tile tx="0" ty="0" sx="100000" sy="100000" flip="none" algn="tl"/>
          </a:blipFill>
          <a:ln w="12700" cap="flat" cmpd="sng" algn="ctr">
            <a:noFill/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1164981" y="2366806"/>
            <a:ext cx="3356502" cy="2461637"/>
            <a:chOff x="1154558" y="1971737"/>
            <a:chExt cx="3336245" cy="2448368"/>
          </a:xfrm>
        </xdr:grpSpPr>
        <xdr:sp macro="" textlink="">
          <xdr:nvSpPr>
            <xdr:cNvPr id="26" name="Line 9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797" y="1979544"/>
              <a:ext cx="7614" cy="2440561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9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4448588" y="1971737"/>
              <a:ext cx="14281" cy="241921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101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69125" y="2022541"/>
              <a:ext cx="3255368" cy="7288"/>
            </a:xfrm>
            <a:prstGeom prst="line">
              <a:avLst/>
            </a:prstGeom>
            <a:noFill/>
            <a:ln w="762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10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154558" y="4400674"/>
              <a:ext cx="3336245" cy="12141"/>
            </a:xfrm>
            <a:prstGeom prst="line">
              <a:avLst/>
            </a:prstGeom>
            <a:noFill/>
            <a:ln w="9525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  <xdr:txBody>
            <a:bodyPr/>
            <a:lstStyle/>
            <a:p>
              <a:endParaRPr lang="en-SG"/>
            </a:p>
          </xdr:txBody>
        </xdr:sp>
        <xdr:sp macro="" textlink="">
          <xdr:nvSpPr>
            <xdr:cNvPr id="30" name="Line 101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10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4998404" y="2213053"/>
            <a:ext cx="739822" cy="252773"/>
            <a:chOff x="4948006" y="4339024"/>
            <a:chExt cx="739822" cy="253684"/>
          </a:xfrm>
        </xdr:grpSpPr>
        <xdr:sp macro="" textlink="">
          <xdr:nvSpPr>
            <xdr:cNvPr id="24" name="AutoShape 126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>
              <a:spLocks noChangeArrowheads="1"/>
            </xdr:cNvSpPr>
          </xdr:nvSpPr>
          <xdr:spPr bwMode="auto">
            <a:xfrm rot="10800000">
              <a:off x="4948006" y="4383799"/>
              <a:ext cx="118786" cy="93560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Text Box 14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5269949" y="4339024"/>
              <a:ext cx="417879" cy="25368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none" lIns="9144" tIns="18288" rIns="0" bIns="0" anchor="t" upright="1">
              <a:noAutofit/>
            </a:bodyPr>
            <a:lstStyle/>
            <a:p>
              <a:pPr algn="l" rtl="0">
                <a:defRPr sz="1000"/>
              </a:pPr>
              <a:r>
                <a:rPr lang="en-SG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SHD Roof </a:t>
              </a:r>
            </a:p>
          </xdr:txBody>
        </xdr:sp>
      </xdr:grpSp>
      <xdr:sp macro="" textlink="">
        <xdr:nvSpPr>
          <xdr:cNvPr id="8" name="Line 11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6806" y="2374933"/>
            <a:ext cx="4600428" cy="29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11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637532" y="4763454"/>
            <a:ext cx="4597814" cy="297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/>
          <a:lstStyle/>
          <a:p>
            <a:endParaRPr lang="en-SG"/>
          </a:p>
        </xdr:txBody>
      </xdr:sp>
      <xdr:sp macro="" textlink="">
        <xdr:nvSpPr>
          <xdr:cNvPr id="10" name="Text Box 147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81928" y="4479433"/>
            <a:ext cx="419844" cy="2527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SHD Base Slab</a:t>
            </a:r>
          </a:p>
        </xdr:txBody>
      </xdr:sp>
      <xdr:sp macro="" textlink="">
        <xdr:nvSpPr>
          <xdr:cNvPr id="11" name="AutoShape 126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 rot="10800000">
            <a:off x="4995370" y="4638201"/>
            <a:ext cx="104187" cy="109816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12" name="Text Box 147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158" y="3097048"/>
            <a:ext cx="356391" cy="211408"/>
          </a:xfrm>
          <a:prstGeom prst="rect">
            <a:avLst/>
          </a:prstGeom>
          <a:noFill/>
          <a:ln w="9525">
            <a:solidFill>
              <a:schemeClr val="bg1">
                <a:lumMod val="50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1200" b="1" i="0" u="none" strike="noStrike" baseline="0">
                <a:ln>
                  <a:noFill/>
                </a:ln>
                <a:solidFill>
                  <a:sysClr val="windowText" lastClr="000000"/>
                </a:solidFill>
                <a:latin typeface="Arial"/>
                <a:cs typeface="Arial"/>
              </a:rPr>
              <a:t>UMC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 bwMode="auto">
          <a:xfrm>
            <a:off x="2800041" y="4825741"/>
            <a:ext cx="102963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 bwMode="auto">
          <a:xfrm>
            <a:off x="4398468" y="4850423"/>
            <a:ext cx="107589" cy="791308"/>
          </a:xfrm>
          <a:prstGeom prst="rect">
            <a:avLst/>
          </a:prstGeom>
          <a:solidFill>
            <a:schemeClr val="tx1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 bwMode="auto">
          <a:xfrm flipV="1">
            <a:off x="933047" y="5312019"/>
            <a:ext cx="229155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 bwMode="auto">
          <a:xfrm flipH="1">
            <a:off x="1276746" y="5317032"/>
            <a:ext cx="183174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 bwMode="auto">
          <a:xfrm flipV="1">
            <a:off x="2548760" y="5325157"/>
            <a:ext cx="229155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CxnSpPr/>
        </xdr:nvCxnSpPr>
        <xdr:spPr bwMode="auto">
          <a:xfrm flipH="1">
            <a:off x="2907498" y="5325157"/>
            <a:ext cx="183173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 bwMode="auto">
          <a:xfrm flipV="1">
            <a:off x="4165857" y="5317032"/>
            <a:ext cx="225697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 bwMode="auto">
          <a:xfrm flipH="1">
            <a:off x="4511111" y="5312019"/>
            <a:ext cx="183173" cy="1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22" idx="1"/>
          </xdr:cNvCxnSpPr>
        </xdr:nvCxnSpPr>
        <xdr:spPr bwMode="auto">
          <a:xfrm flipH="1" flipV="1">
            <a:off x="3055327" y="4945674"/>
            <a:ext cx="129439" cy="8036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22" name="Text Box 147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84766" y="4899656"/>
            <a:ext cx="419844" cy="2527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8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1100mm Thick </a:t>
            </a:r>
          </a:p>
          <a:p>
            <a:pPr algn="l" rtl="0">
              <a:defRPr sz="1000"/>
            </a:pPr>
            <a:r>
              <a:rPr lang="en-SG" sz="800" b="1" i="0" u="none" strike="noStrike" baseline="0">
                <a:solidFill>
                  <a:srgbClr val="FF0000"/>
                </a:solidFill>
                <a:latin typeface="Arial"/>
                <a:cs typeface="Arial"/>
              </a:rPr>
              <a:t>Drop Slab</a:t>
            </a:r>
          </a:p>
        </xdr:txBody>
      </xdr:sp>
      <xdr:sp macro="" textlink="">
        <xdr:nvSpPr>
          <xdr:cNvPr id="23" name="Text Box 147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9293" y="1790078"/>
            <a:ext cx="356391" cy="211408"/>
          </a:xfrm>
          <a:prstGeom prst="rect">
            <a:avLst/>
          </a:prstGeom>
          <a:noFill/>
          <a:ln w="9525">
            <a:solidFill>
              <a:schemeClr val="bg1">
                <a:lumMod val="50000"/>
              </a:schemeClr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  <xdr:txBody>
          <a:bodyPr wrap="none" lIns="9144" tIns="18288" rIns="0" bIns="0" anchor="t" upright="1">
            <a:noAutofit/>
          </a:bodyPr>
          <a:lstStyle/>
          <a:p>
            <a:pPr algn="l" rtl="0">
              <a:defRPr sz="1000"/>
            </a:pPr>
            <a:r>
              <a:rPr lang="en-SG" sz="1200" b="1" i="0" u="none" strike="noStrike" baseline="0">
                <a:ln>
                  <a:noFill/>
                </a:ln>
                <a:solidFill>
                  <a:sysClr val="windowText" lastClr="000000"/>
                </a:solidFill>
                <a:latin typeface="Arial"/>
                <a:cs typeface="Arial"/>
              </a:rPr>
              <a:t>FILL</a:t>
            </a:r>
          </a:p>
        </xdr:txBody>
      </xdr:sp>
    </xdr:grpSp>
    <xdr:clientData/>
  </xdr:twoCellAnchor>
  <xdr:twoCellAnchor editAs="oneCell">
    <xdr:from>
      <xdr:col>10</xdr:col>
      <xdr:colOff>21178</xdr:colOff>
      <xdr:row>89</xdr:row>
      <xdr:rowOff>35442</xdr:rowOff>
    </xdr:from>
    <xdr:to>
      <xdr:col>11</xdr:col>
      <xdr:colOff>60548</xdr:colOff>
      <xdr:row>90</xdr:row>
      <xdr:rowOff>21468</xdr:rowOff>
    </xdr:to>
    <xdr:sp macro="" textlink="$S$81">
      <xdr:nvSpPr>
        <xdr:cNvPr id="32" name="Text Box 59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398618" y="15294492"/>
          <a:ext cx="213360" cy="1543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E0433DD8-B147-4D5D-9AFD-CC7804B90173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4</xdr:col>
      <xdr:colOff>133206</xdr:colOff>
      <xdr:row>459</xdr:row>
      <xdr:rowOff>88731</xdr:rowOff>
    </xdr:from>
    <xdr:ext cx="37767" cy="136384"/>
    <xdr:sp macro="" textlink="$O$458">
      <xdr:nvSpPr>
        <xdr:cNvPr id="33" name="Text Box 92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375266" y="75387666"/>
          <a:ext cx="37767" cy="13638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fld id="{960D965A-DDE9-422F-BF17-6D9AFE0D7C74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21</xdr:col>
      <xdr:colOff>104131</xdr:colOff>
      <xdr:row>459</xdr:row>
      <xdr:rowOff>104058</xdr:rowOff>
    </xdr:from>
    <xdr:to>
      <xdr:col>23</xdr:col>
      <xdr:colOff>60087</xdr:colOff>
      <xdr:row>460</xdr:row>
      <xdr:rowOff>73166</xdr:rowOff>
    </xdr:to>
    <xdr:sp macro="" textlink="$O$458">
      <xdr:nvSpPr>
        <xdr:cNvPr id="34" name="Text Box 929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 noTextEdit="1"/>
        </xdr:cNvSpPr>
      </xdr:nvSpPr>
      <xdr:spPr bwMode="auto">
        <a:xfrm>
          <a:off x="4578976" y="75397278"/>
          <a:ext cx="338861" cy="1430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5217A19A-A97A-4CC7-9068-AD52A197CFAC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</xdr:col>
      <xdr:colOff>156042</xdr:colOff>
      <xdr:row>596</xdr:row>
      <xdr:rowOff>0</xdr:rowOff>
    </xdr:from>
    <xdr:to>
      <xdr:col>4</xdr:col>
      <xdr:colOff>169358</xdr:colOff>
      <xdr:row>597</xdr:row>
      <xdr:rowOff>2491</xdr:rowOff>
    </xdr:to>
    <xdr:sp macro="" textlink="$O$569">
      <xdr:nvSpPr>
        <xdr:cNvPr id="35" name="Text Box 127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98783775"/>
          <a:ext cx="397491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76201</xdr:colOff>
      <xdr:row>577</xdr:row>
      <xdr:rowOff>0</xdr:rowOff>
    </xdr:from>
    <xdr:to>
      <xdr:col>5</xdr:col>
      <xdr:colOff>15558</xdr:colOff>
      <xdr:row>578</xdr:row>
      <xdr:rowOff>2374</xdr:rowOff>
    </xdr:to>
    <xdr:sp macro="" textlink="$O$568">
      <xdr:nvSpPr>
        <xdr:cNvPr id="36" name="Text Box 368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95526225"/>
          <a:ext cx="320992" cy="171450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171450</xdr:colOff>
      <xdr:row>578</xdr:row>
      <xdr:rowOff>76200</xdr:rowOff>
    </xdr:from>
    <xdr:to>
      <xdr:col>6</xdr:col>
      <xdr:colOff>130175</xdr:colOff>
      <xdr:row>579</xdr:row>
      <xdr:rowOff>55251</xdr:rowOff>
    </xdr:to>
    <xdr:sp macro="" textlink="$AH$515">
      <xdr:nvSpPr>
        <xdr:cNvPr id="37" name="Text Box 3684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95773875"/>
          <a:ext cx="537210" cy="1524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twoCellAnchor>
  <xdr:oneCellAnchor>
    <xdr:from>
      <xdr:col>22</xdr:col>
      <xdr:colOff>13278</xdr:colOff>
      <xdr:row>131</xdr:row>
      <xdr:rowOff>0</xdr:rowOff>
    </xdr:from>
    <xdr:ext cx="54117" cy="165943"/>
    <xdr:sp macro="" textlink="#REF!">
      <xdr:nvSpPr>
        <xdr:cNvPr id="38" name="Text Box 408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 noTextEdit="1"/>
        </xdr:cNvSpPr>
      </xdr:nvSpPr>
      <xdr:spPr bwMode="auto">
        <a:xfrm>
          <a:off x="4684338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932AE341-E8AA-4AD2-AC60-5E52F756B366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176236</xdr:colOff>
      <xdr:row>131</xdr:row>
      <xdr:rowOff>0</xdr:rowOff>
    </xdr:from>
    <xdr:ext cx="54117" cy="165943"/>
    <xdr:sp macro="" textlink="#REF!">
      <xdr:nvSpPr>
        <xdr:cNvPr id="39" name="Text Box 408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 noTextEdit="1"/>
        </xdr:cNvSpPr>
      </xdr:nvSpPr>
      <xdr:spPr bwMode="auto">
        <a:xfrm>
          <a:off x="1220176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B4DA7310-C917-46DE-BFD5-CEAFEDE21CBC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24</xdr:col>
      <xdr:colOff>108746</xdr:colOff>
      <xdr:row>131</xdr:row>
      <xdr:rowOff>0</xdr:rowOff>
    </xdr:from>
    <xdr:ext cx="54117" cy="165943"/>
    <xdr:sp macro="" textlink="#REF!">
      <xdr:nvSpPr>
        <xdr:cNvPr id="40" name="Text Box 4088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 noTextEdit="1"/>
        </xdr:cNvSpPr>
      </xdr:nvSpPr>
      <xdr:spPr bwMode="auto">
        <a:xfrm>
          <a:off x="5155091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EB0C6651-0E71-460C-9512-B53EDB5D4F5F}" type="TxLink"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352258</xdr:colOff>
      <xdr:row>131</xdr:row>
      <xdr:rowOff>0</xdr:rowOff>
    </xdr:from>
    <xdr:ext cx="54117" cy="165943"/>
    <xdr:sp macro="" textlink="#REF!">
      <xdr:nvSpPr>
        <xdr:cNvPr id="41" name="Text Box 4089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163" y="21774150"/>
          <a:ext cx="54117" cy="1659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fld id="{7955F13B-DDDD-484D-A8A9-2EC31C682EE0}" type="TxLink"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9</xdr:col>
      <xdr:colOff>77391</xdr:colOff>
      <xdr:row>565</xdr:row>
      <xdr:rowOff>0</xdr:rowOff>
    </xdr:from>
    <xdr:to>
      <xdr:col>11</xdr:col>
      <xdr:colOff>15796</xdr:colOff>
      <xdr:row>566</xdr:row>
      <xdr:rowOff>2381</xdr:rowOff>
    </xdr:to>
    <xdr:sp macro="" textlink="#REF!">
      <xdr:nvSpPr>
        <xdr:cNvPr id="42" name="Text Box 3679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93468825"/>
          <a:ext cx="320040" cy="1714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16</xdr:col>
      <xdr:colOff>19016</xdr:colOff>
      <xdr:row>565</xdr:row>
      <xdr:rowOff>0</xdr:rowOff>
    </xdr:from>
    <xdr:to>
      <xdr:col>17</xdr:col>
      <xdr:colOff>135379</xdr:colOff>
      <xdr:row>566</xdr:row>
      <xdr:rowOff>2382</xdr:rowOff>
    </xdr:to>
    <xdr:sp macro="" textlink="#REF!">
      <xdr:nvSpPr>
        <xdr:cNvPr id="43" name="Text Box 367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93468825"/>
          <a:ext cx="298608" cy="171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-394932</xdr:colOff>
      <xdr:row>38</xdr:row>
      <xdr:rowOff>0</xdr:rowOff>
    </xdr:from>
    <xdr:to>
      <xdr:col>0</xdr:col>
      <xdr:colOff>-394932</xdr:colOff>
      <xdr:row>38</xdr:row>
      <xdr:rowOff>0</xdr:rowOff>
    </xdr:to>
    <xdr:grpSp>
      <xdr:nvGrpSpPr>
        <xdr:cNvPr id="44" name="Group 15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>
          <a:grpSpLocks/>
        </xdr:cNvGrpSpPr>
      </xdr:nvGrpSpPr>
      <xdr:grpSpPr bwMode="auto">
        <a:xfrm>
          <a:off x="-398742" y="6387353"/>
          <a:ext cx="0" cy="0"/>
          <a:chOff x="133" y="533"/>
          <a:chExt cx="0" cy="28"/>
        </a:xfrm>
        <a:noFill/>
      </xdr:grpSpPr>
      <xdr:sp macro="" textlink="">
        <xdr:nvSpPr>
          <xdr:cNvPr id="45" name="Line 156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33" y="533"/>
            <a:ext cx="0" cy="12"/>
          </a:xfrm>
          <a:prstGeom prst="line">
            <a:avLst/>
          </a:prstGeom>
          <a:grpFill/>
          <a:ln w="9525">
            <a:solidFill>
              <a:srgbClr val="C00000"/>
            </a:solidFill>
            <a:round/>
            <a:headEnd/>
            <a:tailEnd type="arrow" w="sm" len="sm"/>
          </a:ln>
        </xdr:spPr>
      </xdr:sp>
      <xdr:sp macro="" textlink="">
        <xdr:nvSpPr>
          <xdr:cNvPr id="46" name="Line 157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33" y="550"/>
            <a:ext cx="0" cy="11"/>
          </a:xfrm>
          <a:prstGeom prst="line">
            <a:avLst/>
          </a:prstGeom>
          <a:grpFill/>
          <a:ln w="9525">
            <a:solidFill>
              <a:srgbClr val="C00000"/>
            </a:solidFill>
            <a:round/>
            <a:headEnd/>
            <a:tailEnd type="arrow" w="sm" len="sm"/>
          </a:ln>
        </xdr:spPr>
      </xdr:sp>
    </xdr:grpSp>
    <xdr:clientData/>
  </xdr:twoCellAnchor>
  <xdr:twoCellAnchor editAs="oneCell">
    <xdr:from>
      <xdr:col>15</xdr:col>
      <xdr:colOff>83343</xdr:colOff>
      <xdr:row>89</xdr:row>
      <xdr:rowOff>29766</xdr:rowOff>
    </xdr:from>
    <xdr:to>
      <xdr:col>16</xdr:col>
      <xdr:colOff>131445</xdr:colOff>
      <xdr:row>90</xdr:row>
      <xdr:rowOff>22777</xdr:rowOff>
    </xdr:to>
    <xdr:sp macro="" textlink="#REF!">
      <xdr:nvSpPr>
        <xdr:cNvPr id="47" name="Text Box 59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418998" y="15286911"/>
          <a:ext cx="236697" cy="163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7809057A-A114-4ED8-B205-0C6E71ED50E8}" type="TxLink">
            <a:rPr lang="en-US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9</xdr:col>
      <xdr:colOff>77391</xdr:colOff>
      <xdr:row>608</xdr:row>
      <xdr:rowOff>9594</xdr:rowOff>
    </xdr:from>
    <xdr:ext cx="299671" cy="183173"/>
    <xdr:sp macro="" textlink="#REF!">
      <xdr:nvSpPr>
        <xdr:cNvPr id="48" name="Text Box 3679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08526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615</xdr:row>
      <xdr:rowOff>48715</xdr:rowOff>
    </xdr:from>
    <xdr:ext cx="295091" cy="183173"/>
    <xdr:sp macro="" textlink="#REF!">
      <xdr:nvSpPr>
        <xdr:cNvPr id="49" name="Text Box 3679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20919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633</xdr:row>
      <xdr:rowOff>9594</xdr:rowOff>
    </xdr:from>
    <xdr:ext cx="299671" cy="183173"/>
    <xdr:sp macro="" textlink="#REF!">
      <xdr:nvSpPr>
        <xdr:cNvPr id="50" name="Text Box 367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5138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619</xdr:row>
      <xdr:rowOff>48715</xdr:rowOff>
    </xdr:from>
    <xdr:ext cx="295091" cy="183173"/>
    <xdr:sp macro="" textlink="#REF!">
      <xdr:nvSpPr>
        <xdr:cNvPr id="51" name="Text Box 3679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2777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654</xdr:row>
      <xdr:rowOff>9594</xdr:rowOff>
    </xdr:from>
    <xdr:ext cx="299671" cy="183173"/>
    <xdr:sp macro="" textlink="#REF!">
      <xdr:nvSpPr>
        <xdr:cNvPr id="52" name="Text Box 3679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739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660</xdr:row>
      <xdr:rowOff>48715</xdr:rowOff>
    </xdr:from>
    <xdr:ext cx="295091" cy="183173"/>
    <xdr:sp macro="" textlink="#REF!">
      <xdr:nvSpPr>
        <xdr:cNvPr id="53" name="Text Box 3679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807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676</xdr:row>
      <xdr:rowOff>9594</xdr:rowOff>
    </xdr:from>
    <xdr:ext cx="299671" cy="183173"/>
    <xdr:sp macro="" textlink="#REF!">
      <xdr:nvSpPr>
        <xdr:cNvPr id="54" name="Text Box 3679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5112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682</xdr:row>
      <xdr:rowOff>48715</xdr:rowOff>
    </xdr:from>
    <xdr:ext cx="295091" cy="183173"/>
    <xdr:sp macro="" textlink="#REF!">
      <xdr:nvSpPr>
        <xdr:cNvPr id="55" name="Text Box 3679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579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678</xdr:row>
      <xdr:rowOff>0</xdr:rowOff>
    </xdr:from>
    <xdr:ext cx="175846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3143250" y="1128426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636806</xdr:colOff>
      <xdr:row>7</xdr:row>
      <xdr:rowOff>177362</xdr:rowOff>
    </xdr:from>
    <xdr:to>
      <xdr:col>26</xdr:col>
      <xdr:colOff>13138</xdr:colOff>
      <xdr:row>7</xdr:row>
      <xdr:rowOff>180337</xdr:rowOff>
    </xdr:to>
    <xdr:sp macro="" textlink="">
      <xdr:nvSpPr>
        <xdr:cNvPr id="57" name="Line 11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ShapeType="1"/>
        </xdr:cNvSpPr>
      </xdr:nvSpPr>
      <xdr:spPr bwMode="auto">
        <a:xfrm flipV="1">
          <a:off x="634901" y="1373702"/>
          <a:ext cx="481129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139388</xdr:colOff>
      <xdr:row>7</xdr:row>
      <xdr:rowOff>55755</xdr:rowOff>
    </xdr:from>
    <xdr:to>
      <xdr:col>25</xdr:col>
      <xdr:colOff>60402</xdr:colOff>
      <xdr:row>7</xdr:row>
      <xdr:rowOff>165571</xdr:rowOff>
    </xdr:to>
    <xdr:sp macro="" textlink="">
      <xdr:nvSpPr>
        <xdr:cNvPr id="58" name="AutoShape 126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/>
        </xdr:cNvSpPr>
      </xdr:nvSpPr>
      <xdr:spPr bwMode="auto">
        <a:xfrm rot="10800000">
          <a:off x="5183828" y="1259715"/>
          <a:ext cx="111514" cy="109816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35096</xdr:colOff>
      <xdr:row>15</xdr:row>
      <xdr:rowOff>115235</xdr:rowOff>
    </xdr:from>
    <xdr:to>
      <xdr:col>9</xdr:col>
      <xdr:colOff>129886</xdr:colOff>
      <xdr:row>15</xdr:row>
      <xdr:rowOff>115235</xdr:rowOff>
    </xdr:to>
    <xdr:sp macro="" textlink="">
      <xdr:nvSpPr>
        <xdr:cNvPr id="59" name="Line 20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ShapeType="1"/>
        </xdr:cNvSpPr>
      </xdr:nvSpPr>
      <xdr:spPr bwMode="auto">
        <a:xfrm>
          <a:off x="1273346" y="2686985"/>
          <a:ext cx="1051100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19881</xdr:colOff>
      <xdr:row>15</xdr:row>
      <xdr:rowOff>116347</xdr:rowOff>
    </xdr:from>
    <xdr:to>
      <xdr:col>15</xdr:col>
      <xdr:colOff>164521</xdr:colOff>
      <xdr:row>15</xdr:row>
      <xdr:rowOff>116347</xdr:rowOff>
    </xdr:to>
    <xdr:sp macro="" textlink="">
      <xdr:nvSpPr>
        <xdr:cNvPr id="60" name="Line 208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ShapeType="1"/>
        </xdr:cNvSpPr>
      </xdr:nvSpPr>
      <xdr:spPr bwMode="auto">
        <a:xfrm>
          <a:off x="2397321" y="2688097"/>
          <a:ext cx="1104760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46726</xdr:colOff>
      <xdr:row>15</xdr:row>
      <xdr:rowOff>117213</xdr:rowOff>
    </xdr:from>
    <xdr:to>
      <xdr:col>21</xdr:col>
      <xdr:colOff>168852</xdr:colOff>
      <xdr:row>15</xdr:row>
      <xdr:rowOff>117213</xdr:rowOff>
    </xdr:to>
    <xdr:sp macro="" textlink="">
      <xdr:nvSpPr>
        <xdr:cNvPr id="61" name="Line 208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ShapeType="1"/>
        </xdr:cNvSpPr>
      </xdr:nvSpPr>
      <xdr:spPr bwMode="auto">
        <a:xfrm>
          <a:off x="3572881" y="2688963"/>
          <a:ext cx="1076531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44186</xdr:colOff>
      <xdr:row>14</xdr:row>
      <xdr:rowOff>99534</xdr:rowOff>
    </xdr:from>
    <xdr:to>
      <xdr:col>7</xdr:col>
      <xdr:colOff>183930</xdr:colOff>
      <xdr:row>15</xdr:row>
      <xdr:rowOff>91965</xdr:rowOff>
    </xdr:to>
    <xdr:sp macro="" textlink="">
      <xdr:nvSpPr>
        <xdr:cNvPr id="62" name="Text Box 209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 flipH="1">
          <a:off x="1665341" y="2496024"/>
          <a:ext cx="326434" cy="171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noAutofit/>
        </a:bodyPr>
        <a:lstStyle/>
        <a:p>
          <a:pPr algn="l" rtl="0">
            <a:defRPr sz="1000"/>
          </a:pPr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27618</xdr:colOff>
      <xdr:row>15</xdr:row>
      <xdr:rowOff>121094</xdr:rowOff>
    </xdr:from>
    <xdr:to>
      <xdr:col>23</xdr:col>
      <xdr:colOff>78829</xdr:colOff>
      <xdr:row>15</xdr:row>
      <xdr:rowOff>121094</xdr:rowOff>
    </xdr:to>
    <xdr:sp macro="" textlink="">
      <xdr:nvSpPr>
        <xdr:cNvPr id="65" name="Line 20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ShapeType="1"/>
        </xdr:cNvSpPr>
      </xdr:nvSpPr>
      <xdr:spPr bwMode="auto">
        <a:xfrm>
          <a:off x="4692963" y="2694749"/>
          <a:ext cx="243616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116158</xdr:colOff>
      <xdr:row>15</xdr:row>
      <xdr:rowOff>121360</xdr:rowOff>
    </xdr:from>
    <xdr:to>
      <xdr:col>3</xdr:col>
      <xdr:colOff>153963</xdr:colOff>
      <xdr:row>15</xdr:row>
      <xdr:rowOff>121360</xdr:rowOff>
    </xdr:to>
    <xdr:sp macro="" textlink="">
      <xdr:nvSpPr>
        <xdr:cNvPr id="69" name="Line 20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ShapeType="1"/>
        </xdr:cNvSpPr>
      </xdr:nvSpPr>
      <xdr:spPr bwMode="auto">
        <a:xfrm>
          <a:off x="973408" y="2695015"/>
          <a:ext cx="228305" cy="0"/>
        </a:xfrm>
        <a:prstGeom prst="line">
          <a:avLst/>
        </a:prstGeom>
        <a:noFill/>
        <a:ln w="9525">
          <a:solidFill>
            <a:schemeClr val="tx1"/>
          </a:solidFill>
          <a:round/>
          <a:headEnd type="none" w="sm" len="sm"/>
          <a:tailEnd type="arrow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103722</xdr:colOff>
      <xdr:row>11</xdr:row>
      <xdr:rowOff>19609</xdr:rowOff>
    </xdr:from>
    <xdr:to>
      <xdr:col>6</xdr:col>
      <xdr:colOff>111690</xdr:colOff>
      <xdr:row>28</xdr:row>
      <xdr:rowOff>3660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1345670" y="1864770"/>
          <a:ext cx="390873" cy="2845361"/>
          <a:chOff x="1230142" y="2361669"/>
          <a:chExt cx="365265" cy="3070445"/>
        </a:xfrm>
      </xdr:grpSpPr>
      <xdr:sp macro="" textlink="">
        <xdr:nvSpPr>
          <xdr:cNvPr id="72" name="Line 208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00425" y="2773113"/>
            <a:ext cx="18817" cy="2305337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ine 208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16094" y="2510476"/>
            <a:ext cx="1608" cy="196685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none" w="sm" len="sm"/>
            <a:tailEnd type="arrow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$AC$21">
        <xdr:nvSpPr>
          <xdr:cNvPr id="74" name="Text Box 209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>
            <a:spLocks noChangeArrowheads="1"/>
          </xdr:cNvSpPr>
        </xdr:nvSpPr>
        <xdr:spPr bwMode="auto">
          <a:xfrm rot="16200000" flipH="1">
            <a:off x="1159155" y="2432656"/>
            <a:ext cx="315613" cy="173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="vert270" wrap="none" lIns="9144" tIns="18288" rIns="0" bIns="0" anchor="b" anchorCtr="0" upright="1">
            <a:noAutofit/>
          </a:bodyPr>
          <a:lstStyle/>
          <a:p>
            <a:pPr algn="l" rtl="0">
              <a:defRPr sz="1000"/>
            </a:pPr>
            <a:fld id="{B051DBCE-A7B4-422F-AE94-5A334E314FC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AC$22">
        <xdr:nvSpPr>
          <xdr:cNvPr id="76" name="Text Box 209">
            <a:extLst>
              <a:ext uri="{FF2B5EF4-FFF2-40B4-BE49-F238E27FC236}">
                <a16:creationId xmlns:a16="http://schemas.microsoft.com/office/drawing/2014/main" id="{00000000-0008-0000-0000-00004C000000}"/>
              </a:ext>
            </a:extLst>
          </xdr:cNvPr>
          <xdr:cNvSpPr txBox="1">
            <a:spLocks noChangeArrowheads="1"/>
          </xdr:cNvSpPr>
        </xdr:nvSpPr>
        <xdr:spPr bwMode="auto">
          <a:xfrm rot="16200000" flipH="1">
            <a:off x="1349474" y="5186181"/>
            <a:ext cx="318227" cy="17363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="vert270" wrap="none" lIns="9144" tIns="18288" rIns="0" bIns="0" anchor="b" anchorCtr="0" upright="1">
            <a:noAutofit/>
          </a:bodyPr>
          <a:lstStyle/>
          <a:p>
            <a:pPr algn="l" rtl="0">
              <a:defRPr sz="1000"/>
            </a:pPr>
            <a:fld id="{9695C2A5-E723-4902-9B24-36A37EBCA65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77" name="Line 208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399000" y="5139060"/>
            <a:ext cx="0" cy="259989"/>
          </a:xfrm>
          <a:prstGeom prst="line">
            <a:avLst/>
          </a:prstGeom>
          <a:noFill/>
          <a:ln w="9525">
            <a:solidFill>
              <a:schemeClr val="tx1"/>
            </a:solidFill>
            <a:round/>
            <a:headEnd type="arrow" w="sm" len="sm"/>
            <a:tailEnd type="non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53610</xdr:colOff>
      <xdr:row>82</xdr:row>
      <xdr:rowOff>2014</xdr:rowOff>
    </xdr:from>
    <xdr:to>
      <xdr:col>18</xdr:col>
      <xdr:colOff>78829</xdr:colOff>
      <xdr:row>91</xdr:row>
      <xdr:rowOff>319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2063273" y="13785249"/>
          <a:ext cx="1926409" cy="1511099"/>
          <a:chOff x="1974603" y="15401990"/>
          <a:chExt cx="1874054" cy="1673849"/>
        </a:xfrm>
      </xdr:grpSpPr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82" name="Rectangle 728" descr="Light vertical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sp macro="" textlink="">
          <xdr:nvSpPr>
            <xdr:cNvPr id="83" name="Rectangle 728" descr="Light vertical">
              <a:extLs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83860" y="15965745"/>
              <a:ext cx="1720831" cy="119704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84" name="Group 83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85" name="Line 96">
                <a:extLst>
                  <a:ext uri="{FF2B5EF4-FFF2-40B4-BE49-F238E27FC236}">
                    <a16:creationId xmlns:a16="http://schemas.microsoft.com/office/drawing/2014/main" id="{00000000-0008-0000-0000-00005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" name="Line 96">
                <a:extLst>
                  <a:ext uri="{FF2B5EF4-FFF2-40B4-BE49-F238E27FC236}">
                    <a16:creationId xmlns:a16="http://schemas.microsoft.com/office/drawing/2014/main" id="{00000000-0008-0000-0000-00005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" name="Line 101">
                <a:extLst>
                  <a:ext uri="{FF2B5EF4-FFF2-40B4-BE49-F238E27FC236}">
                    <a16:creationId xmlns:a16="http://schemas.microsoft.com/office/drawing/2014/main" id="{00000000-0008-0000-0000-00005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" name="Line 101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9" name="Line 101">
                <a:extLst>
                  <a:ext uri="{FF2B5EF4-FFF2-40B4-BE49-F238E27FC236}">
                    <a16:creationId xmlns:a16="http://schemas.microsoft.com/office/drawing/2014/main" id="{00000000-0008-0000-0000-00005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0" name="Line 101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82">
        <xdr:nvSpPr>
          <xdr:cNvPr id="80" name="Text Box 59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805791" y="16371035"/>
            <a:ext cx="207106" cy="15107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algn="l" rtl="0">
              <a:defRPr sz="1000"/>
            </a:pPr>
            <a:fld id="{E77D5BA2-24A8-4B1E-87E6-7791ED211775}" type="TxLink">
              <a:rPr lang="en-US" sz="800" b="0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pPr algn="l" rtl="0">
                <a:defRPr sz="1000"/>
              </a:pPr>
              <a:t>5.0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  <xdr:sp macro="" textlink="$R$81">
        <xdr:nvSpPr>
          <xdr:cNvPr id="81" name="Text Box 599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85551" y="15401990"/>
            <a:ext cx="207106" cy="15107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7479A41-4079-4C87-9ED8-BAD0568F8229}" type="TxLink">
              <a:rPr lang="en-US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10.0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8</xdr:col>
      <xdr:colOff>93615</xdr:colOff>
      <xdr:row>94</xdr:row>
      <xdr:rowOff>1797</xdr:rowOff>
    </xdr:from>
    <xdr:to>
      <xdr:col>18</xdr:col>
      <xdr:colOff>130899</xdr:colOff>
      <xdr:row>103</xdr:row>
      <xdr:rowOff>35487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2103278" y="15802091"/>
          <a:ext cx="1942284" cy="1546484"/>
          <a:chOff x="1974603" y="15376449"/>
          <a:chExt cx="1874054" cy="1699390"/>
        </a:xfrm>
      </xdr:grpSpPr>
      <xdr:grpSp>
        <xdr:nvGrpSpPr>
          <xdr:cNvPr id="92" name="Group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94" name="Rectangle 728" descr="Light vertical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95" name="Group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96" name="Line 96">
                <a:extLst>
                  <a:ext uri="{FF2B5EF4-FFF2-40B4-BE49-F238E27FC236}">
                    <a16:creationId xmlns:a16="http://schemas.microsoft.com/office/drawing/2014/main" id="{00000000-0008-0000-0000-00006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7" name="Line 96">
                <a:extLst>
                  <a:ext uri="{FF2B5EF4-FFF2-40B4-BE49-F238E27FC236}">
                    <a16:creationId xmlns:a16="http://schemas.microsoft.com/office/drawing/2014/main" id="{00000000-0008-0000-0000-00006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" name="Line 101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" name="Line 101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" name="Line 101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1" name="Line 101">
                <a:extLst>
                  <a:ext uri="{FF2B5EF4-FFF2-40B4-BE49-F238E27FC236}">
                    <a16:creationId xmlns:a16="http://schemas.microsoft.com/office/drawing/2014/main" id="{00000000-0008-0000-0000-00006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94">
        <xdr:nvSpPr>
          <xdr:cNvPr id="93" name="Text Box 599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0660" y="15376449"/>
            <a:ext cx="306578" cy="3362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2FEBAC30-456E-47D5-B5E6-6CFBA882C4E2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101.6</a:t>
            </a:fld>
            <a:endParaRPr lang="en-US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173750</xdr:colOff>
      <xdr:row>123</xdr:row>
      <xdr:rowOff>19915</xdr:rowOff>
    </xdr:from>
    <xdr:to>
      <xdr:col>22</xdr:col>
      <xdr:colOff>167663</xdr:colOff>
      <xdr:row>131</xdr:row>
      <xdr:rowOff>18103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1223293" y="20018605"/>
          <a:ext cx="3621033" cy="1350514"/>
          <a:chOff x="1142227" y="24358863"/>
          <a:chExt cx="3405403" cy="1439256"/>
        </a:xfrm>
      </xdr:grpSpPr>
      <xdr:sp macro="" textlink="">
        <xdr:nvSpPr>
          <xdr:cNvPr id="103" name="Freeform 4016" descr="Light horizontal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/>
          </xdr:cNvSpPr>
        </xdr:nvSpPr>
        <xdr:spPr bwMode="auto">
          <a:xfrm>
            <a:off x="1587505" y="24482234"/>
            <a:ext cx="364670" cy="103514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T$117">
        <xdr:nvSpPr>
          <xdr:cNvPr id="104" name="Text Box 4089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28513" y="25260524"/>
            <a:ext cx="319117" cy="17684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B501D9E3-BE35-4578-9036-B4E581DEE27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136.6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T$114">
        <xdr:nvSpPr>
          <xdr:cNvPr id="105" name="Text Box 4089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82794" y="24409681"/>
            <a:ext cx="319790" cy="1718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099D145D-A7B9-48BB-B301-F630EC69759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105.1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06" name="Group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10" name="Line 96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1" name="Line 96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2" name="Line 101">
              <a:extLst>
                <a:ext uri="{FF2B5EF4-FFF2-40B4-BE49-F238E27FC236}">
                  <a16:creationId xmlns:a16="http://schemas.microsoft.com/office/drawing/2014/main" id="{00000000-0008-0000-0000-000070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" name="Line 101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" name="Line 101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" name="Line 10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7" name="Freeform 4016" descr="Light horizontal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/>
          </xdr:cNvSpPr>
        </xdr:nvSpPr>
        <xdr:spPr bwMode="auto">
          <a:xfrm flipH="1">
            <a:off x="3911684" y="24459302"/>
            <a:ext cx="339532" cy="1014053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T$120">
        <xdr:nvSpPr>
          <xdr:cNvPr id="108" name="Text Box 408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4320" y="24358863"/>
            <a:ext cx="319790" cy="17186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4833AC0C-A9E1-430A-BAAF-8EDB13F3F342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105.1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T$123">
        <xdr:nvSpPr>
          <xdr:cNvPr id="109" name="Text Box 4089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142227" y="25313281"/>
            <a:ext cx="319117" cy="17684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BDDAA74-71A6-4F1C-902F-C83449BAFE3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136.6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19685</xdr:colOff>
      <xdr:row>134</xdr:row>
      <xdr:rowOff>38100</xdr:rowOff>
    </xdr:from>
    <xdr:to>
      <xdr:col>18</xdr:col>
      <xdr:colOff>60779</xdr:colOff>
      <xdr:row>143</xdr:row>
      <xdr:rowOff>38100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2021728" y="21889571"/>
          <a:ext cx="1946094" cy="1512794"/>
          <a:chOff x="1974603" y="15376912"/>
          <a:chExt cx="1874054" cy="1698927"/>
        </a:xfrm>
      </xdr:grpSpPr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1974603" y="15556293"/>
            <a:ext cx="1874054" cy="1519546"/>
            <a:chOff x="1943132" y="15020038"/>
            <a:chExt cx="1820681" cy="1476848"/>
          </a:xfrm>
        </xdr:grpSpPr>
        <xdr:sp macro="" textlink="">
          <xdr:nvSpPr>
            <xdr:cNvPr id="119" name="Rectangle 728" descr="Light vertical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3132" y="15020038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121" name="Line 96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2" name="Line 96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01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" name="Line 101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01">
                <a:extLst>
                  <a:ext uri="{FF2B5EF4-FFF2-40B4-BE49-F238E27FC236}">
                    <a16:creationId xmlns:a16="http://schemas.microsoft.com/office/drawing/2014/main" id="{00000000-0008-0000-0000-00007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6" name="Line 101">
                <a:extLst>
                  <a:ext uri="{FF2B5EF4-FFF2-40B4-BE49-F238E27FC236}">
                    <a16:creationId xmlns:a16="http://schemas.microsoft.com/office/drawing/2014/main" id="{00000000-0008-0000-0000-00007E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O$134">
        <xdr:nvSpPr>
          <xdr:cNvPr id="118" name="Text Box 599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5" y="15376912"/>
            <a:ext cx="367677" cy="1863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F5B61D1-B28F-4411-985A-A8E96181F91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151.6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7</xdr:col>
      <xdr:colOff>94000</xdr:colOff>
      <xdr:row>228</xdr:row>
      <xdr:rowOff>55365</xdr:rowOff>
    </xdr:from>
    <xdr:to>
      <xdr:col>17</xdr:col>
      <xdr:colOff>133825</xdr:colOff>
      <xdr:row>237</xdr:row>
      <xdr:rowOff>56178</xdr:rowOff>
    </xdr:to>
    <xdr:grpSp>
      <xdr:nvGrpSpPr>
        <xdr:cNvPr id="127" name="Group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913163" y="36366234"/>
          <a:ext cx="1937205" cy="1513607"/>
          <a:chOff x="1963461" y="15376912"/>
          <a:chExt cx="1874054" cy="1704651"/>
        </a:xfrm>
      </xdr:grpSpPr>
      <xdr:grpSp>
        <xdr:nvGrpSpPr>
          <xdr:cNvPr id="128" name="Group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130" name="Rectangle 728" descr="Light vertical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131" name="Group 130">
              <a:extLst>
                <a:ext uri="{FF2B5EF4-FFF2-40B4-BE49-F238E27FC236}">
                  <a16:creationId xmlns:a16="http://schemas.microsoft.com/office/drawing/2014/main" id="{00000000-0008-0000-0000-00008300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132" name="Line 96">
                <a:extLst>
                  <a:ext uri="{FF2B5EF4-FFF2-40B4-BE49-F238E27FC236}">
                    <a16:creationId xmlns:a16="http://schemas.microsoft.com/office/drawing/2014/main" id="{00000000-0008-0000-0000-00008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3" name="Line 96">
                <a:extLst>
                  <a:ext uri="{FF2B5EF4-FFF2-40B4-BE49-F238E27FC236}">
                    <a16:creationId xmlns:a16="http://schemas.microsoft.com/office/drawing/2014/main" id="{00000000-0008-0000-0000-00008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4" name="Line 101">
                <a:extLst>
                  <a:ext uri="{FF2B5EF4-FFF2-40B4-BE49-F238E27FC236}">
                    <a16:creationId xmlns:a16="http://schemas.microsoft.com/office/drawing/2014/main" id="{00000000-0008-0000-0000-00008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5" name="Line 101">
                <a:extLst>
                  <a:ext uri="{FF2B5EF4-FFF2-40B4-BE49-F238E27FC236}">
                    <a16:creationId xmlns:a16="http://schemas.microsoft.com/office/drawing/2014/main" id="{00000000-0008-0000-0000-00008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" name="Line 101">
                <a:extLst>
                  <a:ext uri="{FF2B5EF4-FFF2-40B4-BE49-F238E27FC236}">
                    <a16:creationId xmlns:a16="http://schemas.microsoft.com/office/drawing/2014/main" id="{00000000-0008-0000-0000-00008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" name="Line 101"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228">
        <xdr:nvSpPr>
          <xdr:cNvPr id="129" name="Text Box 599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8688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57187CFB-799C-4A03-B162-F9D2EDCF5C0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86.6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6</xdr:col>
      <xdr:colOff>130700</xdr:colOff>
      <xdr:row>267</xdr:row>
      <xdr:rowOff>15987</xdr:rowOff>
    </xdr:from>
    <xdr:to>
      <xdr:col>18</xdr:col>
      <xdr:colOff>19909</xdr:colOff>
      <xdr:row>276</xdr:row>
      <xdr:rowOff>131029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1759363" y="42882297"/>
          <a:ext cx="2167589" cy="1627836"/>
          <a:chOff x="1707666" y="42018714"/>
          <a:chExt cx="2079649" cy="1756210"/>
        </a:xfrm>
      </xdr:grpSpPr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GrpSpPr/>
        </xdr:nvGrpSpPr>
        <xdr:grpSpPr>
          <a:xfrm>
            <a:off x="1732156" y="42018714"/>
            <a:ext cx="2055159" cy="1756210"/>
            <a:chOff x="1984467" y="15275925"/>
            <a:chExt cx="2054833" cy="1799911"/>
          </a:xfrm>
        </xdr:grpSpPr>
        <xdr:grpSp>
          <xdr:nvGrpSpPr>
            <xdr:cNvPr id="142" name="Group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GrpSpPr/>
          </xdr:nvGrpSpPr>
          <xdr:grpSpPr>
            <a:xfrm>
              <a:off x="1984467" y="15729882"/>
              <a:ext cx="1851253" cy="1345954"/>
              <a:chOff x="1183692" y="1971737"/>
              <a:chExt cx="3293527" cy="3329132"/>
            </a:xfrm>
          </xdr:grpSpPr>
          <xdr:sp macro="" textlink="">
            <xdr:nvSpPr>
              <xdr:cNvPr id="144" name="Line 96">
                <a:extLst>
                  <a:ext uri="{FF2B5EF4-FFF2-40B4-BE49-F238E27FC236}">
                    <a16:creationId xmlns:a16="http://schemas.microsoft.com/office/drawing/2014/main" id="{00000000-0008-0000-0000-00009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83692" y="1989913"/>
                <a:ext cx="7995" cy="3296479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5" name="Line 96">
                <a:extLst>
                  <a:ext uri="{FF2B5EF4-FFF2-40B4-BE49-F238E27FC236}">
                    <a16:creationId xmlns:a16="http://schemas.microsoft.com/office/drawing/2014/main" id="{00000000-0008-0000-0000-00009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6" name="Line 101">
                <a:extLst>
                  <a:ext uri="{FF2B5EF4-FFF2-40B4-BE49-F238E27FC236}">
                    <a16:creationId xmlns:a16="http://schemas.microsoft.com/office/drawing/2014/main" id="{00000000-0008-0000-0000-00009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9854" y="2057882"/>
                <a:ext cx="3164454" cy="2139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7" name="Line 101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8" name="Line 101"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" name="Line 101"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R$266">
          <xdr:nvSpPr>
            <xdr:cNvPr id="143" name="Text Box 599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671623" y="15275925"/>
              <a:ext cx="367677" cy="183484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555D3A84-BCFE-4722-94C0-FDFF36F2083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146.6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140" name="Flowchart: Manual Input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 bwMode="auto">
          <a:xfrm>
            <a:off x="1707666" y="42213784"/>
            <a:ext cx="1897660" cy="243054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R$267">
        <xdr:nvSpPr>
          <xdr:cNvPr id="141" name="Text Box 599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8067" y="4204499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4898952D-E9FF-4BC4-A3A3-A4FD77A97C5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116.6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4</xdr:col>
      <xdr:colOff>77748</xdr:colOff>
      <xdr:row>284</xdr:row>
      <xdr:rowOff>97238</xdr:rowOff>
    </xdr:from>
    <xdr:to>
      <xdr:col>18</xdr:col>
      <xdr:colOff>94744</xdr:colOff>
      <xdr:row>292</xdr:row>
      <xdr:rowOff>78265</xdr:rowOff>
    </xdr:to>
    <xdr:grpSp>
      <xdr:nvGrpSpPr>
        <xdr:cNvPr id="150" name="Group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GrpSpPr/>
      </xdr:nvGrpSpPr>
      <xdr:grpSpPr>
        <a:xfrm>
          <a:off x="1321601" y="45510869"/>
          <a:ext cx="2687806" cy="1329543"/>
          <a:chOff x="1319099" y="24380213"/>
          <a:chExt cx="2538531" cy="1417906"/>
        </a:xfrm>
      </xdr:grpSpPr>
      <xdr:sp macro="" textlink="">
        <xdr:nvSpPr>
          <xdr:cNvPr id="151" name="Freeform 4016" descr="Light horizontal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1704727" y="24482235"/>
            <a:ext cx="247448" cy="948337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152" name="Group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55" name="Line 96">
              <a:extLst>
                <a:ext uri="{FF2B5EF4-FFF2-40B4-BE49-F238E27FC236}">
                  <a16:creationId xmlns:a16="http://schemas.microsoft.com/office/drawing/2014/main" id="{00000000-0008-0000-0000-00009B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96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101">
              <a:extLst>
                <a:ext uri="{FF2B5EF4-FFF2-40B4-BE49-F238E27FC236}">
                  <a16:creationId xmlns:a16="http://schemas.microsoft.com/office/drawing/2014/main" id="{00000000-0008-0000-0000-00009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101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101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" name="Line 101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$R$281">
        <xdr:nvSpPr>
          <xdr:cNvPr id="153" name="Text Box 4089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89193" y="24380213"/>
            <a:ext cx="318184" cy="17310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EA4D4A9-B42D-42E5-A1A1-10D51DCD4A5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120.1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284">
        <xdr:nvSpPr>
          <xdr:cNvPr id="154" name="Text Box 4089">
            <a:extLst>
              <a:ext uri="{FF2B5EF4-FFF2-40B4-BE49-F238E27FC236}">
                <a16:creationId xmlns:a16="http://schemas.microsoft.com/office/drawing/2014/main" id="{00000000-0008-0000-0000-00009A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19099" y="25378728"/>
            <a:ext cx="320934" cy="17748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A01E5B8-F333-488C-821B-0FDC8B38B77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151.6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96931</xdr:colOff>
      <xdr:row>300</xdr:row>
      <xdr:rowOff>97737</xdr:rowOff>
    </xdr:from>
    <xdr:to>
      <xdr:col>20</xdr:col>
      <xdr:colOff>76409</xdr:colOff>
      <xdr:row>308</xdr:row>
      <xdr:rowOff>74561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GrpSpPr/>
      </xdr:nvGrpSpPr>
      <xdr:grpSpPr>
        <a:xfrm>
          <a:off x="1717974" y="47864603"/>
          <a:ext cx="2650288" cy="1325340"/>
          <a:chOff x="2002212" y="24399731"/>
          <a:chExt cx="2494540" cy="1398388"/>
        </a:xfrm>
      </xdr:grpSpPr>
      <xdr:sp macro="" textlink="$R$300">
        <xdr:nvSpPr>
          <xdr:cNvPr id="162" name="Text Box 4089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44118" y="25296884"/>
            <a:ext cx="252634" cy="17559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4FDBD92-E8D6-4CCF-827C-B4D43BCAB80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82.6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297">
        <xdr:nvSpPr>
          <xdr:cNvPr id="163" name="Text Box 4089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252634" cy="17559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DD0AA3A-088D-4D26-98BC-40D1422DA99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68.3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64" name="Group 163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66" name="Line 96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" name="Line 96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8" name="Line 101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9" name="Line 101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" name="Line 101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" name="Line 101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" name="Freeform 4016" descr="Light horizontal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 flipH="1">
            <a:off x="3911684" y="24459303"/>
            <a:ext cx="260388" cy="986698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15436</xdr:colOff>
      <xdr:row>319</xdr:row>
      <xdr:rowOff>21590</xdr:rowOff>
    </xdr:from>
    <xdr:to>
      <xdr:col>17</xdr:col>
      <xdr:colOff>55803</xdr:colOff>
      <xdr:row>328</xdr:row>
      <xdr:rowOff>131552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/>
      </xdr:nvGrpSpPr>
      <xdr:grpSpPr>
        <a:xfrm>
          <a:off x="1644099" y="50982133"/>
          <a:ext cx="2135867" cy="1630376"/>
          <a:chOff x="1701082" y="42018714"/>
          <a:chExt cx="2086233" cy="1756210"/>
        </a:xfrm>
      </xdr:grpSpPr>
      <xdr:grpSp>
        <xdr:nvGrpSpPr>
          <xdr:cNvPr id="173" name="Group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GrpSpPr/>
        </xdr:nvGrpSpPr>
        <xdr:grpSpPr>
          <a:xfrm>
            <a:off x="1732156" y="42018714"/>
            <a:ext cx="2055159" cy="1756210"/>
            <a:chOff x="1984467" y="15275925"/>
            <a:chExt cx="2054833" cy="1799911"/>
          </a:xfrm>
        </xdr:grpSpPr>
        <xdr:grpSp>
          <xdr:nvGrpSpPr>
            <xdr:cNvPr id="176" name="Group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pSpPr/>
          </xdr:nvGrpSpPr>
          <xdr:grpSpPr>
            <a:xfrm>
              <a:off x="1984467" y="15729882"/>
              <a:ext cx="1851253" cy="1345954"/>
              <a:chOff x="1183692" y="1971737"/>
              <a:chExt cx="3293527" cy="3329132"/>
            </a:xfrm>
          </xdr:grpSpPr>
          <xdr:sp macro="" textlink="">
            <xdr:nvSpPr>
              <xdr:cNvPr id="178" name="Line 96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83692" y="1989913"/>
                <a:ext cx="7995" cy="3296479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9" name="Line 96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101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9854" y="2057882"/>
                <a:ext cx="3164454" cy="2139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" name="Line 101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10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3" name="Line 101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R$319">
          <xdr:nvSpPr>
            <xdr:cNvPr id="177" name="Text Box 599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671623" y="15275925"/>
              <a:ext cx="367677" cy="18405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F34B2478-F182-45B3-9B65-2C0BACE739CB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116.6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174" name="Flowchart: Manual Input 173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/>
        </xdr:nvSpPr>
        <xdr:spPr bwMode="auto">
          <a:xfrm flipH="1">
            <a:off x="1701082" y="42213784"/>
            <a:ext cx="1889303" cy="243054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R$318">
        <xdr:nvSpPr>
          <xdr:cNvPr id="175" name="Text Box 599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8067" y="4204499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CBA04B7F-AC13-40A4-8B0F-CA69AB0B397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146.6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135867</xdr:colOff>
      <xdr:row>352</xdr:row>
      <xdr:rowOff>56832</xdr:rowOff>
    </xdr:from>
    <xdr:to>
      <xdr:col>17</xdr:col>
      <xdr:colOff>16972</xdr:colOff>
      <xdr:row>360</xdr:row>
      <xdr:rowOff>22058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GrpSpPr/>
      </xdr:nvGrpSpPr>
      <xdr:grpSpPr>
        <a:xfrm>
          <a:off x="994910" y="55899554"/>
          <a:ext cx="2746225" cy="1302312"/>
          <a:chOff x="1304994" y="24387573"/>
          <a:chExt cx="2552636" cy="1410546"/>
        </a:xfrm>
      </xdr:grpSpPr>
      <xdr:sp macro="" textlink="">
        <xdr:nvSpPr>
          <xdr:cNvPr id="185" name="Freeform 4016" descr="Light horizontal">
            <a:extLst>
              <a:ext uri="{FF2B5EF4-FFF2-40B4-BE49-F238E27FC236}">
                <a16:creationId xmlns:a16="http://schemas.microsoft.com/office/drawing/2014/main" id="{00000000-0008-0000-0000-0000B9000000}"/>
              </a:ext>
            </a:extLst>
          </xdr:cNvPr>
          <xdr:cNvSpPr>
            <a:spLocks/>
          </xdr:cNvSpPr>
        </xdr:nvSpPr>
        <xdr:spPr bwMode="auto">
          <a:xfrm>
            <a:off x="1646154" y="24482235"/>
            <a:ext cx="306021" cy="983050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grpSp>
        <xdr:nvGrpSpPr>
          <xdr:cNvPr id="186" name="Group 185">
            <a:extLst>
              <a:ext uri="{FF2B5EF4-FFF2-40B4-BE49-F238E27FC236}">
                <a16:creationId xmlns:a16="http://schemas.microsoft.com/office/drawing/2014/main" id="{00000000-0008-0000-0000-0000BA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189" name="Line 96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96">
              <a:extLst>
                <a:ext uri="{FF2B5EF4-FFF2-40B4-BE49-F238E27FC236}">
                  <a16:creationId xmlns:a16="http://schemas.microsoft.com/office/drawing/2014/main" id="{00000000-0008-0000-0000-0000B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" name="Line 101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" name="Line 101">
              <a:extLst>
                <a:ext uri="{FF2B5EF4-FFF2-40B4-BE49-F238E27FC236}">
                  <a16:creationId xmlns:a16="http://schemas.microsoft.com/office/drawing/2014/main" id="{00000000-0008-0000-0000-0000C0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3" name="Line 101">
              <a:extLst>
                <a:ext uri="{FF2B5EF4-FFF2-40B4-BE49-F238E27FC236}">
                  <a16:creationId xmlns:a16="http://schemas.microsoft.com/office/drawing/2014/main" id="{00000000-0008-0000-0000-0000C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4" name="Line 101">
              <a:extLst>
                <a:ext uri="{FF2B5EF4-FFF2-40B4-BE49-F238E27FC236}">
                  <a16:creationId xmlns:a16="http://schemas.microsoft.com/office/drawing/2014/main" id="{00000000-0008-0000-0000-0000C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$R$348">
        <xdr:nvSpPr>
          <xdr:cNvPr id="187" name="Text Box 4089">
            <a:extLst>
              <a:ext uri="{FF2B5EF4-FFF2-40B4-BE49-F238E27FC236}">
                <a16:creationId xmlns:a16="http://schemas.microsoft.com/office/drawing/2014/main" id="{00000000-0008-0000-0000-0000BB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22890" y="24387573"/>
            <a:ext cx="249822" cy="17868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C5F4940-3F2A-4693-A388-B68AC462D68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68.3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351">
        <xdr:nvSpPr>
          <xdr:cNvPr id="188" name="Text Box 4089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04994" y="25327258"/>
            <a:ext cx="249822" cy="17868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70EFD33C-35F0-4CD1-8606-CFE84B1B7C0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82.6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57812</xdr:colOff>
      <xdr:row>336</xdr:row>
      <xdr:rowOff>130266</xdr:rowOff>
    </xdr:from>
    <xdr:to>
      <xdr:col>19</xdr:col>
      <xdr:colOff>96407</xdr:colOff>
      <xdr:row>344</xdr:row>
      <xdr:rowOff>97011</xdr:rowOff>
    </xdr:to>
    <xdr:grpSp>
      <xdr:nvGrpSpPr>
        <xdr:cNvPr id="195" name="Group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GrpSpPr/>
      </xdr:nvGrpSpPr>
      <xdr:grpSpPr>
        <a:xfrm>
          <a:off x="1488355" y="53619752"/>
          <a:ext cx="2705595" cy="1303831"/>
          <a:chOff x="2002212" y="24399731"/>
          <a:chExt cx="2555119" cy="1398388"/>
        </a:xfrm>
      </xdr:grpSpPr>
      <xdr:sp macro="" textlink="$R$336">
        <xdr:nvSpPr>
          <xdr:cNvPr id="196" name="Text Box 4089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36879" y="25319186"/>
            <a:ext cx="320452" cy="1708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D53AC6A-3E64-4D49-89D3-A1A6787A519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151.6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333">
        <xdr:nvSpPr>
          <xdr:cNvPr id="197" name="Text Box 4089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317729" cy="17351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2F2598F-C3E4-471A-8214-14DE4010608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120.1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198" name="Group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00" name="Line 96">
              <a:extLst>
                <a:ext uri="{FF2B5EF4-FFF2-40B4-BE49-F238E27FC236}">
                  <a16:creationId xmlns:a16="http://schemas.microsoft.com/office/drawing/2014/main" id="{00000000-0008-0000-0000-0000C8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" name="Line 96">
              <a:extLst>
                <a:ext uri="{FF2B5EF4-FFF2-40B4-BE49-F238E27FC236}">
                  <a16:creationId xmlns:a16="http://schemas.microsoft.com/office/drawing/2014/main" id="{00000000-0008-0000-0000-0000C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2" name="Line 101">
              <a:extLst>
                <a:ext uri="{FF2B5EF4-FFF2-40B4-BE49-F238E27FC236}">
                  <a16:creationId xmlns:a16="http://schemas.microsoft.com/office/drawing/2014/main" id="{00000000-0008-0000-0000-0000CA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" name="Line 101">
              <a:extLst>
                <a:ext uri="{FF2B5EF4-FFF2-40B4-BE49-F238E27FC236}">
                  <a16:creationId xmlns:a16="http://schemas.microsoft.com/office/drawing/2014/main" id="{00000000-0008-0000-0000-0000CB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01">
              <a:extLst>
                <a:ext uri="{FF2B5EF4-FFF2-40B4-BE49-F238E27FC236}">
                  <a16:creationId xmlns:a16="http://schemas.microsoft.com/office/drawing/2014/main" id="{00000000-0008-0000-0000-0000C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5" name="Line 101">
              <a:extLst>
                <a:ext uri="{FF2B5EF4-FFF2-40B4-BE49-F238E27FC236}">
                  <a16:creationId xmlns:a16="http://schemas.microsoft.com/office/drawing/2014/main" id="{00000000-0008-0000-0000-0000C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9" name="Freeform 4016" descr="Light horizontal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>
            <a:spLocks/>
          </xdr:cNvSpPr>
        </xdr:nvSpPr>
        <xdr:spPr bwMode="auto">
          <a:xfrm flipH="1">
            <a:off x="3911686" y="24459302"/>
            <a:ext cx="282156" cy="97110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383171</xdr:colOff>
      <xdr:row>370</xdr:row>
      <xdr:rowOff>12606</xdr:rowOff>
    </xdr:from>
    <xdr:to>
      <xdr:col>9</xdr:col>
      <xdr:colOff>132754</xdr:colOff>
      <xdr:row>379</xdr:row>
      <xdr:rowOff>12604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GrpSpPr/>
      </xdr:nvGrpSpPr>
      <xdr:grpSpPr>
        <a:xfrm>
          <a:off x="383171" y="58880916"/>
          <a:ext cx="1949746" cy="1512792"/>
          <a:chOff x="1962348" y="15376912"/>
          <a:chExt cx="1874054" cy="1698925"/>
        </a:xfrm>
      </xdr:grpSpPr>
      <xdr:grpSp>
        <xdr:nvGrpSpPr>
          <xdr:cNvPr id="207" name="Group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GrpSpPr/>
        </xdr:nvGrpSpPr>
        <xdr:grpSpPr>
          <a:xfrm>
            <a:off x="1962348" y="15562583"/>
            <a:ext cx="1874054" cy="1513254"/>
            <a:chOff x="1931226" y="15026153"/>
            <a:chExt cx="1820681" cy="1470733"/>
          </a:xfrm>
        </xdr:grpSpPr>
        <xdr:sp macro="" textlink="">
          <xdr:nvSpPr>
            <xdr:cNvPr id="209" name="Rectangle 728" descr="Light vertical">
              <a:extLst>
                <a:ext uri="{FF2B5EF4-FFF2-40B4-BE49-F238E27FC236}">
                  <a16:creationId xmlns:a16="http://schemas.microsoft.com/office/drawing/2014/main" id="{00000000-0008-0000-0000-0000D1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1226" y="15026153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210" name="Group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211" name="Line 96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" name="Line 96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" name="Line 101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" name="Line 101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5" name="Line 101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6" name="Line 101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369">
        <xdr:nvSpPr>
          <xdr:cNvPr id="208" name="Text Box 599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4" y="15376912"/>
            <a:ext cx="367677" cy="1863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C6164B26-DAC4-4021-A961-625EEBC3E98B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118.5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56902</xdr:colOff>
      <xdr:row>383</xdr:row>
      <xdr:rowOff>97176</xdr:rowOff>
    </xdr:from>
    <xdr:to>
      <xdr:col>21</xdr:col>
      <xdr:colOff>93776</xdr:colOff>
      <xdr:row>391</xdr:row>
      <xdr:rowOff>96053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GrpSpPr/>
      </xdr:nvGrpSpPr>
      <xdr:grpSpPr>
        <a:xfrm>
          <a:off x="923565" y="61143013"/>
          <a:ext cx="3656374" cy="1343583"/>
          <a:chOff x="1217745" y="24370667"/>
          <a:chExt cx="3454213" cy="1427452"/>
        </a:xfrm>
      </xdr:grpSpPr>
      <xdr:sp macro="" textlink="">
        <xdr:nvSpPr>
          <xdr:cNvPr id="218" name="Freeform 4016" descr="Light horizontal">
            <a:extLst>
              <a:ext uri="{FF2B5EF4-FFF2-40B4-BE49-F238E27FC236}">
                <a16:creationId xmlns:a16="http://schemas.microsoft.com/office/drawing/2014/main" id="{00000000-0008-0000-0000-0000DA00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383">
        <xdr:nvSpPr>
          <xdr:cNvPr id="219" name="Text Box 4089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320563" cy="1763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A204AE9-119A-4525-8A52-5B2D7BDBC67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168.5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382">
        <xdr:nvSpPr>
          <xdr:cNvPr id="220" name="Text Box 408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317827" cy="1720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C748778E-D843-4993-9B92-1554CE29799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221" name="Group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25" name="Line 96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" name="Line 96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7" name="Line 101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" name="Line 101">
              <a:extLst>
                <a:ext uri="{FF2B5EF4-FFF2-40B4-BE49-F238E27FC236}">
                  <a16:creationId xmlns:a16="http://schemas.microsoft.com/office/drawing/2014/main" id="{00000000-0008-0000-0000-0000E4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" name="Line 101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" name="Line 101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2" name="Freeform 4016" descr="Light horizontal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382">
        <xdr:nvSpPr>
          <xdr:cNvPr id="223" name="Text Box 4089">
            <a:extLst>
              <a:ext uri="{FF2B5EF4-FFF2-40B4-BE49-F238E27FC236}">
                <a16:creationId xmlns:a16="http://schemas.microsoft.com/office/drawing/2014/main" id="{00000000-0008-0000-0000-0000DF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3"/>
            <a:ext cx="317827" cy="1720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212678B-2B3E-4230-94C9-754870B69E4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R$383">
        <xdr:nvSpPr>
          <xdr:cNvPr id="224" name="Text Box 4089">
            <a:extLst>
              <a:ext uri="{FF2B5EF4-FFF2-40B4-BE49-F238E27FC236}">
                <a16:creationId xmlns:a16="http://schemas.microsoft.com/office/drawing/2014/main" id="{00000000-0008-0000-0000-0000E0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1"/>
            <a:ext cx="320563" cy="17630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A90B6D2-73DB-4F2C-94DB-11DAC6B8D28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168.5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6</xdr:col>
      <xdr:colOff>36641</xdr:colOff>
      <xdr:row>394</xdr:row>
      <xdr:rowOff>94089</xdr:rowOff>
    </xdr:from>
    <xdr:to>
      <xdr:col>16</xdr:col>
      <xdr:colOff>56270</xdr:colOff>
      <xdr:row>401</xdr:row>
      <xdr:rowOff>138279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GrpSpPr/>
      </xdr:nvGrpSpPr>
      <xdr:grpSpPr>
        <a:xfrm>
          <a:off x="1661494" y="62996517"/>
          <a:ext cx="1928439" cy="1213187"/>
          <a:chOff x="1980378" y="15729882"/>
          <a:chExt cx="1855342" cy="1368356"/>
        </a:xfrm>
      </xdr:grpSpPr>
      <xdr:grpSp>
        <xdr:nvGrpSpPr>
          <xdr:cNvPr id="232" name="Group 231">
            <a:extLst>
              <a:ext uri="{FF2B5EF4-FFF2-40B4-BE49-F238E27FC236}">
                <a16:creationId xmlns:a16="http://schemas.microsoft.com/office/drawing/2014/main" id="{00000000-0008-0000-0000-0000E8000000}"/>
              </a:ext>
            </a:extLst>
          </xdr:cNvPr>
          <xdr:cNvGrpSpPr/>
        </xdr:nvGrpSpPr>
        <xdr:grpSpPr>
          <a:xfrm>
            <a:off x="1980378" y="15729882"/>
            <a:ext cx="1855342" cy="1345954"/>
            <a:chOff x="1948743" y="15188752"/>
            <a:chExt cx="1802502" cy="1308134"/>
          </a:xfrm>
        </xdr:grpSpPr>
        <xdr:sp macro="" textlink="">
          <xdr:nvSpPr>
            <xdr:cNvPr id="234" name="Rectangle 728" descr="Light vertical">
              <a:extLst>
                <a:ext uri="{FF2B5EF4-FFF2-40B4-BE49-F238E27FC236}">
                  <a16:creationId xmlns:a16="http://schemas.microsoft.com/office/drawing/2014/main" id="{00000000-0008-0000-0000-0000E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90142" y="16188424"/>
              <a:ext cx="1713339" cy="136010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235" name="Group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236" name="Line 96">
                <a:extLst>
                  <a:ext uri="{FF2B5EF4-FFF2-40B4-BE49-F238E27FC236}">
                    <a16:creationId xmlns:a16="http://schemas.microsoft.com/office/drawing/2014/main" id="{00000000-0008-0000-0000-0000EC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96">
                <a:extLst>
                  <a:ext uri="{FF2B5EF4-FFF2-40B4-BE49-F238E27FC236}">
                    <a16:creationId xmlns:a16="http://schemas.microsoft.com/office/drawing/2014/main" id="{00000000-0008-0000-0000-0000E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" name="Line 101">
                <a:extLst>
                  <a:ext uri="{FF2B5EF4-FFF2-40B4-BE49-F238E27FC236}">
                    <a16:creationId xmlns:a16="http://schemas.microsoft.com/office/drawing/2014/main" id="{00000000-0008-0000-0000-0000EE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101">
                <a:extLst>
                  <a:ext uri="{FF2B5EF4-FFF2-40B4-BE49-F238E27FC236}">
                    <a16:creationId xmlns:a16="http://schemas.microsoft.com/office/drawing/2014/main" id="{00000000-0008-0000-0000-0000E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0" name="Line 101">
                <a:extLst>
                  <a:ext uri="{FF2B5EF4-FFF2-40B4-BE49-F238E27FC236}">
                    <a16:creationId xmlns:a16="http://schemas.microsoft.com/office/drawing/2014/main" id="{00000000-0008-0000-0000-0000F0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101">
                <a:extLst>
                  <a:ext uri="{FF2B5EF4-FFF2-40B4-BE49-F238E27FC236}">
                    <a16:creationId xmlns:a16="http://schemas.microsoft.com/office/drawing/2014/main" id="{00000000-0008-0000-0000-0000F1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394">
        <xdr:nvSpPr>
          <xdr:cNvPr id="233" name="Text Box 599">
            <a:extLst>
              <a:ext uri="{FF2B5EF4-FFF2-40B4-BE49-F238E27FC236}">
                <a16:creationId xmlns:a16="http://schemas.microsoft.com/office/drawing/2014/main" id="{00000000-0008-0000-0000-0000E9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21486" y="16912239"/>
            <a:ext cx="367677" cy="18599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2C44159B-1D4B-4501-B4CA-8C51E087770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173.5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97141</xdr:colOff>
      <xdr:row>416</xdr:row>
      <xdr:rowOff>116925</xdr:rowOff>
    </xdr:from>
    <xdr:to>
      <xdr:col>21</xdr:col>
      <xdr:colOff>55669</xdr:colOff>
      <xdr:row>425</xdr:row>
      <xdr:rowOff>154901</xdr:rowOff>
    </xdr:to>
    <xdr:grpSp>
      <xdr:nvGrpSpPr>
        <xdr:cNvPr id="242" name="Group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GrpSpPr/>
      </xdr:nvGrpSpPr>
      <xdr:grpSpPr>
        <a:xfrm>
          <a:off x="956184" y="66713484"/>
          <a:ext cx="3585648" cy="1550770"/>
          <a:chOff x="957513" y="68681383"/>
          <a:chExt cx="3344337" cy="1629866"/>
        </a:xfrm>
      </xdr:grpSpPr>
      <xdr:grpSp>
        <xdr:nvGrpSpPr>
          <xdr:cNvPr id="243" name="Group 242">
            <a:extLst>
              <a:ext uri="{FF2B5EF4-FFF2-40B4-BE49-F238E27FC236}">
                <a16:creationId xmlns:a16="http://schemas.microsoft.com/office/drawing/2014/main" id="{00000000-0008-0000-0000-0000F3000000}"/>
              </a:ext>
            </a:extLst>
          </xdr:cNvPr>
          <xdr:cNvGrpSpPr/>
        </xdr:nvGrpSpPr>
        <xdr:grpSpPr>
          <a:xfrm>
            <a:off x="957513" y="68954300"/>
            <a:ext cx="3344337" cy="1356949"/>
            <a:chOff x="1250580" y="24370667"/>
            <a:chExt cx="3374907" cy="1374918"/>
          </a:xfrm>
        </xdr:grpSpPr>
        <xdr:sp macro="" textlink="">
          <xdr:nvSpPr>
            <xdr:cNvPr id="248" name="Freeform 4016" descr="Light horizontal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>
              <a:spLocks/>
            </xdr:cNvSpPr>
          </xdr:nvSpPr>
          <xdr:spPr bwMode="auto">
            <a:xfrm>
              <a:off x="1604878" y="24482235"/>
              <a:ext cx="347298" cy="963799"/>
            </a:xfrm>
            <a:custGeom>
              <a:avLst/>
              <a:gdLst>
                <a:gd name="T0" fmla="*/ 57 w 57"/>
                <a:gd name="T1" fmla="*/ 0 h 96"/>
                <a:gd name="T2" fmla="*/ 57 w 57"/>
                <a:gd name="T3" fmla="*/ 96 h 96"/>
                <a:gd name="T4" fmla="*/ 44 w 57"/>
                <a:gd name="T5" fmla="*/ 96 h 96"/>
                <a:gd name="T6" fmla="*/ 19 w 57"/>
                <a:gd name="T7" fmla="*/ 96 h 96"/>
                <a:gd name="T8" fmla="*/ 0 w 57"/>
                <a:gd name="T9" fmla="*/ 96 h 96"/>
                <a:gd name="T10" fmla="*/ 30 w 57"/>
                <a:gd name="T11" fmla="*/ 41 h 96"/>
                <a:gd name="T12" fmla="*/ 46 w 57"/>
                <a:gd name="T13" fmla="*/ 19 h 96"/>
                <a:gd name="T14" fmla="*/ 50 w 57"/>
                <a:gd name="T15" fmla="*/ 11 h 96"/>
                <a:gd name="T16" fmla="*/ 57 w 57"/>
                <a:gd name="T17" fmla="*/ 0 h 96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5263 w 10000"/>
                <a:gd name="connsiteY6" fmla="*/ 4271 h 10000"/>
                <a:gd name="connsiteX7" fmla="*/ 8070 w 10000"/>
                <a:gd name="connsiteY7" fmla="*/ 1979 h 10000"/>
                <a:gd name="connsiteX8" fmla="*/ 8772 w 10000"/>
                <a:gd name="connsiteY8" fmla="*/ 1146 h 10000"/>
                <a:gd name="connsiteX9" fmla="*/ 10000 w 10000"/>
                <a:gd name="connsiteY9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8772 w 10000"/>
                <a:gd name="connsiteY7" fmla="*/ 1146 h 10000"/>
                <a:gd name="connsiteX8" fmla="*/ 10000 w 10000"/>
                <a:gd name="connsiteY8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10000 w 10000"/>
                <a:gd name="connsiteY7" fmla="*/ 0 h 10000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5508 w 10000"/>
                <a:gd name="connsiteY5" fmla="*/ 4606 h 10035"/>
                <a:gd name="connsiteX6" fmla="*/ 7437 w 10000"/>
                <a:gd name="connsiteY6" fmla="*/ 0 h 10035"/>
                <a:gd name="connsiteX7" fmla="*/ 10000 w 10000"/>
                <a:gd name="connsiteY7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000" h="10035">
                  <a:moveTo>
                    <a:pt x="10000" y="35"/>
                  </a:moveTo>
                  <a:lnTo>
                    <a:pt x="10000" y="10035"/>
                  </a:lnTo>
                  <a:lnTo>
                    <a:pt x="7719" y="10035"/>
                  </a:lnTo>
                  <a:lnTo>
                    <a:pt x="3333" y="10035"/>
                  </a:lnTo>
                  <a:lnTo>
                    <a:pt x="0" y="10035"/>
                  </a:lnTo>
                  <a:lnTo>
                    <a:pt x="7437" y="0"/>
                  </a:lnTo>
                  <a:lnTo>
                    <a:pt x="10000" y="35"/>
                  </a:lnTo>
                  <a:close/>
                </a:path>
              </a:pathLst>
            </a:custGeom>
            <a:pattFill prst="ltHorz">
              <a:fgClr>
                <a:srgbClr val="000000"/>
              </a:fgClr>
              <a:bgClr>
                <a:srgbClr val="FFFFFF"/>
              </a:bgClr>
            </a:pattFill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</xdr:spPr>
        </xdr:sp>
        <xdr:sp macro="" textlink="$S$407">
          <xdr:nvSpPr>
            <xdr:cNvPr id="249" name="Text Box 4089">
              <a:extLst>
                <a:ext uri="{FF2B5EF4-FFF2-40B4-BE49-F238E27FC236}">
                  <a16:creationId xmlns:a16="http://schemas.microsoft.com/office/drawing/2014/main" id="{00000000-0008-0000-0000-0000F9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305426" y="25336697"/>
              <a:ext cx="320061" cy="1767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EF4322FF-F570-45A1-B883-55CA90CD8A8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178.5</a:t>
              </a:fld>
              <a:endParaRPr lang="en-SG" sz="1000" b="0" i="0" u="none" strike="noStrike" baseline="0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$R$382">
          <xdr:nvSpPr>
            <xdr:cNvPr id="250" name="Text Box 408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044453" y="24370667"/>
              <a:ext cx="317270" cy="1725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4C783E9D-D0E5-4DFD-843F-4F56C4D52D9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123.5</a:t>
              </a:fld>
              <a:endPara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grpSp>
          <xdr:nvGrpSpPr>
            <xdr:cNvPr id="251" name="Group 250">
              <a:extLst>
                <a:ext uri="{FF2B5EF4-FFF2-40B4-BE49-F238E27FC236}">
                  <a16:creationId xmlns:a16="http://schemas.microsoft.com/office/drawing/2014/main" id="{00000000-0008-0000-0000-0000FB000000}"/>
                </a:ext>
              </a:extLst>
            </xdr:cNvPr>
            <xdr:cNvGrpSpPr/>
          </xdr:nvGrpSpPr>
          <xdr:grpSpPr>
            <a:xfrm>
              <a:off x="1999328" y="24426315"/>
              <a:ext cx="1865038" cy="1319270"/>
              <a:chOff x="1171286" y="1909258"/>
              <a:chExt cx="3317916" cy="3261727"/>
            </a:xfrm>
          </xdr:grpSpPr>
          <xdr:sp macro="" textlink="">
            <xdr:nvSpPr>
              <xdr:cNvPr id="255" name="Line 96">
                <a:extLst>
                  <a:ext uri="{FF2B5EF4-FFF2-40B4-BE49-F238E27FC236}">
                    <a16:creationId xmlns:a16="http://schemas.microsoft.com/office/drawing/2014/main" id="{00000000-0008-0000-0000-0000F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1286" y="1909258"/>
                <a:ext cx="5131" cy="322911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" name="Line 96">
                <a:extLst>
                  <a:ext uri="{FF2B5EF4-FFF2-40B4-BE49-F238E27FC236}">
                    <a16:creationId xmlns:a16="http://schemas.microsoft.com/office/drawing/2014/main" id="{00000000-0008-0000-0000-00000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09258"/>
                <a:ext cx="11983" cy="3261727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" name="Line 101">
                <a:extLst>
                  <a:ext uri="{FF2B5EF4-FFF2-40B4-BE49-F238E27FC236}">
                    <a16:creationId xmlns:a16="http://schemas.microsoft.com/office/drawing/2014/main" id="{00000000-0008-0000-0000-00000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1381" y="2010413"/>
                <a:ext cx="3177720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" name="Line 101">
                <a:extLst>
                  <a:ext uri="{FF2B5EF4-FFF2-40B4-BE49-F238E27FC236}">
                    <a16:creationId xmlns:a16="http://schemas.microsoft.com/office/drawing/2014/main" id="{00000000-0008-0000-0000-00000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41381" y="4355540"/>
                <a:ext cx="3166041" cy="23203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9" name="Line 101">
                <a:extLst>
                  <a:ext uri="{FF2B5EF4-FFF2-40B4-BE49-F238E27FC236}">
                    <a16:creationId xmlns:a16="http://schemas.microsoft.com/office/drawing/2014/main" id="{00000000-0008-0000-0000-00000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0" name="Line 101">
                <a:extLst>
                  <a:ext uri="{FF2B5EF4-FFF2-40B4-BE49-F238E27FC236}">
                    <a16:creationId xmlns:a16="http://schemas.microsoft.com/office/drawing/2014/main" id="{00000000-0008-0000-0000-00000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2" name="Freeform 4016" descr="Light horizontal">
              <a:extLst>
                <a:ext uri="{FF2B5EF4-FFF2-40B4-BE49-F238E27FC236}">
                  <a16:creationId xmlns:a16="http://schemas.microsoft.com/office/drawing/2014/main" id="{00000000-0008-0000-0000-0000FC000000}"/>
                </a:ext>
              </a:extLst>
            </xdr:cNvPr>
            <xdr:cNvSpPr>
              <a:spLocks/>
            </xdr:cNvSpPr>
          </xdr:nvSpPr>
          <xdr:spPr bwMode="auto">
            <a:xfrm flipH="1">
              <a:off x="3911685" y="24459303"/>
              <a:ext cx="383753" cy="967354"/>
            </a:xfrm>
            <a:custGeom>
              <a:avLst/>
              <a:gdLst>
                <a:gd name="T0" fmla="*/ 57 w 57"/>
                <a:gd name="T1" fmla="*/ 0 h 96"/>
                <a:gd name="T2" fmla="*/ 57 w 57"/>
                <a:gd name="T3" fmla="*/ 96 h 96"/>
                <a:gd name="T4" fmla="*/ 44 w 57"/>
                <a:gd name="T5" fmla="*/ 96 h 96"/>
                <a:gd name="T6" fmla="*/ 19 w 57"/>
                <a:gd name="T7" fmla="*/ 96 h 96"/>
                <a:gd name="T8" fmla="*/ 0 w 57"/>
                <a:gd name="T9" fmla="*/ 96 h 96"/>
                <a:gd name="T10" fmla="*/ 30 w 57"/>
                <a:gd name="T11" fmla="*/ 41 h 96"/>
                <a:gd name="T12" fmla="*/ 46 w 57"/>
                <a:gd name="T13" fmla="*/ 19 h 96"/>
                <a:gd name="T14" fmla="*/ 50 w 57"/>
                <a:gd name="T15" fmla="*/ 11 h 96"/>
                <a:gd name="T16" fmla="*/ 57 w 57"/>
                <a:gd name="T17" fmla="*/ 0 h 96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5263 w 10000"/>
                <a:gd name="connsiteY6" fmla="*/ 4271 h 10000"/>
                <a:gd name="connsiteX7" fmla="*/ 8070 w 10000"/>
                <a:gd name="connsiteY7" fmla="*/ 1979 h 10000"/>
                <a:gd name="connsiteX8" fmla="*/ 8772 w 10000"/>
                <a:gd name="connsiteY8" fmla="*/ 1146 h 10000"/>
                <a:gd name="connsiteX9" fmla="*/ 10000 w 10000"/>
                <a:gd name="connsiteY9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8772 w 10000"/>
                <a:gd name="connsiteY7" fmla="*/ 1146 h 10000"/>
                <a:gd name="connsiteX8" fmla="*/ 10000 w 10000"/>
                <a:gd name="connsiteY8" fmla="*/ 0 h 10000"/>
                <a:gd name="connsiteX0" fmla="*/ 10000 w 10000"/>
                <a:gd name="connsiteY0" fmla="*/ 0 h 10000"/>
                <a:gd name="connsiteX1" fmla="*/ 10000 w 10000"/>
                <a:gd name="connsiteY1" fmla="*/ 10000 h 10000"/>
                <a:gd name="connsiteX2" fmla="*/ 7719 w 10000"/>
                <a:gd name="connsiteY2" fmla="*/ 10000 h 10000"/>
                <a:gd name="connsiteX3" fmla="*/ 3333 w 10000"/>
                <a:gd name="connsiteY3" fmla="*/ 10000 h 10000"/>
                <a:gd name="connsiteX4" fmla="*/ 0 w 10000"/>
                <a:gd name="connsiteY4" fmla="*/ 10000 h 10000"/>
                <a:gd name="connsiteX5" fmla="*/ 5508 w 10000"/>
                <a:gd name="connsiteY5" fmla="*/ 4571 h 10000"/>
                <a:gd name="connsiteX6" fmla="*/ 8070 w 10000"/>
                <a:gd name="connsiteY6" fmla="*/ 1979 h 10000"/>
                <a:gd name="connsiteX7" fmla="*/ 10000 w 10000"/>
                <a:gd name="connsiteY7" fmla="*/ 0 h 10000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5508 w 10000"/>
                <a:gd name="connsiteY5" fmla="*/ 4606 h 10035"/>
                <a:gd name="connsiteX6" fmla="*/ 7437 w 10000"/>
                <a:gd name="connsiteY6" fmla="*/ 0 h 10035"/>
                <a:gd name="connsiteX7" fmla="*/ 10000 w 10000"/>
                <a:gd name="connsiteY7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  <a:gd name="connsiteX0" fmla="*/ 10000 w 10000"/>
                <a:gd name="connsiteY0" fmla="*/ 35 h 10035"/>
                <a:gd name="connsiteX1" fmla="*/ 10000 w 10000"/>
                <a:gd name="connsiteY1" fmla="*/ 10035 h 10035"/>
                <a:gd name="connsiteX2" fmla="*/ 7719 w 10000"/>
                <a:gd name="connsiteY2" fmla="*/ 10035 h 10035"/>
                <a:gd name="connsiteX3" fmla="*/ 3333 w 10000"/>
                <a:gd name="connsiteY3" fmla="*/ 10035 h 10035"/>
                <a:gd name="connsiteX4" fmla="*/ 0 w 10000"/>
                <a:gd name="connsiteY4" fmla="*/ 10035 h 10035"/>
                <a:gd name="connsiteX5" fmla="*/ 7437 w 10000"/>
                <a:gd name="connsiteY5" fmla="*/ 0 h 10035"/>
                <a:gd name="connsiteX6" fmla="*/ 10000 w 10000"/>
                <a:gd name="connsiteY6" fmla="*/ 35 h 1003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0000" h="10035">
                  <a:moveTo>
                    <a:pt x="10000" y="35"/>
                  </a:moveTo>
                  <a:lnTo>
                    <a:pt x="10000" y="10035"/>
                  </a:lnTo>
                  <a:lnTo>
                    <a:pt x="7719" y="10035"/>
                  </a:lnTo>
                  <a:lnTo>
                    <a:pt x="3333" y="10035"/>
                  </a:lnTo>
                  <a:lnTo>
                    <a:pt x="0" y="10035"/>
                  </a:lnTo>
                  <a:lnTo>
                    <a:pt x="7437" y="0"/>
                  </a:lnTo>
                  <a:lnTo>
                    <a:pt x="10000" y="35"/>
                  </a:lnTo>
                  <a:close/>
                </a:path>
              </a:pathLst>
            </a:custGeom>
            <a:pattFill prst="ltHorz">
              <a:fgClr>
                <a:srgbClr val="000000"/>
              </a:fgClr>
              <a:bgClr>
                <a:srgbClr val="FFFFFF"/>
              </a:bgClr>
            </a:pattFill>
            <a:ln w="19050" cap="flat" cmpd="sng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/>
              <a:tailEnd/>
            </a:ln>
          </xdr:spPr>
        </xdr:sp>
        <xdr:sp macro="" textlink="$R$382">
          <xdr:nvSpPr>
            <xdr:cNvPr id="253" name="Text Box 4089">
              <a:extLst>
                <a:ext uri="{FF2B5EF4-FFF2-40B4-BE49-F238E27FC236}">
                  <a16:creationId xmlns:a16="http://schemas.microsoft.com/office/drawing/2014/main" id="{00000000-0008-0000-0000-0000FD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550481" y="24380214"/>
              <a:ext cx="317270" cy="17252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45FB6C8B-4EB3-4E37-A54B-B76ED7D557A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123.5</a:t>
              </a:fld>
              <a:endPara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sp macro="" textlink="$S$407">
          <xdr:nvSpPr>
            <xdr:cNvPr id="254" name="Text Box 4089">
              <a:extLst>
                <a:ext uri="{FF2B5EF4-FFF2-40B4-BE49-F238E27FC236}">
                  <a16:creationId xmlns:a16="http://schemas.microsoft.com/office/drawing/2014/main" id="{00000000-0008-0000-0000-0000FE00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250580" y="25359771"/>
              <a:ext cx="320061" cy="17671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none" lIns="18288" tIns="18288" rIns="0" bIns="0" anchor="t" upright="1">
              <a:spAutoFit/>
            </a:bodyPr>
            <a:lstStyle/>
            <a:p>
              <a:pPr algn="l" rtl="0">
                <a:defRPr sz="1000"/>
              </a:pPr>
              <a:fld id="{AA50470F-7E31-4161-9242-869815D4A78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pPr algn="l" rtl="0">
                  <a:defRPr sz="1000"/>
                </a:pPr>
                <a:t>178.5</a:t>
              </a:fld>
              <a:endParaRPr lang="en-SG" sz="1000" b="0" i="0" u="none" strike="noStrike" baseline="0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</xdr:grpSp>
      <xdr:sp macro="" textlink="">
        <xdr:nvSpPr>
          <xdr:cNvPr id="244" name="Rectangle 728" descr="Light vertical">
            <a:extLst>
              <a:ext uri="{FF2B5EF4-FFF2-40B4-BE49-F238E27FC236}">
                <a16:creationId xmlns:a16="http://schemas.microsoft.com/office/drawing/2014/main" id="{00000000-0008-0000-0000-0000F400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45" name="Rectangle 728" descr="Light vertical">
            <a:extLst>
              <a:ext uri="{FF2B5EF4-FFF2-40B4-BE49-F238E27FC236}">
                <a16:creationId xmlns:a16="http://schemas.microsoft.com/office/drawing/2014/main" id="{00000000-0008-0000-0000-0000F5000000}"/>
              </a:ext>
            </a:extLst>
          </xdr:cNvPr>
          <xdr:cNvSpPr>
            <a:spLocks noChangeArrowheads="1"/>
          </xdr:cNvSpPr>
        </xdr:nvSpPr>
        <xdr:spPr bwMode="auto">
          <a:xfrm>
            <a:off x="1738966" y="70032831"/>
            <a:ext cx="1756597" cy="96130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05">
        <xdr:nvSpPr>
          <xdr:cNvPr id="246" name="Text Box 4089">
            <a:extLst>
              <a:ext uri="{FF2B5EF4-FFF2-40B4-BE49-F238E27FC236}">
                <a16:creationId xmlns:a16="http://schemas.microsoft.com/office/drawing/2014/main" id="{00000000-0008-0000-0000-0000F6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10655" y="68681383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4283CC2E-2E7D-421B-B601-88E4712B59B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08">
        <xdr:nvSpPr>
          <xdr:cNvPr id="247" name="Text Box 4089">
            <a:extLst>
              <a:ext uri="{FF2B5EF4-FFF2-40B4-BE49-F238E27FC236}">
                <a16:creationId xmlns:a16="http://schemas.microsoft.com/office/drawing/2014/main" id="{00000000-0008-0000-0000-0000F700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390175" y="70141303"/>
            <a:ext cx="38955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A01994F7-DC67-4ACD-B7C6-0729AC6E5C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183.5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45004</xdr:colOff>
      <xdr:row>429</xdr:row>
      <xdr:rowOff>102045</xdr:rowOff>
    </xdr:from>
    <xdr:to>
      <xdr:col>17</xdr:col>
      <xdr:colOff>84328</xdr:colOff>
      <xdr:row>438</xdr:row>
      <xdr:rowOff>164763</xdr:rowOff>
    </xdr:to>
    <xdr:grpSp>
      <xdr:nvGrpSpPr>
        <xdr:cNvPr id="261" name="Group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GrpSpPr/>
      </xdr:nvGrpSpPr>
      <xdr:grpSpPr>
        <a:xfrm>
          <a:off x="1862262" y="68879941"/>
          <a:ext cx="1944324" cy="1583132"/>
          <a:chOff x="1696341" y="68655342"/>
          <a:chExt cx="1861498" cy="1707755"/>
        </a:xfrm>
      </xdr:grpSpPr>
      <xdr:grpSp>
        <xdr:nvGrpSpPr>
          <xdr:cNvPr id="262" name="Group 261">
            <a:extLst>
              <a:ext uri="{FF2B5EF4-FFF2-40B4-BE49-F238E27FC236}">
                <a16:creationId xmlns:a16="http://schemas.microsoft.com/office/drawing/2014/main" id="{00000000-0008-0000-0000-000006010000}"/>
              </a:ext>
            </a:extLst>
          </xdr:cNvPr>
          <xdr:cNvGrpSpPr/>
        </xdr:nvGrpSpPr>
        <xdr:grpSpPr>
          <a:xfrm>
            <a:off x="1702338" y="69034162"/>
            <a:ext cx="1838613" cy="1328935"/>
            <a:chOff x="1176417" y="1971737"/>
            <a:chExt cx="3300802" cy="3329132"/>
          </a:xfrm>
        </xdr:grpSpPr>
        <xdr:sp macro="" textlink="">
          <xdr:nvSpPr>
            <xdr:cNvPr id="267" name="Line 96">
              <a:extLst>
                <a:ext uri="{FF2B5EF4-FFF2-40B4-BE49-F238E27FC236}">
                  <a16:creationId xmlns:a16="http://schemas.microsoft.com/office/drawing/2014/main" id="{00000000-0008-0000-0000-00000B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8" name="Line 96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9" name="Line 101">
              <a:extLst>
                <a:ext uri="{FF2B5EF4-FFF2-40B4-BE49-F238E27FC236}">
                  <a16:creationId xmlns:a16="http://schemas.microsoft.com/office/drawing/2014/main" id="{00000000-0008-0000-0000-00000D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0" name="Line 101">
              <a:extLst>
                <a:ext uri="{FF2B5EF4-FFF2-40B4-BE49-F238E27FC236}">
                  <a16:creationId xmlns:a16="http://schemas.microsoft.com/office/drawing/2014/main" id="{00000000-0008-0000-0000-00000E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" name="Line 101">
              <a:extLst>
                <a:ext uri="{FF2B5EF4-FFF2-40B4-BE49-F238E27FC236}">
                  <a16:creationId xmlns:a16="http://schemas.microsoft.com/office/drawing/2014/main" id="{00000000-0008-0000-0000-00000F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" name="Line 101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3" name="Rectangle 728" descr="Light vertical">
            <a:extLst>
              <a:ext uri="{FF2B5EF4-FFF2-40B4-BE49-F238E27FC236}">
                <a16:creationId xmlns:a16="http://schemas.microsoft.com/office/drawing/2014/main" id="{00000000-0008-0000-0000-00000701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64" name="Rectangle 728" descr="Light vertical">
            <a:extLst>
              <a:ext uri="{FF2B5EF4-FFF2-40B4-BE49-F238E27FC236}">
                <a16:creationId xmlns:a16="http://schemas.microsoft.com/office/drawing/2014/main" id="{00000000-0008-0000-0000-000008010000}"/>
              </a:ext>
            </a:extLst>
          </xdr:cNvPr>
          <xdr:cNvSpPr>
            <a:spLocks noChangeArrowheads="1"/>
          </xdr:cNvSpPr>
        </xdr:nvSpPr>
        <xdr:spPr bwMode="auto">
          <a:xfrm>
            <a:off x="1758489" y="70052362"/>
            <a:ext cx="1733924" cy="108581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29">
        <xdr:nvSpPr>
          <xdr:cNvPr id="265" name="Text Box 4089">
            <a:extLst>
              <a:ext uri="{FF2B5EF4-FFF2-40B4-BE49-F238E27FC236}">
                <a16:creationId xmlns:a16="http://schemas.microsoft.com/office/drawing/2014/main" id="{00000000-0008-0000-0000-000009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88745" y="68655342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E434D7C0-5E22-45C7-85E7-FB9296C3D20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68.5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30">
        <xdr:nvSpPr>
          <xdr:cNvPr id="266" name="Text Box 4089">
            <a:extLst>
              <a:ext uri="{FF2B5EF4-FFF2-40B4-BE49-F238E27FC236}">
                <a16:creationId xmlns:a16="http://schemas.microsoft.com/office/drawing/2014/main" id="{00000000-0008-0000-0000-00000A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33" y="70173855"/>
            <a:ext cx="270515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FB8196EA-577A-4727-98EA-CF36AC4863D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16728</xdr:colOff>
      <xdr:row>443</xdr:row>
      <xdr:rowOff>130243</xdr:rowOff>
    </xdr:from>
    <xdr:to>
      <xdr:col>22</xdr:col>
      <xdr:colOff>57031</xdr:colOff>
      <xdr:row>451</xdr:row>
      <xdr:rowOff>134494</xdr:rowOff>
    </xdr:to>
    <xdr:grpSp>
      <xdr:nvGrpSpPr>
        <xdr:cNvPr id="273" name="Group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GrpSpPr/>
      </xdr:nvGrpSpPr>
      <xdr:grpSpPr>
        <a:xfrm>
          <a:off x="1073891" y="71268994"/>
          <a:ext cx="3659803" cy="1341337"/>
          <a:chOff x="1217745" y="24370667"/>
          <a:chExt cx="3453882" cy="1427452"/>
        </a:xfrm>
      </xdr:grpSpPr>
      <xdr:sp macro="" textlink="">
        <xdr:nvSpPr>
          <xdr:cNvPr id="274" name="Freeform 4016" descr="Light horizontal">
            <a:extLst>
              <a:ext uri="{FF2B5EF4-FFF2-40B4-BE49-F238E27FC236}">
                <a16:creationId xmlns:a16="http://schemas.microsoft.com/office/drawing/2014/main" id="{00000000-0008-0000-0000-000012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43">
        <xdr:nvSpPr>
          <xdr:cNvPr id="275" name="Text Box 4089">
            <a:extLst>
              <a:ext uri="{FF2B5EF4-FFF2-40B4-BE49-F238E27FC236}">
                <a16:creationId xmlns:a16="http://schemas.microsoft.com/office/drawing/2014/main" id="{00000000-0008-0000-0000-00001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320232" cy="16971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C46ADF2-292B-4869-BAC3-3FD29D6F21F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118.5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442">
        <xdr:nvSpPr>
          <xdr:cNvPr id="276" name="Text Box 4089">
            <a:extLst>
              <a:ext uri="{FF2B5EF4-FFF2-40B4-BE49-F238E27FC236}">
                <a16:creationId xmlns:a16="http://schemas.microsoft.com/office/drawing/2014/main" id="{00000000-0008-0000-0000-000014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252942" cy="16971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1DB19897-FFEA-4898-9BDC-2A3972F8460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277" name="Group 276">
            <a:extLst>
              <a:ext uri="{FF2B5EF4-FFF2-40B4-BE49-F238E27FC236}">
                <a16:creationId xmlns:a16="http://schemas.microsoft.com/office/drawing/2014/main" id="{00000000-0008-0000-0000-000015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281" name="Line 96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96">
              <a:extLst>
                <a:ext uri="{FF2B5EF4-FFF2-40B4-BE49-F238E27FC236}">
                  <a16:creationId xmlns:a16="http://schemas.microsoft.com/office/drawing/2014/main" id="{00000000-0008-0000-0000-00001A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101">
              <a:extLst>
                <a:ext uri="{FF2B5EF4-FFF2-40B4-BE49-F238E27FC236}">
                  <a16:creationId xmlns:a16="http://schemas.microsoft.com/office/drawing/2014/main" id="{00000000-0008-0000-0000-00001B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101">
              <a:extLst>
                <a:ext uri="{FF2B5EF4-FFF2-40B4-BE49-F238E27FC236}">
                  <a16:creationId xmlns:a16="http://schemas.microsoft.com/office/drawing/2014/main" id="{00000000-0008-0000-0000-00001C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101">
              <a:extLst>
                <a:ext uri="{FF2B5EF4-FFF2-40B4-BE49-F238E27FC236}">
                  <a16:creationId xmlns:a16="http://schemas.microsoft.com/office/drawing/2014/main" id="{00000000-0008-0000-0000-00001D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" name="Line 101">
              <a:extLst>
                <a:ext uri="{FF2B5EF4-FFF2-40B4-BE49-F238E27FC236}">
                  <a16:creationId xmlns:a16="http://schemas.microsoft.com/office/drawing/2014/main" id="{00000000-0008-0000-0000-00001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" name="Freeform 4016" descr="Light horizontal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42">
        <xdr:nvSpPr>
          <xdr:cNvPr id="279" name="Text Box 4089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3"/>
            <a:ext cx="252942" cy="16971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E8A1A710-6E70-4C68-BA3D-24B759B0BB4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43">
        <xdr:nvSpPr>
          <xdr:cNvPr id="280" name="Text Box 4089">
            <a:extLst>
              <a:ext uri="{FF2B5EF4-FFF2-40B4-BE49-F238E27FC236}">
                <a16:creationId xmlns:a16="http://schemas.microsoft.com/office/drawing/2014/main" id="{00000000-0008-0000-0000-000018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1"/>
            <a:ext cx="320232" cy="16971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AADEAB99-998F-40EE-B389-B541B317BD5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118.5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29107</xdr:colOff>
      <xdr:row>454</xdr:row>
      <xdr:rowOff>48355</xdr:rowOff>
    </xdr:from>
    <xdr:to>
      <xdr:col>17</xdr:col>
      <xdr:colOff>67161</xdr:colOff>
      <xdr:row>463</xdr:row>
      <xdr:rowOff>115738</xdr:rowOff>
    </xdr:to>
    <xdr:grpSp>
      <xdr:nvGrpSpPr>
        <xdr:cNvPr id="287" name="Group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GrpSpPr/>
      </xdr:nvGrpSpPr>
      <xdr:grpSpPr>
        <a:xfrm>
          <a:off x="1842555" y="73034172"/>
          <a:ext cx="1943054" cy="1578272"/>
          <a:chOff x="1696341" y="68655342"/>
          <a:chExt cx="1861498" cy="1707755"/>
        </a:xfrm>
      </xdr:grpSpPr>
      <xdr:grpSp>
        <xdr:nvGrpSpPr>
          <xdr:cNvPr id="288" name="Group 287">
            <a:extLst>
              <a:ext uri="{FF2B5EF4-FFF2-40B4-BE49-F238E27FC236}">
                <a16:creationId xmlns:a16="http://schemas.microsoft.com/office/drawing/2014/main" id="{00000000-0008-0000-0000-000020010000}"/>
              </a:ext>
            </a:extLst>
          </xdr:cNvPr>
          <xdr:cNvGrpSpPr/>
        </xdr:nvGrpSpPr>
        <xdr:grpSpPr>
          <a:xfrm>
            <a:off x="1702338" y="69034162"/>
            <a:ext cx="1838613" cy="1328935"/>
            <a:chOff x="1176417" y="1971737"/>
            <a:chExt cx="3300802" cy="3329132"/>
          </a:xfrm>
        </xdr:grpSpPr>
        <xdr:sp macro="" textlink="">
          <xdr:nvSpPr>
            <xdr:cNvPr id="293" name="Line 96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4" name="Line 96">
              <a:extLst>
                <a:ext uri="{FF2B5EF4-FFF2-40B4-BE49-F238E27FC236}">
                  <a16:creationId xmlns:a16="http://schemas.microsoft.com/office/drawing/2014/main" id="{00000000-0008-0000-0000-000026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5" name="Line 101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" name="Line 101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" name="Line 101">
              <a:extLst>
                <a:ext uri="{FF2B5EF4-FFF2-40B4-BE49-F238E27FC236}">
                  <a16:creationId xmlns:a16="http://schemas.microsoft.com/office/drawing/2014/main" id="{00000000-0008-0000-0000-00002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" name="Line 101">
              <a:extLst>
                <a:ext uri="{FF2B5EF4-FFF2-40B4-BE49-F238E27FC236}">
                  <a16:creationId xmlns:a16="http://schemas.microsoft.com/office/drawing/2014/main" id="{00000000-0008-0000-0000-00002A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9" name="Rectangle 728" descr="Light vertical">
            <a:extLst>
              <a:ext uri="{FF2B5EF4-FFF2-40B4-BE49-F238E27FC236}">
                <a16:creationId xmlns:a16="http://schemas.microsoft.com/office/drawing/2014/main" id="{00000000-0008-0000-0000-000021010000}"/>
              </a:ext>
            </a:extLst>
          </xdr:cNvPr>
          <xdr:cNvSpPr>
            <a:spLocks noChangeArrowheads="1"/>
          </xdr:cNvSpPr>
        </xdr:nvSpPr>
        <xdr:spPr bwMode="auto">
          <a:xfrm>
            <a:off x="1696341" y="68855238"/>
            <a:ext cx="1861498" cy="138314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290" name="Rectangle 728" descr="Light vertical">
            <a:extLst>
              <a:ext uri="{FF2B5EF4-FFF2-40B4-BE49-F238E27FC236}">
                <a16:creationId xmlns:a16="http://schemas.microsoft.com/office/drawing/2014/main" id="{00000000-0008-0000-0000-000022010000}"/>
              </a:ext>
            </a:extLst>
          </xdr:cNvPr>
          <xdr:cNvSpPr>
            <a:spLocks noChangeArrowheads="1"/>
          </xdr:cNvSpPr>
        </xdr:nvSpPr>
        <xdr:spPr bwMode="auto">
          <a:xfrm>
            <a:off x="1758489" y="70052362"/>
            <a:ext cx="1733924" cy="108581"/>
          </a:xfrm>
          <a:prstGeom prst="rect">
            <a:avLst/>
          </a:prstGeom>
          <a:pattFill prst="ltVert">
            <a:fgClr>
              <a:srgbClr val="000000"/>
            </a:fgClr>
            <a:bgClr>
              <a:srgbClr val="FFFFFF"/>
            </a:bgClr>
          </a:patt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$S$454">
        <xdr:nvSpPr>
          <xdr:cNvPr id="291" name="Text Box 4089">
            <a:extLst>
              <a:ext uri="{FF2B5EF4-FFF2-40B4-BE49-F238E27FC236}">
                <a16:creationId xmlns:a16="http://schemas.microsoft.com/office/drawing/2014/main" id="{00000000-0008-0000-0000-00002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88745" y="68655342"/>
            <a:ext cx="274138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886C0FEE-5DD7-48A9-B60B-EB1636D7AB7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55">
        <xdr:nvSpPr>
          <xdr:cNvPr id="292" name="Text Box 4089">
            <a:extLst>
              <a:ext uri="{FF2B5EF4-FFF2-40B4-BE49-F238E27FC236}">
                <a16:creationId xmlns:a16="http://schemas.microsoft.com/office/drawing/2014/main" id="{00000000-0008-0000-0000-000024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33" y="70173855"/>
            <a:ext cx="270515" cy="1682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8794AC64-9214-477D-9711-2C6AF78CE41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</xdr:col>
      <xdr:colOff>132426</xdr:colOff>
      <xdr:row>491</xdr:row>
      <xdr:rowOff>93982</xdr:rowOff>
    </xdr:from>
    <xdr:to>
      <xdr:col>22</xdr:col>
      <xdr:colOff>170339</xdr:colOff>
      <xdr:row>499</xdr:row>
      <xdr:rowOff>96859</xdr:rowOff>
    </xdr:to>
    <xdr:grpSp>
      <xdr:nvGrpSpPr>
        <xdr:cNvPr id="299" name="Group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GrpSpPr/>
      </xdr:nvGrpSpPr>
      <xdr:grpSpPr>
        <a:xfrm>
          <a:off x="1189589" y="79300968"/>
          <a:ext cx="3657413" cy="1339963"/>
          <a:chOff x="1217745" y="24370667"/>
          <a:chExt cx="3454112" cy="1427452"/>
        </a:xfrm>
      </xdr:grpSpPr>
      <xdr:sp macro="" textlink="">
        <xdr:nvSpPr>
          <xdr:cNvPr id="300" name="Freeform 4016" descr="Light horizontal">
            <a:extLst>
              <a:ext uri="{FF2B5EF4-FFF2-40B4-BE49-F238E27FC236}">
                <a16:creationId xmlns:a16="http://schemas.microsoft.com/office/drawing/2014/main" id="{00000000-0008-0000-0000-00002C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91">
        <xdr:nvSpPr>
          <xdr:cNvPr id="301" name="Text Box 4089">
            <a:extLst>
              <a:ext uri="{FF2B5EF4-FFF2-40B4-BE49-F238E27FC236}">
                <a16:creationId xmlns:a16="http://schemas.microsoft.com/office/drawing/2014/main" id="{00000000-0008-0000-0000-00002D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320462" cy="16988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8050D4B-A12E-41F3-881F-5366D00B1D5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490">
        <xdr:nvSpPr>
          <xdr:cNvPr id="302" name="Text Box 4089">
            <a:extLst>
              <a:ext uri="{FF2B5EF4-FFF2-40B4-BE49-F238E27FC236}">
                <a16:creationId xmlns:a16="http://schemas.microsoft.com/office/drawing/2014/main" id="{00000000-0008-0000-0000-00002E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4" y="24370667"/>
            <a:ext cx="253124" cy="16988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ADEC6A4D-809B-4F9A-8856-8279693C492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303" name="Group 302">
            <a:extLst>
              <a:ext uri="{FF2B5EF4-FFF2-40B4-BE49-F238E27FC236}">
                <a16:creationId xmlns:a16="http://schemas.microsoft.com/office/drawing/2014/main" id="{00000000-0008-0000-0000-00002F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307" name="Line 96">
              <a:extLst>
                <a:ext uri="{FF2B5EF4-FFF2-40B4-BE49-F238E27FC236}">
                  <a16:creationId xmlns:a16="http://schemas.microsoft.com/office/drawing/2014/main" id="{00000000-0008-0000-0000-000033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" name="Line 96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9" name="Line 101">
              <a:extLst>
                <a:ext uri="{FF2B5EF4-FFF2-40B4-BE49-F238E27FC236}">
                  <a16:creationId xmlns:a16="http://schemas.microsoft.com/office/drawing/2014/main" id="{00000000-0008-0000-0000-000035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" name="Line 101">
              <a:extLst>
                <a:ext uri="{FF2B5EF4-FFF2-40B4-BE49-F238E27FC236}">
                  <a16:creationId xmlns:a16="http://schemas.microsoft.com/office/drawing/2014/main" id="{00000000-0008-0000-0000-000036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" name="Line 101">
              <a:extLst>
                <a:ext uri="{FF2B5EF4-FFF2-40B4-BE49-F238E27FC236}">
                  <a16:creationId xmlns:a16="http://schemas.microsoft.com/office/drawing/2014/main" id="{00000000-0008-0000-0000-00003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" name="Line 101">
              <a:extLst>
                <a:ext uri="{FF2B5EF4-FFF2-40B4-BE49-F238E27FC236}">
                  <a16:creationId xmlns:a16="http://schemas.microsoft.com/office/drawing/2014/main" id="{00000000-0008-0000-0000-00003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4" name="Freeform 4016" descr="Light horizontal">
            <a:extLst>
              <a:ext uri="{FF2B5EF4-FFF2-40B4-BE49-F238E27FC236}">
                <a16:creationId xmlns:a16="http://schemas.microsoft.com/office/drawing/2014/main" id="{00000000-0008-0000-0000-000030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488">
        <xdr:nvSpPr>
          <xdr:cNvPr id="305" name="Text Box 4089">
            <a:extLst>
              <a:ext uri="{FF2B5EF4-FFF2-40B4-BE49-F238E27FC236}">
                <a16:creationId xmlns:a16="http://schemas.microsoft.com/office/drawing/2014/main" id="{00000000-0008-0000-0000-000031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4"/>
            <a:ext cx="317728" cy="17246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28CDBFF9-10DA-499A-B37A-BE2359100C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89">
        <xdr:nvSpPr>
          <xdr:cNvPr id="306" name="Text Box 4089">
            <a:extLst>
              <a:ext uri="{FF2B5EF4-FFF2-40B4-BE49-F238E27FC236}">
                <a16:creationId xmlns:a16="http://schemas.microsoft.com/office/drawing/2014/main" id="{00000000-0008-0000-0000-00003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2"/>
            <a:ext cx="320462" cy="16988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9339C687-AD03-4D16-B069-D6001BF199E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21</xdr:col>
      <xdr:colOff>104131</xdr:colOff>
      <xdr:row>478</xdr:row>
      <xdr:rowOff>104058</xdr:rowOff>
    </xdr:from>
    <xdr:ext cx="329916" cy="151960"/>
    <xdr:sp macro="" textlink="$O$458">
      <xdr:nvSpPr>
        <xdr:cNvPr id="313" name="Text Box 929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 noTextEdit="1"/>
        </xdr:cNvSpPr>
      </xdr:nvSpPr>
      <xdr:spPr bwMode="auto">
        <a:xfrm>
          <a:off x="4578976" y="78654828"/>
          <a:ext cx="329916" cy="151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5217A19A-A97A-4CC7-9068-AD52A197CFAC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5</xdr:col>
      <xdr:colOff>72278</xdr:colOff>
      <xdr:row>474</xdr:row>
      <xdr:rowOff>71244</xdr:rowOff>
    </xdr:from>
    <xdr:to>
      <xdr:col>18</xdr:col>
      <xdr:colOff>177383</xdr:colOff>
      <xdr:row>484</xdr:row>
      <xdr:rowOff>0</xdr:rowOff>
    </xdr:to>
    <xdr:grpSp>
      <xdr:nvGrpSpPr>
        <xdr:cNvPr id="314" name="Group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GrpSpPr/>
      </xdr:nvGrpSpPr>
      <xdr:grpSpPr>
        <a:xfrm>
          <a:off x="1504726" y="76415015"/>
          <a:ext cx="2579700" cy="1611544"/>
          <a:chOff x="1457060" y="79948595"/>
          <a:chExt cx="2494938" cy="1601634"/>
        </a:xfrm>
      </xdr:grpSpPr>
      <xdr:grpSp>
        <xdr:nvGrpSpPr>
          <xdr:cNvPr id="315" name="Group 314">
            <a:extLst>
              <a:ext uri="{FF2B5EF4-FFF2-40B4-BE49-F238E27FC236}">
                <a16:creationId xmlns:a16="http://schemas.microsoft.com/office/drawing/2014/main" id="{00000000-0008-0000-0000-00003B010000}"/>
              </a:ext>
            </a:extLst>
          </xdr:cNvPr>
          <xdr:cNvGrpSpPr/>
        </xdr:nvGrpSpPr>
        <xdr:grpSpPr>
          <a:xfrm>
            <a:off x="1786478" y="80209298"/>
            <a:ext cx="1855749" cy="1340931"/>
            <a:chOff x="1176417" y="1971737"/>
            <a:chExt cx="3300802" cy="3329132"/>
          </a:xfrm>
        </xdr:grpSpPr>
        <xdr:sp macro="" textlink="">
          <xdr:nvSpPr>
            <xdr:cNvPr id="319" name="Line 96">
              <a:extLst>
                <a:ext uri="{FF2B5EF4-FFF2-40B4-BE49-F238E27FC236}">
                  <a16:creationId xmlns:a16="http://schemas.microsoft.com/office/drawing/2014/main" id="{00000000-0008-0000-0000-00003F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0" name="Line 96">
              <a:extLst>
                <a:ext uri="{FF2B5EF4-FFF2-40B4-BE49-F238E27FC236}">
                  <a16:creationId xmlns:a16="http://schemas.microsoft.com/office/drawing/2014/main" id="{00000000-0008-0000-0000-000040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" name="Line 101">
              <a:extLst>
                <a:ext uri="{FF2B5EF4-FFF2-40B4-BE49-F238E27FC236}">
                  <a16:creationId xmlns:a16="http://schemas.microsoft.com/office/drawing/2014/main" id="{00000000-0008-0000-0000-000041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39749" y="2048545"/>
              <a:ext cx="3177967" cy="5979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" name="Line 101">
              <a:extLst>
                <a:ext uri="{FF2B5EF4-FFF2-40B4-BE49-F238E27FC236}">
                  <a16:creationId xmlns:a16="http://schemas.microsoft.com/office/drawing/2014/main" id="{00000000-0008-0000-0000-000042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" name="Line 101">
              <a:extLst>
                <a:ext uri="{FF2B5EF4-FFF2-40B4-BE49-F238E27FC236}">
                  <a16:creationId xmlns:a16="http://schemas.microsoft.com/office/drawing/2014/main" id="{00000000-0008-0000-0000-000043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" name="Line 101">
              <a:extLst>
                <a:ext uri="{FF2B5EF4-FFF2-40B4-BE49-F238E27FC236}">
                  <a16:creationId xmlns:a16="http://schemas.microsoft.com/office/drawing/2014/main" id="{00000000-0008-0000-0000-00004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" name="Flowchart: Manual Input 315">
            <a:extLst>
              <a:ext uri="{FF2B5EF4-FFF2-40B4-BE49-F238E27FC236}">
                <a16:creationId xmlns:a16="http://schemas.microsoft.com/office/drawing/2014/main" id="{00000000-0008-0000-0000-00003C010000}"/>
              </a:ext>
            </a:extLst>
          </xdr:cNvPr>
          <xdr:cNvSpPr/>
        </xdr:nvSpPr>
        <xdr:spPr bwMode="auto">
          <a:xfrm flipH="1">
            <a:off x="1765623" y="79948595"/>
            <a:ext cx="1892914" cy="244951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S$474">
        <xdr:nvSpPr>
          <xdr:cNvPr id="317" name="Text Box 4089">
            <a:extLst>
              <a:ext uri="{FF2B5EF4-FFF2-40B4-BE49-F238E27FC236}">
                <a16:creationId xmlns:a16="http://schemas.microsoft.com/office/drawing/2014/main" id="{00000000-0008-0000-0000-00003D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678056" y="80005259"/>
            <a:ext cx="273942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B39C1BDB-A7BE-4E8C-8CE2-FDAEF7745655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473">
        <xdr:nvSpPr>
          <xdr:cNvPr id="318" name="Text Box 4089">
            <a:extLst>
              <a:ext uri="{FF2B5EF4-FFF2-40B4-BE49-F238E27FC236}">
                <a16:creationId xmlns:a16="http://schemas.microsoft.com/office/drawing/2014/main" id="{00000000-0008-0000-0000-00003E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7060" y="79962588"/>
            <a:ext cx="272229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BCA8D976-B92E-4BFB-ABA4-6B030E9533A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174140</xdr:colOff>
      <xdr:row>503</xdr:row>
      <xdr:rowOff>18282</xdr:rowOff>
    </xdr:from>
    <xdr:to>
      <xdr:col>17</xdr:col>
      <xdr:colOff>173480</xdr:colOff>
      <xdr:row>511</xdr:row>
      <xdr:rowOff>1674</xdr:rowOff>
    </xdr:to>
    <xdr:grpSp>
      <xdr:nvGrpSpPr>
        <xdr:cNvPr id="325" name="Group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GrpSpPr/>
      </xdr:nvGrpSpPr>
      <xdr:grpSpPr>
        <a:xfrm>
          <a:off x="1985683" y="81242327"/>
          <a:ext cx="1904340" cy="1324288"/>
          <a:chOff x="1736649" y="42453968"/>
          <a:chExt cx="1837944" cy="1416639"/>
        </a:xfrm>
      </xdr:grpSpPr>
      <xdr:grpSp>
        <xdr:nvGrpSpPr>
          <xdr:cNvPr id="326" name="Group 325">
            <a:extLst>
              <a:ext uri="{FF2B5EF4-FFF2-40B4-BE49-F238E27FC236}">
                <a16:creationId xmlns:a16="http://schemas.microsoft.com/office/drawing/2014/main" id="{00000000-0008-0000-0000-000046010000}"/>
              </a:ext>
            </a:extLst>
          </xdr:cNvPr>
          <xdr:cNvGrpSpPr/>
        </xdr:nvGrpSpPr>
        <xdr:grpSpPr>
          <a:xfrm>
            <a:off x="1736649" y="42453968"/>
            <a:ext cx="1837944" cy="1416639"/>
            <a:chOff x="1988960" y="15722008"/>
            <a:chExt cx="1837652" cy="1451890"/>
          </a:xfrm>
        </xdr:grpSpPr>
        <xdr:grpSp>
          <xdr:nvGrpSpPr>
            <xdr:cNvPr id="328" name="Group 327">
              <a:extLst>
                <a:ext uri="{FF2B5EF4-FFF2-40B4-BE49-F238E27FC236}">
                  <a16:creationId xmlns:a16="http://schemas.microsoft.com/office/drawing/2014/main" id="{00000000-0008-0000-0000-000048010000}"/>
                </a:ext>
              </a:extLst>
            </xdr:cNvPr>
            <xdr:cNvGrpSpPr/>
          </xdr:nvGrpSpPr>
          <xdr:grpSpPr>
            <a:xfrm>
              <a:off x="1988960" y="15722008"/>
              <a:ext cx="1837652" cy="1451890"/>
              <a:chOff x="1191685" y="1952260"/>
              <a:chExt cx="3269331" cy="3591156"/>
            </a:xfrm>
          </xdr:grpSpPr>
          <xdr:sp macro="" textlink="">
            <xdr:nvSpPr>
              <xdr:cNvPr id="330" name="Line 96">
                <a:extLst>
                  <a:ext uri="{FF2B5EF4-FFF2-40B4-BE49-F238E27FC236}">
                    <a16:creationId xmlns:a16="http://schemas.microsoft.com/office/drawing/2014/main" id="{00000000-0008-0000-0000-00004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1685" y="1989912"/>
                <a:ext cx="0" cy="355350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1" name="Line 96">
                <a:extLst>
                  <a:ext uri="{FF2B5EF4-FFF2-40B4-BE49-F238E27FC236}">
                    <a16:creationId xmlns:a16="http://schemas.microsoft.com/office/drawing/2014/main" id="{00000000-0008-0000-0000-00004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1016" y="1952260"/>
                <a:ext cx="0" cy="357022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" name="Line 101">
                <a:extLst>
                  <a:ext uri="{FF2B5EF4-FFF2-40B4-BE49-F238E27FC236}">
                    <a16:creationId xmlns:a16="http://schemas.microsoft.com/office/drawing/2014/main" id="{00000000-0008-0000-0000-00004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8270" y="2034999"/>
                <a:ext cx="3135429" cy="32459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" name="Line 101">
                <a:extLst>
                  <a:ext uri="{FF2B5EF4-FFF2-40B4-BE49-F238E27FC236}">
                    <a16:creationId xmlns:a16="http://schemas.microsoft.com/office/drawing/2014/main" id="{00000000-0008-0000-0000-00004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5051" y="4387253"/>
                <a:ext cx="3155475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4" name="Line 101">
                <a:extLst>
                  <a:ext uri="{FF2B5EF4-FFF2-40B4-BE49-F238E27FC236}">
                    <a16:creationId xmlns:a16="http://schemas.microsoft.com/office/drawing/2014/main" id="{00000000-0008-0000-0000-00004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5" name="Line 101">
                <a:extLst>
                  <a:ext uri="{FF2B5EF4-FFF2-40B4-BE49-F238E27FC236}">
                    <a16:creationId xmlns:a16="http://schemas.microsoft.com/office/drawing/2014/main" id="{00000000-0008-0000-0000-00004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03">
          <xdr:nvSpPr>
            <xdr:cNvPr id="329" name="Text Box 599">
              <a:extLst>
                <a:ext uri="{FF2B5EF4-FFF2-40B4-BE49-F238E27FC236}">
                  <a16:creationId xmlns:a16="http://schemas.microsoft.com/office/drawing/2014/main" id="{00000000-0008-0000-0000-000049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20067" y="16979391"/>
              <a:ext cx="367677" cy="181411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r" rtl="0">
                <a:defRPr sz="1000"/>
              </a:pPr>
              <a:fld id="{F5C5CCBD-259E-44B2-94AB-AAD301379E57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128.5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$S$502">
        <xdr:nvSpPr>
          <xdr:cNvPr id="327" name="Text Box 599">
            <a:extLst>
              <a:ext uri="{FF2B5EF4-FFF2-40B4-BE49-F238E27FC236}">
                <a16:creationId xmlns:a16="http://schemas.microsoft.com/office/drawing/2014/main" id="{00000000-0008-0000-0000-00004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70000" y="43674021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B9D01466-7940-4E7F-9DB2-02C889BD507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158.5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2</xdr:col>
      <xdr:colOff>133696</xdr:colOff>
      <xdr:row>543</xdr:row>
      <xdr:rowOff>59923</xdr:rowOff>
    </xdr:from>
    <xdr:to>
      <xdr:col>21</xdr:col>
      <xdr:colOff>174322</xdr:colOff>
      <xdr:row>551</xdr:row>
      <xdr:rowOff>36129</xdr:rowOff>
    </xdr:to>
    <xdr:grpSp>
      <xdr:nvGrpSpPr>
        <xdr:cNvPr id="336" name="Group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GrpSpPr/>
      </xdr:nvGrpSpPr>
      <xdr:grpSpPr>
        <a:xfrm>
          <a:off x="992739" y="87999878"/>
          <a:ext cx="3660126" cy="1324722"/>
          <a:chOff x="1217745" y="24370667"/>
          <a:chExt cx="3453851" cy="1427452"/>
        </a:xfrm>
      </xdr:grpSpPr>
      <xdr:sp macro="" textlink="">
        <xdr:nvSpPr>
          <xdr:cNvPr id="337" name="Freeform 4016" descr="Light horizontal">
            <a:extLst>
              <a:ext uri="{FF2B5EF4-FFF2-40B4-BE49-F238E27FC236}">
                <a16:creationId xmlns:a16="http://schemas.microsoft.com/office/drawing/2014/main" id="{00000000-0008-0000-0000-000051010000}"/>
              </a:ext>
            </a:extLst>
          </xdr:cNvPr>
          <xdr:cNvSpPr>
            <a:spLocks/>
          </xdr:cNvSpPr>
        </xdr:nvSpPr>
        <xdr:spPr bwMode="auto">
          <a:xfrm>
            <a:off x="1604878" y="24482235"/>
            <a:ext cx="347298" cy="963799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543">
        <xdr:nvSpPr>
          <xdr:cNvPr id="338" name="Text Box 4089">
            <a:extLst>
              <a:ext uri="{FF2B5EF4-FFF2-40B4-BE49-F238E27FC236}">
                <a16:creationId xmlns:a16="http://schemas.microsoft.com/office/drawing/2014/main" id="{00000000-0008-0000-0000-00005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351395" y="25336697"/>
            <a:ext cx="320201" cy="1793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59870F7-C039-403B-961F-AB0A706C886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153.5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S$542">
        <xdr:nvSpPr>
          <xdr:cNvPr id="339" name="Text Box 4089">
            <a:extLst>
              <a:ext uri="{FF2B5EF4-FFF2-40B4-BE49-F238E27FC236}">
                <a16:creationId xmlns:a16="http://schemas.microsoft.com/office/drawing/2014/main" id="{00000000-0008-0000-0000-000053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44455" y="24370667"/>
            <a:ext cx="317471" cy="17488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54606B46-267F-48D9-B978-DFDD9E586580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340" name="Group 339">
            <a:extLst>
              <a:ext uri="{FF2B5EF4-FFF2-40B4-BE49-F238E27FC236}">
                <a16:creationId xmlns:a16="http://schemas.microsoft.com/office/drawing/2014/main" id="{00000000-0008-0000-0000-00005401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344" name="Line 96">
              <a:extLst>
                <a:ext uri="{FF2B5EF4-FFF2-40B4-BE49-F238E27FC236}">
                  <a16:creationId xmlns:a16="http://schemas.microsoft.com/office/drawing/2014/main" id="{00000000-0008-0000-0000-000058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96">
              <a:extLst>
                <a:ext uri="{FF2B5EF4-FFF2-40B4-BE49-F238E27FC236}">
                  <a16:creationId xmlns:a16="http://schemas.microsoft.com/office/drawing/2014/main" id="{00000000-0008-0000-0000-000059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101">
              <a:extLst>
                <a:ext uri="{FF2B5EF4-FFF2-40B4-BE49-F238E27FC236}">
                  <a16:creationId xmlns:a16="http://schemas.microsoft.com/office/drawing/2014/main" id="{00000000-0008-0000-0000-00005A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53634" y="2047407"/>
              <a:ext cx="3155461" cy="1146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101">
              <a:extLst>
                <a:ext uri="{FF2B5EF4-FFF2-40B4-BE49-F238E27FC236}">
                  <a16:creationId xmlns:a16="http://schemas.microsoft.com/office/drawing/2014/main" id="{00000000-0008-0000-0000-00005B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101">
              <a:extLst>
                <a:ext uri="{FF2B5EF4-FFF2-40B4-BE49-F238E27FC236}">
                  <a16:creationId xmlns:a16="http://schemas.microsoft.com/office/drawing/2014/main" id="{00000000-0008-0000-0000-00005C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" name="Line 101">
              <a:extLs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" name="Freeform 4016" descr="Light horizontal">
            <a:extLst>
              <a:ext uri="{FF2B5EF4-FFF2-40B4-BE49-F238E27FC236}">
                <a16:creationId xmlns:a16="http://schemas.microsoft.com/office/drawing/2014/main" id="{00000000-0008-0000-0000-000055010000}"/>
              </a:ext>
            </a:extLst>
          </xdr:cNvPr>
          <xdr:cNvSpPr>
            <a:spLocks/>
          </xdr:cNvSpPr>
        </xdr:nvSpPr>
        <xdr:spPr bwMode="auto">
          <a:xfrm flipH="1">
            <a:off x="3911685" y="24459303"/>
            <a:ext cx="383753" cy="967354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S$540">
        <xdr:nvSpPr>
          <xdr:cNvPr id="342" name="Text Box 4089">
            <a:extLst>
              <a:ext uri="{FF2B5EF4-FFF2-40B4-BE49-F238E27FC236}">
                <a16:creationId xmlns:a16="http://schemas.microsoft.com/office/drawing/2014/main" id="{00000000-0008-0000-0000-000056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50481" y="24380214"/>
            <a:ext cx="252917" cy="1793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0DFB0DA3-1504-45A9-9C8F-2233D6DCB767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78.5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541">
        <xdr:nvSpPr>
          <xdr:cNvPr id="343" name="Text Box 4089">
            <a:extLst>
              <a:ext uri="{FF2B5EF4-FFF2-40B4-BE49-F238E27FC236}">
                <a16:creationId xmlns:a16="http://schemas.microsoft.com/office/drawing/2014/main" id="{00000000-0008-0000-0000-00005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217745" y="25359772"/>
            <a:ext cx="320201" cy="17932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8C13BDFA-579B-4030-93E9-056B083E59F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123.5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5</xdr:col>
      <xdr:colOff>90448</xdr:colOff>
      <xdr:row>526</xdr:row>
      <xdr:rowOff>89408</xdr:rowOff>
    </xdr:from>
    <xdr:to>
      <xdr:col>19</xdr:col>
      <xdr:colOff>11110</xdr:colOff>
      <xdr:row>536</xdr:row>
      <xdr:rowOff>6050</xdr:rowOff>
    </xdr:to>
    <xdr:grpSp>
      <xdr:nvGrpSpPr>
        <xdr:cNvPr id="350" name="Group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GrpSpPr/>
      </xdr:nvGrpSpPr>
      <xdr:grpSpPr>
        <a:xfrm>
          <a:off x="1528611" y="85179483"/>
          <a:ext cx="2585757" cy="1595619"/>
          <a:chOff x="1457060" y="79961917"/>
          <a:chExt cx="2494938" cy="1588312"/>
        </a:xfrm>
      </xdr:grpSpPr>
      <xdr:grpSp>
        <xdr:nvGrpSpPr>
          <xdr:cNvPr id="351" name="Group 350">
            <a:extLst>
              <a:ext uri="{FF2B5EF4-FFF2-40B4-BE49-F238E27FC236}">
                <a16:creationId xmlns:a16="http://schemas.microsoft.com/office/drawing/2014/main" id="{00000000-0008-0000-0000-00005F010000}"/>
              </a:ext>
            </a:extLst>
          </xdr:cNvPr>
          <xdr:cNvGrpSpPr/>
        </xdr:nvGrpSpPr>
        <xdr:grpSpPr>
          <a:xfrm>
            <a:off x="1786478" y="80209298"/>
            <a:ext cx="1855749" cy="1340931"/>
            <a:chOff x="1176417" y="1971737"/>
            <a:chExt cx="3300802" cy="3329132"/>
          </a:xfrm>
        </xdr:grpSpPr>
        <xdr:sp macro="" textlink="">
          <xdr:nvSpPr>
            <xdr:cNvPr id="355" name="Line 96">
              <a:extLst>
                <a:ext uri="{FF2B5EF4-FFF2-40B4-BE49-F238E27FC236}">
                  <a16:creationId xmlns:a16="http://schemas.microsoft.com/office/drawing/2014/main" id="{00000000-0008-0000-0000-000063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" name="Line 96">
              <a:extLst>
                <a:ext uri="{FF2B5EF4-FFF2-40B4-BE49-F238E27FC236}">
                  <a16:creationId xmlns:a16="http://schemas.microsoft.com/office/drawing/2014/main" id="{00000000-0008-0000-0000-000064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7" name="Line 101">
              <a:extLst>
                <a:ext uri="{FF2B5EF4-FFF2-40B4-BE49-F238E27FC236}">
                  <a16:creationId xmlns:a16="http://schemas.microsoft.com/office/drawing/2014/main" id="{00000000-0008-0000-0000-000065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39749" y="2048545"/>
              <a:ext cx="3177967" cy="5979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8" name="Line 101">
              <a:extLst>
                <a:ext uri="{FF2B5EF4-FFF2-40B4-BE49-F238E27FC236}">
                  <a16:creationId xmlns:a16="http://schemas.microsoft.com/office/drawing/2014/main" id="{00000000-0008-0000-0000-000066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" name="Line 101">
              <a:extLst>
                <a:ext uri="{FF2B5EF4-FFF2-40B4-BE49-F238E27FC236}">
                  <a16:creationId xmlns:a16="http://schemas.microsoft.com/office/drawing/2014/main" id="{00000000-0008-0000-0000-000067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" name="Line 101">
              <a:extLst>
                <a:ext uri="{FF2B5EF4-FFF2-40B4-BE49-F238E27FC236}">
                  <a16:creationId xmlns:a16="http://schemas.microsoft.com/office/drawing/2014/main" id="{00000000-0008-0000-0000-000068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2" name="Flowchart: Manual Input 351">
            <a:extLst>
              <a:ext uri="{FF2B5EF4-FFF2-40B4-BE49-F238E27FC236}">
                <a16:creationId xmlns:a16="http://schemas.microsoft.com/office/drawing/2014/main" id="{00000000-0008-0000-0000-000060010000}"/>
              </a:ext>
            </a:extLst>
          </xdr:cNvPr>
          <xdr:cNvSpPr/>
        </xdr:nvSpPr>
        <xdr:spPr bwMode="auto">
          <a:xfrm>
            <a:off x="1768051" y="79961917"/>
            <a:ext cx="1890715" cy="244951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SG" sz="1100"/>
          </a:p>
        </xdr:txBody>
      </xdr:sp>
      <xdr:sp macro="" textlink="$S$526">
        <xdr:nvSpPr>
          <xdr:cNvPr id="353" name="Text Box 4089">
            <a:extLst>
              <a:ext uri="{FF2B5EF4-FFF2-40B4-BE49-F238E27FC236}">
                <a16:creationId xmlns:a16="http://schemas.microsoft.com/office/drawing/2014/main" id="{00000000-0008-0000-0000-000061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678056" y="80005259"/>
            <a:ext cx="273942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F9109419-5C9C-4AD6-9FFC-B3F1A4933E3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103.5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$S$525">
        <xdr:nvSpPr>
          <xdr:cNvPr id="354" name="Text Box 4089">
            <a:extLst>
              <a:ext uri="{FF2B5EF4-FFF2-40B4-BE49-F238E27FC236}">
                <a16:creationId xmlns:a16="http://schemas.microsoft.com/office/drawing/2014/main" id="{00000000-0008-0000-0000-000062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457060" y="79962588"/>
            <a:ext cx="272229" cy="16998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noAutofit/>
          </a:bodyPr>
          <a:lstStyle/>
          <a:p>
            <a:pPr algn="l" rtl="0">
              <a:defRPr sz="1000"/>
            </a:pPr>
            <a:fld id="{6F73BD26-77B3-4231-8906-BF2D3546264E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73.5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174537</xdr:colOff>
      <xdr:row>555</xdr:row>
      <xdr:rowOff>40731</xdr:rowOff>
    </xdr:from>
    <xdr:to>
      <xdr:col>17</xdr:col>
      <xdr:colOff>154827</xdr:colOff>
      <xdr:row>563</xdr:row>
      <xdr:rowOff>21366</xdr:rowOff>
    </xdr:to>
    <xdr:grpSp>
      <xdr:nvGrpSpPr>
        <xdr:cNvPr id="361" name="Group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GrpSpPr/>
      </xdr:nvGrpSpPr>
      <xdr:grpSpPr>
        <a:xfrm>
          <a:off x="1986080" y="90001555"/>
          <a:ext cx="1889100" cy="1321530"/>
          <a:chOff x="1736649" y="42453968"/>
          <a:chExt cx="1837944" cy="1418028"/>
        </a:xfrm>
      </xdr:grpSpPr>
      <xdr:grpSp>
        <xdr:nvGrpSpPr>
          <xdr:cNvPr id="362" name="Group 361">
            <a:extLst>
              <a:ext uri="{FF2B5EF4-FFF2-40B4-BE49-F238E27FC236}">
                <a16:creationId xmlns:a16="http://schemas.microsoft.com/office/drawing/2014/main" id="{00000000-0008-0000-0000-00006A010000}"/>
              </a:ext>
            </a:extLst>
          </xdr:cNvPr>
          <xdr:cNvGrpSpPr/>
        </xdr:nvGrpSpPr>
        <xdr:grpSpPr>
          <a:xfrm>
            <a:off x="1736649" y="42453968"/>
            <a:ext cx="1837944" cy="1416639"/>
            <a:chOff x="1988960" y="15722008"/>
            <a:chExt cx="1837652" cy="1451890"/>
          </a:xfrm>
        </xdr:grpSpPr>
        <xdr:grpSp>
          <xdr:nvGrpSpPr>
            <xdr:cNvPr id="365" name="Group 364">
              <a:extLst>
                <a:ext uri="{FF2B5EF4-FFF2-40B4-BE49-F238E27FC236}">
                  <a16:creationId xmlns:a16="http://schemas.microsoft.com/office/drawing/2014/main" id="{00000000-0008-0000-0000-00006D010000}"/>
                </a:ext>
              </a:extLst>
            </xdr:cNvPr>
            <xdr:cNvGrpSpPr/>
          </xdr:nvGrpSpPr>
          <xdr:grpSpPr>
            <a:xfrm>
              <a:off x="1988960" y="15722008"/>
              <a:ext cx="1837652" cy="1451890"/>
              <a:chOff x="1191685" y="1952260"/>
              <a:chExt cx="3269331" cy="3591156"/>
            </a:xfrm>
          </xdr:grpSpPr>
          <xdr:sp macro="" textlink="">
            <xdr:nvSpPr>
              <xdr:cNvPr id="367" name="Line 96">
                <a:extLst>
                  <a:ext uri="{FF2B5EF4-FFF2-40B4-BE49-F238E27FC236}">
                    <a16:creationId xmlns:a16="http://schemas.microsoft.com/office/drawing/2014/main" id="{00000000-0008-0000-0000-00006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1685" y="1989912"/>
                <a:ext cx="0" cy="355350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8" name="Line 96">
                <a:extLst>
                  <a:ext uri="{FF2B5EF4-FFF2-40B4-BE49-F238E27FC236}">
                    <a16:creationId xmlns:a16="http://schemas.microsoft.com/office/drawing/2014/main" id="{00000000-0008-0000-0000-00007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1016" y="1952260"/>
                <a:ext cx="0" cy="3570221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101">
                <a:extLst>
                  <a:ext uri="{FF2B5EF4-FFF2-40B4-BE49-F238E27FC236}">
                    <a16:creationId xmlns:a16="http://schemas.microsoft.com/office/drawing/2014/main" id="{00000000-0008-0000-0000-00007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8270" y="2034999"/>
                <a:ext cx="3135429" cy="32459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" name="Line 101">
                <a:extLst>
                  <a:ext uri="{FF2B5EF4-FFF2-40B4-BE49-F238E27FC236}">
                    <a16:creationId xmlns:a16="http://schemas.microsoft.com/office/drawing/2014/main" id="{00000000-0008-0000-0000-00007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5051" y="4387253"/>
                <a:ext cx="3155475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101">
                <a:extLst>
                  <a:ext uri="{FF2B5EF4-FFF2-40B4-BE49-F238E27FC236}">
                    <a16:creationId xmlns:a16="http://schemas.microsoft.com/office/drawing/2014/main" id="{00000000-0008-0000-0000-00007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2" name="Line 101">
                <a:extLst>
                  <a:ext uri="{FF2B5EF4-FFF2-40B4-BE49-F238E27FC236}">
                    <a16:creationId xmlns:a16="http://schemas.microsoft.com/office/drawing/2014/main" id="{00000000-0008-0000-0000-00007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55">
          <xdr:nvSpPr>
            <xdr:cNvPr id="366" name="Text Box 599">
              <a:extLst>
                <a:ext uri="{FF2B5EF4-FFF2-40B4-BE49-F238E27FC236}">
                  <a16:creationId xmlns:a16="http://schemas.microsoft.com/office/drawing/2014/main" id="{00000000-0008-0000-0000-00006E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20067" y="16979390"/>
              <a:ext cx="367677" cy="18196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r" rtl="0">
                <a:defRPr sz="1000"/>
              </a:pPr>
              <a:fld id="{F8404E4B-586A-461E-A726-11E29C681FF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158.5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sp macro="" textlink="">
        <xdr:nvSpPr>
          <xdr:cNvPr id="363" name="Flowchart: Manual Input 362">
            <a:extLst>
              <a:ext uri="{FF2B5EF4-FFF2-40B4-BE49-F238E27FC236}">
                <a16:creationId xmlns:a16="http://schemas.microsoft.com/office/drawing/2014/main" id="{00000000-0008-0000-0000-00006B010000}"/>
              </a:ext>
            </a:extLst>
          </xdr:cNvPr>
          <xdr:cNvSpPr/>
        </xdr:nvSpPr>
        <xdr:spPr bwMode="auto">
          <a:xfrm flipV="1">
            <a:off x="1778563" y="43457076"/>
            <a:ext cx="1759077" cy="228855"/>
          </a:xfrm>
          <a:prstGeom prst="flowChartManualInput">
            <a:avLst/>
          </a:prstGeom>
          <a:pattFill prst="ltVert">
            <a:fgClr>
              <a:schemeClr val="tx1"/>
            </a:fgClr>
            <a:bgClr>
              <a:schemeClr val="bg1"/>
            </a:bgClr>
          </a:pattFill>
          <a:ln w="635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square" lIns="18288" tIns="0" rIns="0" bIns="0" rtlCol="0" anchor="t" upright="1"/>
          <a:lstStyle/>
          <a:p>
            <a:pPr algn="r"/>
            <a:endParaRPr lang="en-SG" sz="1100"/>
          </a:p>
        </xdr:txBody>
      </xdr:sp>
      <xdr:sp macro="" textlink="$S$554">
        <xdr:nvSpPr>
          <xdr:cNvPr id="364" name="Text Box 599">
            <a:extLst>
              <a:ext uri="{FF2B5EF4-FFF2-40B4-BE49-F238E27FC236}">
                <a16:creationId xmlns:a16="http://schemas.microsoft.com/office/drawing/2014/main" id="{00000000-0008-0000-0000-00006C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92139" y="43703109"/>
            <a:ext cx="367735" cy="16888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fld id="{D943AF2E-BC95-4776-8D6E-5B6B7C0AC0D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128.5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7</xdr:col>
      <xdr:colOff>22222</xdr:colOff>
      <xdr:row>577</xdr:row>
      <xdr:rowOff>111436</xdr:rowOff>
    </xdr:from>
    <xdr:to>
      <xdr:col>17</xdr:col>
      <xdr:colOff>22002</xdr:colOff>
      <xdr:row>584</xdr:row>
      <xdr:rowOff>152181</xdr:rowOff>
    </xdr:to>
    <xdr:grpSp>
      <xdr:nvGrpSpPr>
        <xdr:cNvPr id="373" name="Group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GrpSpPr/>
      </xdr:nvGrpSpPr>
      <xdr:grpSpPr>
        <a:xfrm>
          <a:off x="1833765" y="93770201"/>
          <a:ext cx="1904780" cy="1217362"/>
          <a:chOff x="1992629" y="15711267"/>
          <a:chExt cx="1843090" cy="1364577"/>
        </a:xfrm>
      </xdr:grpSpPr>
      <xdr:grpSp>
        <xdr:nvGrpSpPr>
          <xdr:cNvPr id="374" name="Group 373">
            <a:extLst>
              <a:ext uri="{FF2B5EF4-FFF2-40B4-BE49-F238E27FC236}">
                <a16:creationId xmlns:a16="http://schemas.microsoft.com/office/drawing/2014/main" id="{00000000-0008-0000-0000-000076010000}"/>
              </a:ext>
            </a:extLst>
          </xdr:cNvPr>
          <xdr:cNvGrpSpPr/>
        </xdr:nvGrpSpPr>
        <xdr:grpSpPr>
          <a:xfrm>
            <a:off x="1992629" y="15711267"/>
            <a:ext cx="1843090" cy="1364577"/>
            <a:chOff x="1960645" y="15170652"/>
            <a:chExt cx="1790600" cy="1326233"/>
          </a:xfrm>
        </xdr:grpSpPr>
        <xdr:sp macro="" textlink="">
          <xdr:nvSpPr>
            <xdr:cNvPr id="376" name="Rectangle 728" descr="Light vertical">
              <a:extLst>
                <a:ext uri="{FF2B5EF4-FFF2-40B4-BE49-F238E27FC236}">
                  <a16:creationId xmlns:a16="http://schemas.microsoft.com/office/drawing/2014/main" id="{00000000-0008-0000-0000-000078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04010" y="15961417"/>
              <a:ext cx="1707980" cy="129934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377" name="Group 376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378" name="Line 96">
                <a:extLst>
                  <a:ext uri="{FF2B5EF4-FFF2-40B4-BE49-F238E27FC236}">
                    <a16:creationId xmlns:a16="http://schemas.microsoft.com/office/drawing/2014/main" id="{00000000-0008-0000-0000-00007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9" name="Line 96">
                <a:extLst>
                  <a:ext uri="{FF2B5EF4-FFF2-40B4-BE49-F238E27FC236}">
                    <a16:creationId xmlns:a16="http://schemas.microsoft.com/office/drawing/2014/main" id="{00000000-0008-0000-0000-00007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0" name="Line 101">
                <a:extLst>
                  <a:ext uri="{FF2B5EF4-FFF2-40B4-BE49-F238E27FC236}">
                    <a16:creationId xmlns:a16="http://schemas.microsoft.com/office/drawing/2014/main" id="{00000000-0008-0000-0000-00007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3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1" name="Line 101">
                <a:extLst>
                  <a:ext uri="{FF2B5EF4-FFF2-40B4-BE49-F238E27FC236}">
                    <a16:creationId xmlns:a16="http://schemas.microsoft.com/office/drawing/2014/main" id="{00000000-0008-0000-0000-00007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" name="Line 101">
                <a:extLst>
                  <a:ext uri="{FF2B5EF4-FFF2-40B4-BE49-F238E27FC236}">
                    <a16:creationId xmlns:a16="http://schemas.microsoft.com/office/drawing/2014/main" id="{00000000-0008-0000-0000-00007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" name="Line 101">
                <a:extLst>
                  <a:ext uri="{FF2B5EF4-FFF2-40B4-BE49-F238E27FC236}">
                    <a16:creationId xmlns:a16="http://schemas.microsoft.com/office/drawing/2014/main" id="{00000000-0008-0000-0000-00007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576">
        <xdr:nvSpPr>
          <xdr:cNvPr id="375" name="Text Box 599">
            <a:extLst>
              <a:ext uri="{FF2B5EF4-FFF2-40B4-BE49-F238E27FC236}">
                <a16:creationId xmlns:a16="http://schemas.microsoft.com/office/drawing/2014/main" id="{00000000-0008-0000-0000-000077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831360" y="16331019"/>
            <a:ext cx="228691" cy="18601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93DF45B1-B595-4BA3-99F1-68A9BE8942BE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7.5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0</xdr:col>
      <xdr:colOff>221356</xdr:colOff>
      <xdr:row>608</xdr:row>
      <xdr:rowOff>108857</xdr:rowOff>
    </xdr:from>
    <xdr:ext cx="379908" cy="174106"/>
    <xdr:sp macro="" textlink="$O$569">
      <xdr:nvSpPr>
        <xdr:cNvPr id="384" name="Text Box 127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19451" y="10094812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599</xdr:row>
      <xdr:rowOff>0</xdr:rowOff>
    </xdr:from>
    <xdr:ext cx="315474" cy="161925"/>
    <xdr:sp macro="" textlink="$O$568">
      <xdr:nvSpPr>
        <xdr:cNvPr id="385" name="Text Box 368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992981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600</xdr:row>
      <xdr:rowOff>76200</xdr:rowOff>
    </xdr:from>
    <xdr:ext cx="513693" cy="164889"/>
    <xdr:sp macro="" textlink="$AH$515">
      <xdr:nvSpPr>
        <xdr:cNvPr id="386" name="Text Box 3684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995457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7</xdr:col>
      <xdr:colOff>16245</xdr:colOff>
      <xdr:row>597</xdr:row>
      <xdr:rowOff>97553</xdr:rowOff>
    </xdr:from>
    <xdr:to>
      <xdr:col>17</xdr:col>
      <xdr:colOff>59979</xdr:colOff>
      <xdr:row>606</xdr:row>
      <xdr:rowOff>112755</xdr:rowOff>
    </xdr:to>
    <xdr:grpSp>
      <xdr:nvGrpSpPr>
        <xdr:cNvPr id="387" name="Group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GrpSpPr/>
      </xdr:nvGrpSpPr>
      <xdr:grpSpPr>
        <a:xfrm>
          <a:off x="1835408" y="97114272"/>
          <a:ext cx="1941114" cy="1531807"/>
          <a:chOff x="1979218" y="15346933"/>
          <a:chExt cx="1868385" cy="1728905"/>
        </a:xfrm>
      </xdr:grpSpPr>
      <xdr:grpSp>
        <xdr:nvGrpSpPr>
          <xdr:cNvPr id="388" name="Group 387">
            <a:extLst>
              <a:ext uri="{FF2B5EF4-FFF2-40B4-BE49-F238E27FC236}">
                <a16:creationId xmlns:a16="http://schemas.microsoft.com/office/drawing/2014/main" id="{00000000-0008-0000-0000-000084010000}"/>
              </a:ext>
            </a:extLst>
          </xdr:cNvPr>
          <xdr:cNvGrpSpPr/>
        </xdr:nvGrpSpPr>
        <xdr:grpSpPr>
          <a:xfrm>
            <a:off x="1979218" y="15550742"/>
            <a:ext cx="1868385" cy="1525096"/>
            <a:chOff x="1947616" y="15014643"/>
            <a:chExt cx="1815174" cy="1482242"/>
          </a:xfrm>
        </xdr:grpSpPr>
        <xdr:sp macro="" textlink="">
          <xdr:nvSpPr>
            <xdr:cNvPr id="390" name="Rectangle 728" descr="Light vertical">
              <a:extLs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7616" y="15014643"/>
              <a:ext cx="1815174" cy="143775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391" name="Group 390">
              <a:extLs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392" name="Line 96">
                <a:extLst>
                  <a:ext uri="{FF2B5EF4-FFF2-40B4-BE49-F238E27FC236}">
                    <a16:creationId xmlns:a16="http://schemas.microsoft.com/office/drawing/2014/main" id="{00000000-0008-0000-0000-000088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3" name="Line 96">
                <a:extLst>
                  <a:ext uri="{FF2B5EF4-FFF2-40B4-BE49-F238E27FC236}">
                    <a16:creationId xmlns:a16="http://schemas.microsoft.com/office/drawing/2014/main" id="{00000000-0008-0000-0000-000089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4" name="Line 101">
                <a:extLst>
                  <a:ext uri="{FF2B5EF4-FFF2-40B4-BE49-F238E27FC236}">
                    <a16:creationId xmlns:a16="http://schemas.microsoft.com/office/drawing/2014/main" id="{00000000-0008-0000-0000-00008A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" name="Line 101">
                <a:extLst>
                  <a:ext uri="{FF2B5EF4-FFF2-40B4-BE49-F238E27FC236}">
                    <a16:creationId xmlns:a16="http://schemas.microsoft.com/office/drawing/2014/main" id="{00000000-0008-0000-0000-00008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" name="Line 101">
                <a:extLst>
                  <a:ext uri="{FF2B5EF4-FFF2-40B4-BE49-F238E27FC236}">
                    <a16:creationId xmlns:a16="http://schemas.microsoft.com/office/drawing/2014/main" id="{00000000-0008-0000-0000-00008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7" name="Line 101">
                <a:extLst>
                  <a:ext uri="{FF2B5EF4-FFF2-40B4-BE49-F238E27FC236}">
                    <a16:creationId xmlns:a16="http://schemas.microsoft.com/office/drawing/2014/main" id="{00000000-0008-0000-0000-00008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598">
        <xdr:nvSpPr>
          <xdr:cNvPr id="389" name="Text Box 599">
            <a:extLst>
              <a:ext uri="{FF2B5EF4-FFF2-40B4-BE49-F238E27FC236}">
                <a16:creationId xmlns:a16="http://schemas.microsoft.com/office/drawing/2014/main" id="{00000000-0008-0000-0000-000085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34615" y="15346933"/>
            <a:ext cx="367677" cy="18776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DABD39A6-DF89-427D-B0FA-EAC8DA3AEBD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47.5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0</xdr:col>
      <xdr:colOff>199583</xdr:colOff>
      <xdr:row>608</xdr:row>
      <xdr:rowOff>10887</xdr:rowOff>
    </xdr:from>
    <xdr:ext cx="379908" cy="174106"/>
    <xdr:sp macro="" textlink="$O$569">
      <xdr:nvSpPr>
        <xdr:cNvPr id="398" name="Text Box 1275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01488" y="10085396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611</xdr:row>
      <xdr:rowOff>0</xdr:rowOff>
    </xdr:from>
    <xdr:ext cx="315474" cy="161925"/>
    <xdr:sp macro="" textlink="$O$568">
      <xdr:nvSpPr>
        <xdr:cNvPr id="399" name="Text Box 368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13555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612</xdr:row>
      <xdr:rowOff>76200</xdr:rowOff>
    </xdr:from>
    <xdr:ext cx="513693" cy="164889"/>
    <xdr:sp macro="" textlink="$AH$515">
      <xdr:nvSpPr>
        <xdr:cNvPr id="400" name="Text Box 3684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16031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3</xdr:col>
      <xdr:colOff>54488</xdr:colOff>
      <xdr:row>610</xdr:row>
      <xdr:rowOff>134576</xdr:rowOff>
    </xdr:from>
    <xdr:to>
      <xdr:col>21</xdr:col>
      <xdr:colOff>93650</xdr:colOff>
      <xdr:row>618</xdr:row>
      <xdr:rowOff>58741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GrpSpPr/>
      </xdr:nvGrpSpPr>
      <xdr:grpSpPr>
        <a:xfrm>
          <a:off x="1111651" y="99336442"/>
          <a:ext cx="3468162" cy="1268871"/>
          <a:chOff x="985556" y="100524742"/>
          <a:chExt cx="3276075" cy="1355455"/>
        </a:xfrm>
      </xdr:grpSpPr>
      <xdr:grpSp>
        <xdr:nvGrpSpPr>
          <xdr:cNvPr id="402" name="Group 401">
            <a:extLst>
              <a:ext uri="{FF2B5EF4-FFF2-40B4-BE49-F238E27FC236}">
                <a16:creationId xmlns:a16="http://schemas.microsoft.com/office/drawing/2014/main" id="{00000000-0008-0000-0000-00009201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409" name="Group 408">
              <a:extLs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411" name="Line 96">
                <a:extLst>
                  <a:ext uri="{FF2B5EF4-FFF2-40B4-BE49-F238E27FC236}">
                    <a16:creationId xmlns:a16="http://schemas.microsoft.com/office/drawing/2014/main" id="{00000000-0008-0000-0000-00009B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2" name="Line 96">
                <a:extLst>
                  <a:ext uri="{FF2B5EF4-FFF2-40B4-BE49-F238E27FC236}">
                    <a16:creationId xmlns:a16="http://schemas.microsoft.com/office/drawing/2014/main" id="{00000000-0008-0000-0000-00009C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" name="Line 101">
                <a:extLst>
                  <a:ext uri="{FF2B5EF4-FFF2-40B4-BE49-F238E27FC236}">
                    <a16:creationId xmlns:a16="http://schemas.microsoft.com/office/drawing/2014/main" id="{00000000-0008-0000-0000-00009D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" name="Line 101">
                <a:extLst>
                  <a:ext uri="{FF2B5EF4-FFF2-40B4-BE49-F238E27FC236}">
                    <a16:creationId xmlns:a16="http://schemas.microsoft.com/office/drawing/2014/main" id="{00000000-0008-0000-0000-00009E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" name="Line 101">
                <a:extLst>
                  <a:ext uri="{FF2B5EF4-FFF2-40B4-BE49-F238E27FC236}">
                    <a16:creationId xmlns:a16="http://schemas.microsoft.com/office/drawing/2014/main" id="{00000000-0008-0000-0000-00009F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6" name="Line 101">
                <a:extLst>
                  <a:ext uri="{FF2B5EF4-FFF2-40B4-BE49-F238E27FC236}">
                    <a16:creationId xmlns:a16="http://schemas.microsoft.com/office/drawing/2014/main" id="{00000000-0008-0000-0000-0000A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09">
          <xdr:nvSpPr>
            <xdr:cNvPr id="410" name="Text Box 599">
              <a:extLs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874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95D5830D-BA51-43EF-89AA-7DD655CDCCC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403" name="Group 402">
            <a:extLst>
              <a:ext uri="{FF2B5EF4-FFF2-40B4-BE49-F238E27FC236}">
                <a16:creationId xmlns:a16="http://schemas.microsoft.com/office/drawing/2014/main" id="{00000000-0008-0000-0000-000093010000}"/>
              </a:ext>
            </a:extLst>
          </xdr:cNvPr>
          <xdr:cNvGrpSpPr/>
        </xdr:nvGrpSpPr>
        <xdr:grpSpPr>
          <a:xfrm>
            <a:off x="985556" y="100524748"/>
            <a:ext cx="3276075" cy="1039524"/>
            <a:chOff x="985556" y="100524748"/>
            <a:chExt cx="3276075" cy="1039524"/>
          </a:xfrm>
        </xdr:grpSpPr>
        <xdr:sp macro="" textlink="">
          <xdr:nvSpPr>
            <xdr:cNvPr id="404" name="Rectangle 403">
              <a:extLs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1468041" y="100588555"/>
              <a:ext cx="216693" cy="968581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405" name="Rectangle 404">
              <a:extLs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3551223" y="100601860"/>
              <a:ext cx="216693" cy="962412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09">
          <xdr:nvSpPr>
            <xdr:cNvPr id="406" name="Text Box 599">
              <a:extLs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E79677CA-96A8-42DE-BAA1-8DA43449DF7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07" name="Text Box 599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5647A496-B245-482B-A4CF-5E55344699FC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08" name="Text Box 599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36F0DB18-9D5B-4B6D-80AC-7242F439466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oneCellAnchor>
    <xdr:from>
      <xdr:col>9</xdr:col>
      <xdr:colOff>77391</xdr:colOff>
      <xdr:row>628</xdr:row>
      <xdr:rowOff>9594</xdr:rowOff>
    </xdr:from>
    <xdr:ext cx="299671" cy="183173"/>
    <xdr:sp macro="" textlink="#REF!">
      <xdr:nvSpPr>
        <xdr:cNvPr id="417" name="Text Box 3679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42816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635</xdr:row>
      <xdr:rowOff>48715</xdr:rowOff>
    </xdr:from>
    <xdr:ext cx="295091" cy="183173"/>
    <xdr:sp macro="" textlink="#REF!">
      <xdr:nvSpPr>
        <xdr:cNvPr id="418" name="Text Box 367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55209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627</xdr:row>
      <xdr:rowOff>0</xdr:rowOff>
    </xdr:from>
    <xdr:ext cx="379908" cy="174106"/>
    <xdr:sp macro="" textlink="$O$569">
      <xdr:nvSpPr>
        <xdr:cNvPr id="419" name="Text Box 1275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40987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627</xdr:row>
      <xdr:rowOff>21772</xdr:rowOff>
    </xdr:from>
    <xdr:ext cx="379908" cy="174106"/>
    <xdr:sp macro="" textlink="$O$569">
      <xdr:nvSpPr>
        <xdr:cNvPr id="420" name="Text Box 1275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4116687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631</xdr:row>
      <xdr:rowOff>0</xdr:rowOff>
    </xdr:from>
    <xdr:ext cx="315474" cy="161925"/>
    <xdr:sp macro="" textlink="$O$568">
      <xdr:nvSpPr>
        <xdr:cNvPr id="421" name="Text Box 368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47845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632</xdr:row>
      <xdr:rowOff>76200</xdr:rowOff>
    </xdr:from>
    <xdr:ext cx="513693" cy="164889"/>
    <xdr:sp macro="" textlink="$AH$515">
      <xdr:nvSpPr>
        <xdr:cNvPr id="422" name="Text Box 3684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50321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3</xdr:col>
      <xdr:colOff>51948</xdr:colOff>
      <xdr:row>630</xdr:row>
      <xdr:rowOff>50127</xdr:rowOff>
    </xdr:from>
    <xdr:to>
      <xdr:col>17</xdr:col>
      <xdr:colOff>81355</xdr:colOff>
      <xdr:row>637</xdr:row>
      <xdr:rowOff>159065</xdr:rowOff>
    </xdr:to>
    <xdr:grpSp>
      <xdr:nvGrpSpPr>
        <xdr:cNvPr id="423" name="Group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GrpSpPr/>
      </xdr:nvGrpSpPr>
      <xdr:grpSpPr>
        <a:xfrm>
          <a:off x="1109111" y="102621378"/>
          <a:ext cx="2694502" cy="1283651"/>
          <a:chOff x="985556" y="100524748"/>
          <a:chExt cx="2528450" cy="1355443"/>
        </a:xfrm>
      </xdr:grpSpPr>
      <xdr:grpSp>
        <xdr:nvGrpSpPr>
          <xdr:cNvPr id="424" name="Group 423">
            <a:extLst>
              <a:ext uri="{FF2B5EF4-FFF2-40B4-BE49-F238E27FC236}">
                <a16:creationId xmlns:a16="http://schemas.microsoft.com/office/drawing/2014/main" id="{00000000-0008-0000-0000-0000A8010000}"/>
              </a:ext>
            </a:extLst>
          </xdr:cNvPr>
          <xdr:cNvGrpSpPr/>
        </xdr:nvGrpSpPr>
        <xdr:grpSpPr>
          <a:xfrm>
            <a:off x="1726123" y="100589537"/>
            <a:ext cx="1787883" cy="1290654"/>
            <a:chOff x="1198213" y="1925675"/>
            <a:chExt cx="3279006" cy="3375194"/>
          </a:xfrm>
        </xdr:grpSpPr>
        <xdr:sp macro="" textlink="">
          <xdr:nvSpPr>
            <xdr:cNvPr id="429" name="Line 96">
              <a:extLst>
                <a:ext uri="{FF2B5EF4-FFF2-40B4-BE49-F238E27FC236}">
                  <a16:creationId xmlns:a16="http://schemas.microsoft.com/office/drawing/2014/main" id="{00000000-0008-0000-0000-0000AD01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98213" y="1925678"/>
              <a:ext cx="0" cy="3350345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" name="Line 96">
              <a:extLst>
                <a:ext uri="{FF2B5EF4-FFF2-40B4-BE49-F238E27FC236}">
                  <a16:creationId xmlns:a16="http://schemas.microsoft.com/office/drawing/2014/main" id="{00000000-0008-0000-0000-0000AE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77219" y="1925675"/>
              <a:ext cx="0" cy="3375194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" name="Line 101">
              <a:extLst>
                <a:ext uri="{FF2B5EF4-FFF2-40B4-BE49-F238E27FC236}">
                  <a16:creationId xmlns:a16="http://schemas.microsoft.com/office/drawing/2014/main" id="{00000000-0008-0000-0000-0000AF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61541" y="2010412"/>
              <a:ext cx="3138736" cy="0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2" name="Line 101">
              <a:extLst>
                <a:ext uri="{FF2B5EF4-FFF2-40B4-BE49-F238E27FC236}">
                  <a16:creationId xmlns:a16="http://schemas.microsoft.com/office/drawing/2014/main" id="{00000000-0008-0000-0000-0000B001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50641" y="4378744"/>
              <a:ext cx="3202171" cy="0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3" name="Line 101">
              <a:extLst>
                <a:ext uri="{FF2B5EF4-FFF2-40B4-BE49-F238E27FC236}">
                  <a16:creationId xmlns:a16="http://schemas.microsoft.com/office/drawing/2014/main" id="{00000000-0008-0000-0000-0000B1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" name="Line 101">
              <a:extLst>
                <a:ext uri="{FF2B5EF4-FFF2-40B4-BE49-F238E27FC236}">
                  <a16:creationId xmlns:a16="http://schemas.microsoft.com/office/drawing/2014/main" id="{00000000-0008-0000-0000-0000B201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5" name="Group 424">
            <a:extLst>
              <a:ext uri="{FF2B5EF4-FFF2-40B4-BE49-F238E27FC236}">
                <a16:creationId xmlns:a16="http://schemas.microsoft.com/office/drawing/2014/main" id="{00000000-0008-0000-0000-0000A9010000}"/>
              </a:ext>
            </a:extLst>
          </xdr:cNvPr>
          <xdr:cNvGrpSpPr/>
        </xdr:nvGrpSpPr>
        <xdr:grpSpPr>
          <a:xfrm>
            <a:off x="985556" y="100524748"/>
            <a:ext cx="699178" cy="1049027"/>
            <a:chOff x="985556" y="100524748"/>
            <a:chExt cx="699178" cy="1049027"/>
          </a:xfrm>
        </xdr:grpSpPr>
        <xdr:sp macro="" textlink="">
          <xdr:nvSpPr>
            <xdr:cNvPr id="426" name="Rectangle 425">
              <a:extLst>
                <a:ext uri="{FF2B5EF4-FFF2-40B4-BE49-F238E27FC236}">
                  <a16:creationId xmlns:a16="http://schemas.microsoft.com/office/drawing/2014/main" id="{00000000-0008-0000-0000-0000AA010000}"/>
                </a:ext>
              </a:extLst>
            </xdr:cNvPr>
            <xdr:cNvSpPr/>
          </xdr:nvSpPr>
          <xdr:spPr bwMode="auto">
            <a:xfrm>
              <a:off x="1468041" y="100588556"/>
              <a:ext cx="216693" cy="985219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09">
          <xdr:nvSpPr>
            <xdr:cNvPr id="427" name="Text Box 599">
              <a:extLst>
                <a:ext uri="{FF2B5EF4-FFF2-40B4-BE49-F238E27FC236}">
                  <a16:creationId xmlns:a16="http://schemas.microsoft.com/office/drawing/2014/main" id="{00000000-0008-0000-0000-0000AB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E79677CA-96A8-42DE-BAA1-8DA43449DF7D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10">
          <xdr:nvSpPr>
            <xdr:cNvPr id="428" name="Text Box 599">
              <a:extLst>
                <a:ext uri="{FF2B5EF4-FFF2-40B4-BE49-F238E27FC236}">
                  <a16:creationId xmlns:a16="http://schemas.microsoft.com/office/drawing/2014/main" id="{00000000-0008-0000-0000-0000AC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36F0DB18-9D5B-4B6D-80AC-7242F4394666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oneCellAnchor>
    <xdr:from>
      <xdr:col>9</xdr:col>
      <xdr:colOff>77391</xdr:colOff>
      <xdr:row>642</xdr:row>
      <xdr:rowOff>9594</xdr:rowOff>
    </xdr:from>
    <xdr:ext cx="299671" cy="183173"/>
    <xdr:sp macro="" textlink="#REF!">
      <xdr:nvSpPr>
        <xdr:cNvPr id="435" name="Text Box 3679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66819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649</xdr:row>
      <xdr:rowOff>48715</xdr:rowOff>
    </xdr:from>
    <xdr:ext cx="295091" cy="183173"/>
    <xdr:sp macro="" textlink="#REF!">
      <xdr:nvSpPr>
        <xdr:cNvPr id="436" name="Text Box 3679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79212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641</xdr:row>
      <xdr:rowOff>0</xdr:rowOff>
    </xdr:from>
    <xdr:ext cx="379908" cy="174106"/>
    <xdr:sp macro="" textlink="$O$569">
      <xdr:nvSpPr>
        <xdr:cNvPr id="437" name="Text Box 1275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64990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641</xdr:row>
      <xdr:rowOff>0</xdr:rowOff>
    </xdr:from>
    <xdr:ext cx="379908" cy="174106"/>
    <xdr:sp macro="" textlink="$O$569">
      <xdr:nvSpPr>
        <xdr:cNvPr id="438" name="Text Box 1275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64990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645</xdr:row>
      <xdr:rowOff>0</xdr:rowOff>
    </xdr:from>
    <xdr:ext cx="315474" cy="161925"/>
    <xdr:sp macro="" textlink="$O$568">
      <xdr:nvSpPr>
        <xdr:cNvPr id="439" name="Text Box 368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071848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646</xdr:row>
      <xdr:rowOff>76200</xdr:rowOff>
    </xdr:from>
    <xdr:ext cx="513693" cy="164889"/>
    <xdr:sp macro="" textlink="$AH$515">
      <xdr:nvSpPr>
        <xdr:cNvPr id="440" name="Text Box 3684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074324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twoCellAnchor>
    <xdr:from>
      <xdr:col>7</xdr:col>
      <xdr:colOff>55915</xdr:colOff>
      <xdr:row>644</xdr:row>
      <xdr:rowOff>134576</xdr:rowOff>
    </xdr:from>
    <xdr:to>
      <xdr:col>21</xdr:col>
      <xdr:colOff>93650</xdr:colOff>
      <xdr:row>652</xdr:row>
      <xdr:rowOff>58741</xdr:rowOff>
    </xdr:to>
    <xdr:grpSp>
      <xdr:nvGrpSpPr>
        <xdr:cNvPr id="441" name="Group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GrpSpPr/>
      </xdr:nvGrpSpPr>
      <xdr:grpSpPr>
        <a:xfrm>
          <a:off x="1875078" y="105051442"/>
          <a:ext cx="2704735" cy="1268871"/>
          <a:chOff x="1726123" y="100524742"/>
          <a:chExt cx="2535508" cy="1355455"/>
        </a:xfrm>
      </xdr:grpSpPr>
      <xdr:grpSp>
        <xdr:nvGrpSpPr>
          <xdr:cNvPr id="442" name="Group 441">
            <a:extLst>
              <a:ext uri="{FF2B5EF4-FFF2-40B4-BE49-F238E27FC236}">
                <a16:creationId xmlns:a16="http://schemas.microsoft.com/office/drawing/2014/main" id="{00000000-0008-0000-0000-0000BA01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446" name="Group 445">
              <a:extLst>
                <a:ext uri="{FF2B5EF4-FFF2-40B4-BE49-F238E27FC236}">
                  <a16:creationId xmlns:a16="http://schemas.microsoft.com/office/drawing/2014/main" id="{00000000-0008-0000-0000-0000BE01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448" name="Line 96">
                <a:extLst>
                  <a:ext uri="{FF2B5EF4-FFF2-40B4-BE49-F238E27FC236}">
                    <a16:creationId xmlns:a16="http://schemas.microsoft.com/office/drawing/2014/main" id="{00000000-0008-0000-0000-0000C0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9" name="Line 96">
                <a:extLst>
                  <a:ext uri="{FF2B5EF4-FFF2-40B4-BE49-F238E27FC236}">
                    <a16:creationId xmlns:a16="http://schemas.microsoft.com/office/drawing/2014/main" id="{00000000-0008-0000-0000-0000C1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0" name="Line 101">
                <a:extLst>
                  <a:ext uri="{FF2B5EF4-FFF2-40B4-BE49-F238E27FC236}">
                    <a16:creationId xmlns:a16="http://schemas.microsoft.com/office/drawing/2014/main" id="{00000000-0008-0000-0000-0000C2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" name="Line 101">
                <a:extLst>
                  <a:ext uri="{FF2B5EF4-FFF2-40B4-BE49-F238E27FC236}">
                    <a16:creationId xmlns:a16="http://schemas.microsoft.com/office/drawing/2014/main" id="{00000000-0008-0000-0000-0000C3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" name="Line 101">
                <a:extLst>
                  <a:ext uri="{FF2B5EF4-FFF2-40B4-BE49-F238E27FC236}">
                    <a16:creationId xmlns:a16="http://schemas.microsoft.com/office/drawing/2014/main" id="{00000000-0008-0000-0000-0000C4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" name="Line 101">
                <a:extLst>
                  <a:ext uri="{FF2B5EF4-FFF2-40B4-BE49-F238E27FC236}">
                    <a16:creationId xmlns:a16="http://schemas.microsoft.com/office/drawing/2014/main" id="{00000000-0008-0000-0000-0000C501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09">
          <xdr:nvSpPr>
            <xdr:cNvPr id="447" name="Text Box 599">
              <a:extLst>
                <a:ext uri="{FF2B5EF4-FFF2-40B4-BE49-F238E27FC236}">
                  <a16:creationId xmlns:a16="http://schemas.microsoft.com/office/drawing/2014/main" id="{00000000-0008-0000-0000-0000BF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874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95D5830D-BA51-43EF-89AA-7DD655CDCCC3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443" name="Group 442">
            <a:extLst>
              <a:ext uri="{FF2B5EF4-FFF2-40B4-BE49-F238E27FC236}">
                <a16:creationId xmlns:a16="http://schemas.microsoft.com/office/drawing/2014/main" id="{00000000-0008-0000-0000-0000BB010000}"/>
              </a:ext>
            </a:extLst>
          </xdr:cNvPr>
          <xdr:cNvGrpSpPr/>
        </xdr:nvGrpSpPr>
        <xdr:grpSpPr>
          <a:xfrm>
            <a:off x="3551223" y="100601860"/>
            <a:ext cx="710408" cy="933877"/>
            <a:chOff x="3551223" y="100601860"/>
            <a:chExt cx="710408" cy="933877"/>
          </a:xfrm>
        </xdr:grpSpPr>
        <xdr:sp macro="" textlink="">
          <xdr:nvSpPr>
            <xdr:cNvPr id="444" name="Rectangle 443">
              <a:extLst>
                <a:ext uri="{FF2B5EF4-FFF2-40B4-BE49-F238E27FC236}">
                  <a16:creationId xmlns:a16="http://schemas.microsoft.com/office/drawing/2014/main" id="{00000000-0008-0000-0000-0000BC010000}"/>
                </a:ext>
              </a:extLst>
            </xdr:cNvPr>
            <xdr:cNvSpPr/>
          </xdr:nvSpPr>
          <xdr:spPr bwMode="auto">
            <a:xfrm>
              <a:off x="3551223" y="100601860"/>
              <a:ext cx="216693" cy="933877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10">
          <xdr:nvSpPr>
            <xdr:cNvPr id="445" name="Text Box 599">
              <a:extLst>
                <a:ext uri="{FF2B5EF4-FFF2-40B4-BE49-F238E27FC236}">
                  <a16:creationId xmlns:a16="http://schemas.microsoft.com/office/drawing/2014/main" id="{00000000-0008-0000-0000-0000BD01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5647A496-B245-482B-A4CF-5E55344699FC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47.5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twoCellAnchor editAs="oneCell">
    <xdr:from>
      <xdr:col>24</xdr:col>
      <xdr:colOff>101721</xdr:colOff>
      <xdr:row>0</xdr:row>
      <xdr:rowOff>150121</xdr:rowOff>
    </xdr:from>
    <xdr:to>
      <xdr:col>26</xdr:col>
      <xdr:colOff>626348</xdr:colOff>
      <xdr:row>3</xdr:row>
      <xdr:rowOff>1718</xdr:rowOff>
    </xdr:to>
    <xdr:pic>
      <xdr:nvPicPr>
        <xdr:cNvPr id="454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46161" y="150121"/>
          <a:ext cx="912612" cy="384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134472</xdr:colOff>
      <xdr:row>52</xdr:row>
      <xdr:rowOff>145676</xdr:rowOff>
    </xdr:from>
    <xdr:to>
      <xdr:col>27</xdr:col>
      <xdr:colOff>16143</xdr:colOff>
      <xdr:row>55</xdr:row>
      <xdr:rowOff>2989</xdr:rowOff>
    </xdr:to>
    <xdr:pic>
      <xdr:nvPicPr>
        <xdr:cNvPr id="455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9059171"/>
          <a:ext cx="936406" cy="3907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24</xdr:col>
      <xdr:colOff>134472</xdr:colOff>
      <xdr:row>104</xdr:row>
      <xdr:rowOff>145676</xdr:rowOff>
    </xdr:from>
    <xdr:ext cx="881945" cy="400909"/>
    <xdr:pic>
      <xdr:nvPicPr>
        <xdr:cNvPr id="456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17974571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208</xdr:row>
      <xdr:rowOff>145676</xdr:rowOff>
    </xdr:from>
    <xdr:ext cx="881945" cy="400909"/>
    <xdr:pic>
      <xdr:nvPicPr>
        <xdr:cNvPr id="457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33747971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256</xdr:row>
      <xdr:rowOff>145676</xdr:rowOff>
    </xdr:from>
    <xdr:ext cx="881945" cy="400909"/>
    <xdr:pic>
      <xdr:nvPicPr>
        <xdr:cNvPr id="458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41977571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308</xdr:row>
      <xdr:rowOff>145676</xdr:rowOff>
    </xdr:from>
    <xdr:ext cx="881945" cy="400909"/>
    <xdr:pic>
      <xdr:nvPicPr>
        <xdr:cNvPr id="459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502357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360</xdr:row>
      <xdr:rowOff>145676</xdr:rowOff>
    </xdr:from>
    <xdr:ext cx="881945" cy="400909"/>
    <xdr:pic>
      <xdr:nvPicPr>
        <xdr:cNvPr id="460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584653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412</xdr:row>
      <xdr:rowOff>145676</xdr:rowOff>
    </xdr:from>
    <xdr:ext cx="881945" cy="400909"/>
    <xdr:pic>
      <xdr:nvPicPr>
        <xdr:cNvPr id="461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673807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464</xdr:row>
      <xdr:rowOff>145676</xdr:rowOff>
    </xdr:from>
    <xdr:ext cx="881945" cy="400909"/>
    <xdr:pic>
      <xdr:nvPicPr>
        <xdr:cNvPr id="462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762961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516</xdr:row>
      <xdr:rowOff>145676</xdr:rowOff>
    </xdr:from>
    <xdr:ext cx="881945" cy="400909"/>
    <xdr:pic>
      <xdr:nvPicPr>
        <xdr:cNvPr id="463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852115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568</xdr:row>
      <xdr:rowOff>145676</xdr:rowOff>
    </xdr:from>
    <xdr:ext cx="881945" cy="400909"/>
    <xdr:pic>
      <xdr:nvPicPr>
        <xdr:cNvPr id="464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941269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134472</xdr:colOff>
      <xdr:row>620</xdr:row>
      <xdr:rowOff>145676</xdr:rowOff>
    </xdr:from>
    <xdr:ext cx="881945" cy="400909"/>
    <xdr:pic>
      <xdr:nvPicPr>
        <xdr:cNvPr id="465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1030423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26</xdr:col>
      <xdr:colOff>119909</xdr:colOff>
      <xdr:row>6</xdr:row>
      <xdr:rowOff>93296</xdr:rowOff>
    </xdr:from>
    <xdr:to>
      <xdr:col>27</xdr:col>
      <xdr:colOff>114300</xdr:colOff>
      <xdr:row>7</xdr:row>
      <xdr:rowOff>101599</xdr:rowOff>
    </xdr:to>
    <xdr:sp macro="" textlink="">
      <xdr:nvSpPr>
        <xdr:cNvPr id="466" name="Text Box 147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5551064" y="1125806"/>
          <a:ext cx="659236" cy="1721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noAutofit/>
        </a:bodyPr>
        <a:lstStyle/>
        <a:p>
          <a:pPr algn="l" rtl="0">
            <a:defRPr sz="1000"/>
          </a:pPr>
          <a:r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SHD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GL</a:t>
          </a:r>
        </a:p>
        <a:p>
          <a:pPr algn="l" rtl="0">
            <a:defRPr sz="1000"/>
          </a:pPr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36893</xdr:colOff>
      <xdr:row>587</xdr:row>
      <xdr:rowOff>94269</xdr:rowOff>
    </xdr:from>
    <xdr:to>
      <xdr:col>17</xdr:col>
      <xdr:colOff>54453</xdr:colOff>
      <xdr:row>594</xdr:row>
      <xdr:rowOff>135014</xdr:rowOff>
    </xdr:to>
    <xdr:grpSp>
      <xdr:nvGrpSpPr>
        <xdr:cNvPr id="467" name="Group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GrpSpPr/>
      </xdr:nvGrpSpPr>
      <xdr:grpSpPr>
        <a:xfrm>
          <a:off x="1852246" y="95437726"/>
          <a:ext cx="1926370" cy="1209743"/>
          <a:chOff x="1714043" y="96564307"/>
          <a:chExt cx="1801003" cy="1298045"/>
        </a:xfrm>
      </xdr:grpSpPr>
      <xdr:grpSp>
        <xdr:nvGrpSpPr>
          <xdr:cNvPr id="468" name="Group 467">
            <a:extLst>
              <a:ext uri="{FF2B5EF4-FFF2-40B4-BE49-F238E27FC236}">
                <a16:creationId xmlns:a16="http://schemas.microsoft.com/office/drawing/2014/main" id="{00000000-0008-0000-0000-0000D4010000}"/>
              </a:ext>
            </a:extLst>
          </xdr:cNvPr>
          <xdr:cNvGrpSpPr/>
        </xdr:nvGrpSpPr>
        <xdr:grpSpPr>
          <a:xfrm>
            <a:off x="1714043" y="96564307"/>
            <a:ext cx="1801003" cy="1298045"/>
            <a:chOff x="1992629" y="15711267"/>
            <a:chExt cx="1843090" cy="1364577"/>
          </a:xfrm>
        </xdr:grpSpPr>
        <xdr:grpSp>
          <xdr:nvGrpSpPr>
            <xdr:cNvPr id="522" name="Group 521">
              <a:extLst>
                <a:ext uri="{FF2B5EF4-FFF2-40B4-BE49-F238E27FC236}">
                  <a16:creationId xmlns:a16="http://schemas.microsoft.com/office/drawing/2014/main" id="{00000000-0008-0000-0000-00000A020000}"/>
                </a:ext>
              </a:extLst>
            </xdr:cNvPr>
            <xdr:cNvGrpSpPr/>
          </xdr:nvGrpSpPr>
          <xdr:grpSpPr>
            <a:xfrm>
              <a:off x="1992629" y="15711267"/>
              <a:ext cx="1843090" cy="1364577"/>
              <a:chOff x="1198213" y="1925675"/>
              <a:chExt cx="3279006" cy="3375194"/>
            </a:xfrm>
          </xdr:grpSpPr>
          <xdr:sp macro="" textlink="">
            <xdr:nvSpPr>
              <xdr:cNvPr id="524" name="Line 96">
                <a:extLst>
                  <a:ext uri="{FF2B5EF4-FFF2-40B4-BE49-F238E27FC236}">
                    <a16:creationId xmlns:a16="http://schemas.microsoft.com/office/drawing/2014/main" id="{00000000-0008-0000-0000-00000C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5" name="Line 96">
                <a:extLst>
                  <a:ext uri="{FF2B5EF4-FFF2-40B4-BE49-F238E27FC236}">
                    <a16:creationId xmlns:a16="http://schemas.microsoft.com/office/drawing/2014/main" id="{00000000-0008-0000-0000-00000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6" name="Line 101">
                <a:extLst>
                  <a:ext uri="{FF2B5EF4-FFF2-40B4-BE49-F238E27FC236}">
                    <a16:creationId xmlns:a16="http://schemas.microsoft.com/office/drawing/2014/main" id="{00000000-0008-0000-0000-00000E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3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" name="Line 101">
                <a:extLst>
                  <a:ext uri="{FF2B5EF4-FFF2-40B4-BE49-F238E27FC236}">
                    <a16:creationId xmlns:a16="http://schemas.microsoft.com/office/drawing/2014/main" id="{00000000-0008-0000-0000-00000F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" name="Line 101">
                <a:extLst>
                  <a:ext uri="{FF2B5EF4-FFF2-40B4-BE49-F238E27FC236}">
                    <a16:creationId xmlns:a16="http://schemas.microsoft.com/office/drawing/2014/main" id="{00000000-0008-0000-0000-000010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" name="Line 101">
                <a:extLst>
                  <a:ext uri="{FF2B5EF4-FFF2-40B4-BE49-F238E27FC236}">
                    <a16:creationId xmlns:a16="http://schemas.microsoft.com/office/drawing/2014/main" id="{00000000-0008-0000-0000-000011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576">
          <xdr:nvSpPr>
            <xdr:cNvPr id="523" name="Text Box 599">
              <a:extLst>
                <a:ext uri="{FF2B5EF4-FFF2-40B4-BE49-F238E27FC236}">
                  <a16:creationId xmlns:a16="http://schemas.microsoft.com/office/drawing/2014/main" id="{00000000-0008-0000-0000-00000B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474709" y="16157904"/>
              <a:ext cx="199992" cy="1528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r>
                <a:rPr lang="en-SG" sz="800" b="0" i="0" u="none" strike="noStrike" baseline="0">
                  <a:solidFill>
                    <a:sysClr val="windowText" lastClr="000000"/>
                  </a:solidFill>
                  <a:latin typeface="Arial"/>
                  <a:ea typeface="+mn-ea"/>
                  <a:cs typeface="Arial"/>
                </a:rPr>
                <a:t>3.0</a:t>
              </a:r>
            </a:p>
          </xdr:txBody>
        </xdr:sp>
      </xdr:grpSp>
      <xdr:grpSp>
        <xdr:nvGrpSpPr>
          <xdr:cNvPr id="469" name="Group 468">
            <a:extLst>
              <a:ext uri="{FF2B5EF4-FFF2-40B4-BE49-F238E27FC236}">
                <a16:creationId xmlns:a16="http://schemas.microsoft.com/office/drawing/2014/main" id="{00000000-0008-0000-0000-0000D5010000}"/>
              </a:ext>
            </a:extLst>
          </xdr:cNvPr>
          <xdr:cNvGrpSpPr/>
        </xdr:nvGrpSpPr>
        <xdr:grpSpPr>
          <a:xfrm>
            <a:off x="2970796" y="96635431"/>
            <a:ext cx="511775" cy="860891"/>
            <a:chOff x="2980107" y="97097787"/>
            <a:chExt cx="514353" cy="864329"/>
          </a:xfrm>
        </xdr:grpSpPr>
        <xdr:grpSp>
          <xdr:nvGrpSpPr>
            <xdr:cNvPr id="506" name="Group 505">
              <a:extLst>
                <a:ext uri="{FF2B5EF4-FFF2-40B4-BE49-F238E27FC236}">
                  <a16:creationId xmlns:a16="http://schemas.microsoft.com/office/drawing/2014/main" id="{00000000-0008-0000-0000-0000F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519" name="Straight Arrow Connector 518">
                <a:extLst>
                  <a:ext uri="{FF2B5EF4-FFF2-40B4-BE49-F238E27FC236}">
                    <a16:creationId xmlns:a16="http://schemas.microsoft.com/office/drawing/2014/main" id="{00000000-0008-0000-0000-00000702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20" name="Straight Arrow Connector 519">
                <a:extLst>
                  <a:ext uri="{FF2B5EF4-FFF2-40B4-BE49-F238E27FC236}">
                    <a16:creationId xmlns:a16="http://schemas.microsoft.com/office/drawing/2014/main" id="{00000000-0008-0000-0000-00000802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21" name="Straight Arrow Connector 520">
                <a:extLst>
                  <a:ext uri="{FF2B5EF4-FFF2-40B4-BE49-F238E27FC236}">
                    <a16:creationId xmlns:a16="http://schemas.microsoft.com/office/drawing/2014/main" id="{00000000-0008-0000-0000-00000902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7" name="Group 506">
              <a:extLst>
                <a:ext uri="{FF2B5EF4-FFF2-40B4-BE49-F238E27FC236}">
                  <a16:creationId xmlns:a16="http://schemas.microsoft.com/office/drawing/2014/main" id="{00000000-0008-0000-0000-0000F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516" name="Straight Arrow Connector 515">
                <a:extLst>
                  <a:ext uri="{FF2B5EF4-FFF2-40B4-BE49-F238E27FC236}">
                    <a16:creationId xmlns:a16="http://schemas.microsoft.com/office/drawing/2014/main" id="{00000000-0008-0000-0000-00000402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7" name="Straight Arrow Connector 516">
                <a:extLst>
                  <a:ext uri="{FF2B5EF4-FFF2-40B4-BE49-F238E27FC236}">
                    <a16:creationId xmlns:a16="http://schemas.microsoft.com/office/drawing/2014/main" id="{00000000-0008-0000-0000-00000502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8" name="Straight Arrow Connector 517">
                <a:extLst>
                  <a:ext uri="{FF2B5EF4-FFF2-40B4-BE49-F238E27FC236}">
                    <a16:creationId xmlns:a16="http://schemas.microsoft.com/office/drawing/2014/main" id="{00000000-0008-0000-0000-00000602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8" name="Group 507">
              <a:extLst>
                <a:ext uri="{FF2B5EF4-FFF2-40B4-BE49-F238E27FC236}">
                  <a16:creationId xmlns:a16="http://schemas.microsoft.com/office/drawing/2014/main" id="{00000000-0008-0000-0000-0000F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513" name="Straight Arrow Connector 512">
                <a:extLst>
                  <a:ext uri="{FF2B5EF4-FFF2-40B4-BE49-F238E27FC236}">
                    <a16:creationId xmlns:a16="http://schemas.microsoft.com/office/drawing/2014/main" id="{00000000-0008-0000-0000-00000102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4" name="Straight Arrow Connector 513">
                <a:extLst>
                  <a:ext uri="{FF2B5EF4-FFF2-40B4-BE49-F238E27FC236}">
                    <a16:creationId xmlns:a16="http://schemas.microsoft.com/office/drawing/2014/main" id="{00000000-0008-0000-0000-00000202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5" name="Straight Arrow Connector 514">
                <a:extLst>
                  <a:ext uri="{FF2B5EF4-FFF2-40B4-BE49-F238E27FC236}">
                    <a16:creationId xmlns:a16="http://schemas.microsoft.com/office/drawing/2014/main" id="{00000000-0008-0000-0000-00000302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509" name="Group 508">
              <a:extLst>
                <a:ext uri="{FF2B5EF4-FFF2-40B4-BE49-F238E27FC236}">
                  <a16:creationId xmlns:a16="http://schemas.microsoft.com/office/drawing/2014/main" id="{00000000-0008-0000-0000-0000F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510" name="Straight Arrow Connector 509">
                <a:extLst>
                  <a:ext uri="{FF2B5EF4-FFF2-40B4-BE49-F238E27FC236}">
                    <a16:creationId xmlns:a16="http://schemas.microsoft.com/office/drawing/2014/main" id="{00000000-0008-0000-0000-0000F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1" name="Straight Arrow Connector 510">
                <a:extLst>
                  <a:ext uri="{FF2B5EF4-FFF2-40B4-BE49-F238E27FC236}">
                    <a16:creationId xmlns:a16="http://schemas.microsoft.com/office/drawing/2014/main" id="{00000000-0008-0000-0000-0000F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12" name="Straight Arrow Connector 511">
                <a:extLst>
                  <a:ext uri="{FF2B5EF4-FFF2-40B4-BE49-F238E27FC236}">
                    <a16:creationId xmlns:a16="http://schemas.microsoft.com/office/drawing/2014/main" id="{00000000-0008-0000-0000-00000002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grpSp>
        <xdr:nvGrpSpPr>
          <xdr:cNvPr id="470" name="Group 469">
            <a:extLst>
              <a:ext uri="{FF2B5EF4-FFF2-40B4-BE49-F238E27FC236}">
                <a16:creationId xmlns:a16="http://schemas.microsoft.com/office/drawing/2014/main" id="{00000000-0008-0000-0000-0000D6010000}"/>
              </a:ext>
            </a:extLst>
          </xdr:cNvPr>
          <xdr:cNvGrpSpPr/>
        </xdr:nvGrpSpPr>
        <xdr:grpSpPr>
          <a:xfrm>
            <a:off x="2353749" y="96637436"/>
            <a:ext cx="511774" cy="860891"/>
            <a:chOff x="2980107" y="97097787"/>
            <a:chExt cx="514353" cy="864329"/>
          </a:xfrm>
        </xdr:grpSpPr>
        <xdr:grpSp>
          <xdr:nvGrpSpPr>
            <xdr:cNvPr id="490" name="Group 489">
              <a:extLst>
                <a:ext uri="{FF2B5EF4-FFF2-40B4-BE49-F238E27FC236}">
                  <a16:creationId xmlns:a16="http://schemas.microsoft.com/office/drawing/2014/main" id="{00000000-0008-0000-0000-0000E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503" name="Straight Arrow Connector 502">
                <a:extLst>
                  <a:ext uri="{FF2B5EF4-FFF2-40B4-BE49-F238E27FC236}">
                    <a16:creationId xmlns:a16="http://schemas.microsoft.com/office/drawing/2014/main" id="{00000000-0008-0000-0000-0000F7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4" name="Straight Arrow Connector 503">
                <a:extLst>
                  <a:ext uri="{FF2B5EF4-FFF2-40B4-BE49-F238E27FC236}">
                    <a16:creationId xmlns:a16="http://schemas.microsoft.com/office/drawing/2014/main" id="{00000000-0008-0000-0000-0000F8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5" name="Straight Arrow Connector 504">
                <a:extLst>
                  <a:ext uri="{FF2B5EF4-FFF2-40B4-BE49-F238E27FC236}">
                    <a16:creationId xmlns:a16="http://schemas.microsoft.com/office/drawing/2014/main" id="{00000000-0008-0000-0000-0000F9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1" name="Group 490">
              <a:extLst>
                <a:ext uri="{FF2B5EF4-FFF2-40B4-BE49-F238E27FC236}">
                  <a16:creationId xmlns:a16="http://schemas.microsoft.com/office/drawing/2014/main" id="{00000000-0008-0000-0000-0000E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500" name="Straight Arrow Connector 499">
                <a:extLst>
                  <a:ext uri="{FF2B5EF4-FFF2-40B4-BE49-F238E27FC236}">
                    <a16:creationId xmlns:a16="http://schemas.microsoft.com/office/drawing/2014/main" id="{00000000-0008-0000-0000-0000F4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1" name="Straight Arrow Connector 500">
                <a:extLst>
                  <a:ext uri="{FF2B5EF4-FFF2-40B4-BE49-F238E27FC236}">
                    <a16:creationId xmlns:a16="http://schemas.microsoft.com/office/drawing/2014/main" id="{00000000-0008-0000-0000-0000F5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502" name="Straight Arrow Connector 501">
                <a:extLst>
                  <a:ext uri="{FF2B5EF4-FFF2-40B4-BE49-F238E27FC236}">
                    <a16:creationId xmlns:a16="http://schemas.microsoft.com/office/drawing/2014/main" id="{00000000-0008-0000-0000-0000F6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2" name="Group 491">
              <a:extLst>
                <a:ext uri="{FF2B5EF4-FFF2-40B4-BE49-F238E27FC236}">
                  <a16:creationId xmlns:a16="http://schemas.microsoft.com/office/drawing/2014/main" id="{00000000-0008-0000-0000-0000E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497" name="Straight Arrow Connector 496">
                <a:extLst>
                  <a:ext uri="{FF2B5EF4-FFF2-40B4-BE49-F238E27FC236}">
                    <a16:creationId xmlns:a16="http://schemas.microsoft.com/office/drawing/2014/main" id="{00000000-0008-0000-0000-0000F1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8" name="Straight Arrow Connector 497">
                <a:extLst>
                  <a:ext uri="{FF2B5EF4-FFF2-40B4-BE49-F238E27FC236}">
                    <a16:creationId xmlns:a16="http://schemas.microsoft.com/office/drawing/2014/main" id="{00000000-0008-0000-0000-0000F2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9" name="Straight Arrow Connector 498">
                <a:extLst>
                  <a:ext uri="{FF2B5EF4-FFF2-40B4-BE49-F238E27FC236}">
                    <a16:creationId xmlns:a16="http://schemas.microsoft.com/office/drawing/2014/main" id="{00000000-0008-0000-0000-0000F3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93" name="Group 492">
              <a:extLst>
                <a:ext uri="{FF2B5EF4-FFF2-40B4-BE49-F238E27FC236}">
                  <a16:creationId xmlns:a16="http://schemas.microsoft.com/office/drawing/2014/main" id="{00000000-0008-0000-0000-0000E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494" name="Straight Arrow Connector 493">
                <a:extLst>
                  <a:ext uri="{FF2B5EF4-FFF2-40B4-BE49-F238E27FC236}">
                    <a16:creationId xmlns:a16="http://schemas.microsoft.com/office/drawing/2014/main" id="{00000000-0008-0000-0000-0000E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5" name="Straight Arrow Connector 494">
                <a:extLst>
                  <a:ext uri="{FF2B5EF4-FFF2-40B4-BE49-F238E27FC236}">
                    <a16:creationId xmlns:a16="http://schemas.microsoft.com/office/drawing/2014/main" id="{00000000-0008-0000-0000-0000E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96" name="Straight Arrow Connector 495">
                <a:extLst>
                  <a:ext uri="{FF2B5EF4-FFF2-40B4-BE49-F238E27FC236}">
                    <a16:creationId xmlns:a16="http://schemas.microsoft.com/office/drawing/2014/main" id="{00000000-0008-0000-0000-0000F0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00000000-0008-0000-0000-0000D7010000}"/>
              </a:ext>
            </a:extLst>
          </xdr:cNvPr>
          <xdr:cNvGrpSpPr/>
        </xdr:nvGrpSpPr>
        <xdr:grpSpPr>
          <a:xfrm>
            <a:off x="1756755" y="96639442"/>
            <a:ext cx="511774" cy="860891"/>
            <a:chOff x="2980107" y="97097787"/>
            <a:chExt cx="514353" cy="864329"/>
          </a:xfrm>
        </xdr:grpSpPr>
        <xdr:grpSp>
          <xdr:nvGrpSpPr>
            <xdr:cNvPr id="474" name="Group 473">
              <a:extLst>
                <a:ext uri="{FF2B5EF4-FFF2-40B4-BE49-F238E27FC236}">
                  <a16:creationId xmlns:a16="http://schemas.microsoft.com/office/drawing/2014/main" id="{00000000-0008-0000-0000-0000DA010000}"/>
                </a:ext>
              </a:extLst>
            </xdr:cNvPr>
            <xdr:cNvGrpSpPr/>
          </xdr:nvGrpSpPr>
          <xdr:grpSpPr>
            <a:xfrm flipH="1">
              <a:off x="3336544" y="97338666"/>
              <a:ext cx="157916" cy="363756"/>
              <a:chOff x="3329134" y="96438745"/>
              <a:chExt cx="145194" cy="359931"/>
            </a:xfrm>
          </xdr:grpSpPr>
          <xdr:cxnSp macro="">
            <xdr:nvCxnSpPr>
              <xdr:cNvPr id="487" name="Straight Arrow Connector 486">
                <a:extLst>
                  <a:ext uri="{FF2B5EF4-FFF2-40B4-BE49-F238E27FC236}">
                    <a16:creationId xmlns:a16="http://schemas.microsoft.com/office/drawing/2014/main" id="{00000000-0008-0000-0000-0000E7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8" name="Straight Arrow Connector 487">
                <a:extLst>
                  <a:ext uri="{FF2B5EF4-FFF2-40B4-BE49-F238E27FC236}">
                    <a16:creationId xmlns:a16="http://schemas.microsoft.com/office/drawing/2014/main" id="{00000000-0008-0000-0000-0000E8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9" name="Straight Arrow Connector 488">
                <a:extLst>
                  <a:ext uri="{FF2B5EF4-FFF2-40B4-BE49-F238E27FC236}">
                    <a16:creationId xmlns:a16="http://schemas.microsoft.com/office/drawing/2014/main" id="{00000000-0008-0000-0000-0000E9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5" name="Group 474">
              <a:extLst>
                <a:ext uri="{FF2B5EF4-FFF2-40B4-BE49-F238E27FC236}">
                  <a16:creationId xmlns:a16="http://schemas.microsoft.com/office/drawing/2014/main" id="{00000000-0008-0000-0000-0000DB010000}"/>
                </a:ext>
              </a:extLst>
            </xdr:cNvPr>
            <xdr:cNvGrpSpPr/>
          </xdr:nvGrpSpPr>
          <xdr:grpSpPr>
            <a:xfrm>
              <a:off x="3070297" y="97097787"/>
              <a:ext cx="283506" cy="131408"/>
              <a:chOff x="3040218" y="97097787"/>
              <a:chExt cx="283506" cy="131408"/>
            </a:xfrm>
          </xdr:grpSpPr>
          <xdr:cxnSp macro="">
            <xdr:nvCxnSpPr>
              <xdr:cNvPr id="484" name="Straight Arrow Connector 483">
                <a:extLst>
                  <a:ext uri="{FF2B5EF4-FFF2-40B4-BE49-F238E27FC236}">
                    <a16:creationId xmlns:a16="http://schemas.microsoft.com/office/drawing/2014/main" id="{00000000-0008-0000-0000-0000E4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5" name="Straight Arrow Connector 484">
                <a:extLst>
                  <a:ext uri="{FF2B5EF4-FFF2-40B4-BE49-F238E27FC236}">
                    <a16:creationId xmlns:a16="http://schemas.microsoft.com/office/drawing/2014/main" id="{00000000-0008-0000-0000-0000E5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6" name="Straight Arrow Connector 485">
                <a:extLst>
                  <a:ext uri="{FF2B5EF4-FFF2-40B4-BE49-F238E27FC236}">
                    <a16:creationId xmlns:a16="http://schemas.microsoft.com/office/drawing/2014/main" id="{00000000-0008-0000-0000-0000E6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6" name="Group 475">
              <a:extLst>
                <a:ext uri="{FF2B5EF4-FFF2-40B4-BE49-F238E27FC236}">
                  <a16:creationId xmlns:a16="http://schemas.microsoft.com/office/drawing/2014/main" id="{00000000-0008-0000-0000-0000DC010000}"/>
                </a:ext>
              </a:extLst>
            </xdr:cNvPr>
            <xdr:cNvGrpSpPr/>
          </xdr:nvGrpSpPr>
          <xdr:grpSpPr>
            <a:xfrm>
              <a:off x="2980107" y="97345686"/>
              <a:ext cx="171983" cy="363756"/>
              <a:chOff x="3329134" y="96438745"/>
              <a:chExt cx="145194" cy="359931"/>
            </a:xfrm>
          </xdr:grpSpPr>
          <xdr:cxnSp macro="">
            <xdr:nvCxnSpPr>
              <xdr:cNvPr id="481" name="Straight Arrow Connector 480">
                <a:extLst>
                  <a:ext uri="{FF2B5EF4-FFF2-40B4-BE49-F238E27FC236}">
                    <a16:creationId xmlns:a16="http://schemas.microsoft.com/office/drawing/2014/main" id="{00000000-0008-0000-0000-0000E1010000}"/>
                  </a:ext>
                </a:extLst>
              </xdr:cNvPr>
              <xdr:cNvCxnSpPr/>
            </xdr:nvCxnSpPr>
            <xdr:spPr bwMode="auto">
              <a:xfrm>
                <a:off x="3333437" y="96438745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2" name="Straight Arrow Connector 481">
                <a:extLst>
                  <a:ext uri="{FF2B5EF4-FFF2-40B4-BE49-F238E27FC236}">
                    <a16:creationId xmlns:a16="http://schemas.microsoft.com/office/drawing/2014/main" id="{00000000-0008-0000-0000-0000E2010000}"/>
                  </a:ext>
                </a:extLst>
              </xdr:cNvPr>
              <xdr:cNvCxnSpPr/>
            </xdr:nvCxnSpPr>
            <xdr:spPr bwMode="auto">
              <a:xfrm>
                <a:off x="3329134" y="96620911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3" name="Straight Arrow Connector 482">
                <a:extLst>
                  <a:ext uri="{FF2B5EF4-FFF2-40B4-BE49-F238E27FC236}">
                    <a16:creationId xmlns:a16="http://schemas.microsoft.com/office/drawing/2014/main" id="{00000000-0008-0000-0000-0000E3010000}"/>
                  </a:ext>
                </a:extLst>
              </xdr:cNvPr>
              <xdr:cNvCxnSpPr/>
            </xdr:nvCxnSpPr>
            <xdr:spPr bwMode="auto">
              <a:xfrm>
                <a:off x="3334627" y="96797123"/>
                <a:ext cx="139701" cy="1553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  <xdr:grpSp>
          <xdr:nvGrpSpPr>
            <xdr:cNvPr id="477" name="Group 476">
              <a:extLst>
                <a:ext uri="{FF2B5EF4-FFF2-40B4-BE49-F238E27FC236}">
                  <a16:creationId xmlns:a16="http://schemas.microsoft.com/office/drawing/2014/main" id="{00000000-0008-0000-0000-0000DD010000}"/>
                </a:ext>
              </a:extLst>
            </xdr:cNvPr>
            <xdr:cNvGrpSpPr/>
          </xdr:nvGrpSpPr>
          <xdr:grpSpPr>
            <a:xfrm flipV="1">
              <a:off x="3102382" y="97796683"/>
              <a:ext cx="283506" cy="165433"/>
              <a:chOff x="3040218" y="97097787"/>
              <a:chExt cx="283506" cy="131408"/>
            </a:xfrm>
          </xdr:grpSpPr>
          <xdr:cxnSp macro="">
            <xdr:nvCxnSpPr>
              <xdr:cNvPr id="478" name="Straight Arrow Connector 477">
                <a:extLst>
                  <a:ext uri="{FF2B5EF4-FFF2-40B4-BE49-F238E27FC236}">
                    <a16:creationId xmlns:a16="http://schemas.microsoft.com/office/drawing/2014/main" id="{00000000-0008-0000-0000-0000DE010000}"/>
                  </a:ext>
                </a:extLst>
              </xdr:cNvPr>
              <xdr:cNvCxnSpPr/>
            </xdr:nvCxnSpPr>
            <xdr:spPr bwMode="auto">
              <a:xfrm>
                <a:off x="3321957" y="97100794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79" name="Straight Arrow Connector 478">
                <a:extLst>
                  <a:ext uri="{FF2B5EF4-FFF2-40B4-BE49-F238E27FC236}">
                    <a16:creationId xmlns:a16="http://schemas.microsoft.com/office/drawing/2014/main" id="{00000000-0008-0000-0000-0000DF010000}"/>
                  </a:ext>
                </a:extLst>
              </xdr:cNvPr>
              <xdr:cNvCxnSpPr/>
            </xdr:nvCxnSpPr>
            <xdr:spPr bwMode="auto">
              <a:xfrm>
                <a:off x="3183594" y="97097787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  <xdr:cxnSp macro="">
            <xdr:nvCxnSpPr>
              <xdr:cNvPr id="480" name="Straight Arrow Connector 479">
                <a:extLst>
                  <a:ext uri="{FF2B5EF4-FFF2-40B4-BE49-F238E27FC236}">
                    <a16:creationId xmlns:a16="http://schemas.microsoft.com/office/drawing/2014/main" id="{00000000-0008-0000-0000-0000E0010000}"/>
                  </a:ext>
                </a:extLst>
              </xdr:cNvPr>
              <xdr:cNvCxnSpPr/>
            </xdr:nvCxnSpPr>
            <xdr:spPr bwMode="auto">
              <a:xfrm>
                <a:off x="3040218" y="97104805"/>
                <a:ext cx="1767" cy="124390"/>
              </a:xfrm>
              <a:prstGeom prst="straightConnector1">
                <a:avLst/>
              </a:prstGeom>
              <a:blipFill dpi="0" rotWithShape="1">
                <a:blip xmlns:r="http://schemas.openxmlformats.org/officeDocument/2006/relationships" r:embed="rId3"/>
                <a:srcRect/>
                <a:tile tx="0" ty="0" sx="100000" sy="100000" flip="none" algn="tl"/>
              </a:blipFill>
              <a:ln w="9525" cap="flat" cmpd="sng" algn="ctr">
                <a:solidFill>
                  <a:srgbClr xmlns:mc="http://schemas.openxmlformats.org/markup-compatibility/2006" xmlns:a14="http://schemas.microsoft.com/office/drawing/2010/main" val="000000" mc:Ignorable="a14" a14:legacySpreadsheetColorIndex="64"/>
                </a:solidFill>
                <a:prstDash val="solid"/>
                <a:round/>
                <a:headEnd type="none" w="med" len="med"/>
                <a:tailEnd type="triangle" w="sm" len="med"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</xdr:cxnSp>
        </xdr:grpSp>
      </xdr:grpSp>
      <xdr:sp macro="" textlink="$S$576">
        <xdr:nvSpPr>
          <xdr:cNvPr id="472" name="Text Box 599">
            <a:extLst>
              <a:ext uri="{FF2B5EF4-FFF2-40B4-BE49-F238E27FC236}">
                <a16:creationId xmlns:a16="http://schemas.microsoft.com/office/drawing/2014/main" id="{00000000-0008-0000-0000-0000D8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26891" y="96997874"/>
            <a:ext cx="186803" cy="13638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3.0</a:t>
            </a:r>
          </a:p>
        </xdr:txBody>
      </xdr:sp>
      <xdr:sp macro="" textlink="$S$576">
        <xdr:nvSpPr>
          <xdr:cNvPr id="473" name="Text Box 599">
            <a:extLst>
              <a:ext uri="{FF2B5EF4-FFF2-40B4-BE49-F238E27FC236}">
                <a16:creationId xmlns:a16="http://schemas.microsoft.com/office/drawing/2014/main" id="{00000000-0008-0000-0000-0000D901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949948" y="96985699"/>
            <a:ext cx="186803" cy="13552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3.0</a:t>
            </a:r>
          </a:p>
        </xdr:txBody>
      </xdr:sp>
    </xdr:grpSp>
    <xdr:clientData/>
  </xdr:twoCellAnchor>
  <xdr:twoCellAnchor>
    <xdr:from>
      <xdr:col>8</xdr:col>
      <xdr:colOff>43677</xdr:colOff>
      <xdr:row>577</xdr:row>
      <xdr:rowOff>176484</xdr:rowOff>
    </xdr:from>
    <xdr:to>
      <xdr:col>15</xdr:col>
      <xdr:colOff>180005</xdr:colOff>
      <xdr:row>579</xdr:row>
      <xdr:rowOff>111560</xdr:rowOff>
    </xdr:to>
    <xdr:grpSp>
      <xdr:nvGrpSpPr>
        <xdr:cNvPr id="530" name="Group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GrpSpPr/>
      </xdr:nvGrpSpPr>
      <xdr:grpSpPr>
        <a:xfrm>
          <a:off x="2051435" y="93831439"/>
          <a:ext cx="1466018" cy="275062"/>
          <a:chOff x="1943994" y="94650038"/>
          <a:chExt cx="1382674" cy="293533"/>
        </a:xfrm>
      </xdr:grpSpPr>
      <xdr:cxnSp macro="">
        <xdr:nvCxnSpPr>
          <xdr:cNvPr id="531" name="Straight Arrow Connector 530">
            <a:extLst>
              <a:ext uri="{FF2B5EF4-FFF2-40B4-BE49-F238E27FC236}">
                <a16:creationId xmlns:a16="http://schemas.microsoft.com/office/drawing/2014/main" id="{00000000-0008-0000-0000-000013020000}"/>
              </a:ext>
            </a:extLst>
          </xdr:cNvPr>
          <xdr:cNvCxnSpPr/>
        </xdr:nvCxnSpPr>
        <xdr:spPr bwMode="auto">
          <a:xfrm flipH="1">
            <a:off x="2623448" y="94661193"/>
            <a:ext cx="1800" cy="153916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2" name="Straight Arrow Connector 531">
            <a:extLst>
              <a:ext uri="{FF2B5EF4-FFF2-40B4-BE49-F238E27FC236}">
                <a16:creationId xmlns:a16="http://schemas.microsoft.com/office/drawing/2014/main" id="{00000000-0008-0000-0000-000014020000}"/>
              </a:ext>
            </a:extLst>
          </xdr:cNvPr>
          <xdr:cNvCxnSpPr/>
        </xdr:nvCxnSpPr>
        <xdr:spPr bwMode="auto">
          <a:xfrm>
            <a:off x="3228206" y="94650038"/>
            <a:ext cx="1207" cy="155044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3" name="Straight Arrow Connector 532">
            <a:extLst>
              <a:ext uri="{FF2B5EF4-FFF2-40B4-BE49-F238E27FC236}">
                <a16:creationId xmlns:a16="http://schemas.microsoft.com/office/drawing/2014/main" id="{00000000-0008-0000-0000-000015020000}"/>
              </a:ext>
            </a:extLst>
          </xdr:cNvPr>
          <xdr:cNvCxnSpPr/>
        </xdr:nvCxnSpPr>
        <xdr:spPr bwMode="auto">
          <a:xfrm>
            <a:off x="2013141" y="94655052"/>
            <a:ext cx="6221" cy="14501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 w="sm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$S$576">
        <xdr:nvSpPr>
          <xdr:cNvPr id="534" name="Text Box 599">
            <a:extLst>
              <a:ext uri="{FF2B5EF4-FFF2-40B4-BE49-F238E27FC236}">
                <a16:creationId xmlns:a16="http://schemas.microsoft.com/office/drawing/2014/main" id="{00000000-0008-0000-0000-000016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530910" y="94821268"/>
            <a:ext cx="16773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  <xdr:sp macro="" textlink="$S$576">
        <xdr:nvSpPr>
          <xdr:cNvPr id="535" name="Text Box 599">
            <a:extLst>
              <a:ext uri="{FF2B5EF4-FFF2-40B4-BE49-F238E27FC236}">
                <a16:creationId xmlns:a16="http://schemas.microsoft.com/office/drawing/2014/main" id="{00000000-0008-0000-0000-000017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157053" y="94803221"/>
            <a:ext cx="16961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  <xdr:sp macro="" textlink="$S$576">
        <xdr:nvSpPr>
          <xdr:cNvPr id="536" name="Text Box 599">
            <a:extLst>
              <a:ext uri="{FF2B5EF4-FFF2-40B4-BE49-F238E27FC236}">
                <a16:creationId xmlns:a16="http://schemas.microsoft.com/office/drawing/2014/main" id="{00000000-0008-0000-0000-000018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943994" y="94805226"/>
            <a:ext cx="167735" cy="12230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600" b="1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40.0</a:t>
            </a:r>
          </a:p>
        </xdr:txBody>
      </xdr:sp>
    </xdr:grpSp>
    <xdr:clientData/>
  </xdr:twoCellAnchor>
  <xdr:twoCellAnchor>
    <xdr:from>
      <xdr:col>8</xdr:col>
      <xdr:colOff>21979</xdr:colOff>
      <xdr:row>508</xdr:row>
      <xdr:rowOff>117231</xdr:rowOff>
    </xdr:from>
    <xdr:to>
      <xdr:col>17</xdr:col>
      <xdr:colOff>124558</xdr:colOff>
      <xdr:row>509</xdr:row>
      <xdr:rowOff>146538</xdr:rowOff>
    </xdr:to>
    <xdr:sp macro="" textlink="">
      <xdr:nvSpPr>
        <xdr:cNvPr id="537" name="Flowchart: Manual Input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 bwMode="auto">
        <a:xfrm rot="10800000">
          <a:off x="2018419" y="83813406"/>
          <a:ext cx="1822794" cy="198852"/>
        </a:xfrm>
        <a:prstGeom prst="flowChartManualInput">
          <a:avLst/>
        </a:prstGeom>
        <a:pattFill prst="ltVert">
          <a:fgClr>
            <a:schemeClr val="tx1"/>
          </a:fgClr>
          <a:bgClr>
            <a:schemeClr val="bg1"/>
          </a:bgClr>
        </a:patt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3</xdr:col>
      <xdr:colOff>172385</xdr:colOff>
      <xdr:row>167</xdr:row>
      <xdr:rowOff>96383</xdr:rowOff>
    </xdr:from>
    <xdr:to>
      <xdr:col>21</xdr:col>
      <xdr:colOff>53428</xdr:colOff>
      <xdr:row>175</xdr:row>
      <xdr:rowOff>37488</xdr:rowOff>
    </xdr:to>
    <xdr:grpSp>
      <xdr:nvGrpSpPr>
        <xdr:cNvPr id="538" name="Group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GrpSpPr/>
      </xdr:nvGrpSpPr>
      <xdr:grpSpPr>
        <a:xfrm>
          <a:off x="1221928" y="26818602"/>
          <a:ext cx="3317663" cy="1289621"/>
          <a:chOff x="1370722" y="24372540"/>
          <a:chExt cx="3125935" cy="1425579"/>
        </a:xfrm>
      </xdr:grpSpPr>
      <xdr:sp macro="" textlink="">
        <xdr:nvSpPr>
          <xdr:cNvPr id="539" name="Freeform 4016" descr="Light horizontal">
            <a:extLst>
              <a:ext uri="{FF2B5EF4-FFF2-40B4-BE49-F238E27FC236}">
                <a16:creationId xmlns:a16="http://schemas.microsoft.com/office/drawing/2014/main" id="{00000000-0008-0000-0000-00001B020000}"/>
              </a:ext>
            </a:extLst>
          </xdr:cNvPr>
          <xdr:cNvSpPr>
            <a:spLocks/>
          </xdr:cNvSpPr>
        </xdr:nvSpPr>
        <xdr:spPr bwMode="auto">
          <a:xfrm>
            <a:off x="1639595" y="24482235"/>
            <a:ext cx="312582" cy="947542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152">
        <xdr:nvSpPr>
          <xdr:cNvPr id="540" name="Text Box 4089">
            <a:extLst>
              <a:ext uri="{FF2B5EF4-FFF2-40B4-BE49-F238E27FC236}">
                <a16:creationId xmlns:a16="http://schemas.microsoft.com/office/drawing/2014/main" id="{00000000-0008-0000-0000-00001C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44124" y="25331422"/>
            <a:ext cx="252533" cy="1834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438F9AEF-EFB8-442C-91B6-D0CC3B6E1DDA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84.9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$149">
        <xdr:nvSpPr>
          <xdr:cNvPr id="541" name="Text Box 4089">
            <a:extLst>
              <a:ext uri="{FF2B5EF4-FFF2-40B4-BE49-F238E27FC236}">
                <a16:creationId xmlns:a16="http://schemas.microsoft.com/office/drawing/2014/main" id="{00000000-0008-0000-0000-00001D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30523" y="24401361"/>
            <a:ext cx="252533" cy="1834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DB243801-0E55-43A4-91F3-1976C73B4E5C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70.5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542" name="Group 541">
            <a:extLst>
              <a:ext uri="{FF2B5EF4-FFF2-40B4-BE49-F238E27FC236}">
                <a16:creationId xmlns:a16="http://schemas.microsoft.com/office/drawing/2014/main" id="{00000000-0008-0000-0000-00001E02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546" name="Line 96">
              <a:extLst>
                <a:ext uri="{FF2B5EF4-FFF2-40B4-BE49-F238E27FC236}">
                  <a16:creationId xmlns:a16="http://schemas.microsoft.com/office/drawing/2014/main" id="{00000000-0008-0000-0000-00002202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7" name="Line 96">
              <a:extLst>
                <a:ext uri="{FF2B5EF4-FFF2-40B4-BE49-F238E27FC236}">
                  <a16:creationId xmlns:a16="http://schemas.microsoft.com/office/drawing/2014/main" id="{00000000-0008-0000-0000-000023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" name="Line 101">
              <a:extLst>
                <a:ext uri="{FF2B5EF4-FFF2-40B4-BE49-F238E27FC236}">
                  <a16:creationId xmlns:a16="http://schemas.microsoft.com/office/drawing/2014/main" id="{00000000-0008-0000-0000-000024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" name="Line 101">
              <a:extLst>
                <a:ext uri="{FF2B5EF4-FFF2-40B4-BE49-F238E27FC236}">
                  <a16:creationId xmlns:a16="http://schemas.microsoft.com/office/drawing/2014/main" id="{00000000-0008-0000-0000-000025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" name="Line 101">
              <a:extLst>
                <a:ext uri="{FF2B5EF4-FFF2-40B4-BE49-F238E27FC236}">
                  <a16:creationId xmlns:a16="http://schemas.microsoft.com/office/drawing/2014/main" id="{00000000-0008-0000-0000-000026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" name="Line 101">
              <a:extLst>
                <a:ext uri="{FF2B5EF4-FFF2-40B4-BE49-F238E27FC236}">
                  <a16:creationId xmlns:a16="http://schemas.microsoft.com/office/drawing/2014/main" id="{00000000-0008-0000-0000-000027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" name="Freeform 4016" descr="Light horizontal">
            <a:extLst>
              <a:ext uri="{FF2B5EF4-FFF2-40B4-BE49-F238E27FC236}">
                <a16:creationId xmlns:a16="http://schemas.microsoft.com/office/drawing/2014/main" id="{00000000-0008-0000-0000-00001F020000}"/>
              </a:ext>
            </a:extLst>
          </xdr:cNvPr>
          <xdr:cNvSpPr>
            <a:spLocks/>
          </xdr:cNvSpPr>
        </xdr:nvSpPr>
        <xdr:spPr bwMode="auto">
          <a:xfrm flipH="1">
            <a:off x="3911686" y="24459301"/>
            <a:ext cx="287995" cy="970476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$R$216">
        <xdr:nvSpPr>
          <xdr:cNvPr id="544" name="Text Box 4089">
            <a:extLst>
              <a:ext uri="{FF2B5EF4-FFF2-40B4-BE49-F238E27FC236}">
                <a16:creationId xmlns:a16="http://schemas.microsoft.com/office/drawing/2014/main" id="{00000000-0008-0000-0000-00002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30341" y="24372540"/>
            <a:ext cx="50990" cy="18343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FAF77BD-5334-47C8-814E-A149104D6F3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#REF!">
        <xdr:nvSpPr>
          <xdr:cNvPr id="545" name="Text Box 4089">
            <a:extLst>
              <a:ext uri="{FF2B5EF4-FFF2-40B4-BE49-F238E27FC236}">
                <a16:creationId xmlns:a16="http://schemas.microsoft.com/office/drawing/2014/main" id="{00000000-0008-0000-0000-000021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70722" y="25262411"/>
            <a:ext cx="50651" cy="17930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E8D0B7C2-65A5-44E2-9997-716FD17BBB18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53848</xdr:colOff>
      <xdr:row>178</xdr:row>
      <xdr:rowOff>12771</xdr:rowOff>
    </xdr:from>
    <xdr:to>
      <xdr:col>18</xdr:col>
      <xdr:colOff>96212</xdr:colOff>
      <xdr:row>187</xdr:row>
      <xdr:rowOff>13137</xdr:rowOff>
    </xdr:to>
    <xdr:grpSp>
      <xdr:nvGrpSpPr>
        <xdr:cNvPr id="552" name="Group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GrpSpPr/>
      </xdr:nvGrpSpPr>
      <xdr:grpSpPr>
        <a:xfrm>
          <a:off x="2063511" y="28591581"/>
          <a:ext cx="1939744" cy="1513160"/>
          <a:chOff x="1963461" y="15376912"/>
          <a:chExt cx="1874054" cy="1704651"/>
        </a:xfrm>
      </xdr:grpSpPr>
      <xdr:grpSp>
        <xdr:nvGrpSpPr>
          <xdr:cNvPr id="553" name="Group 552">
            <a:extLst>
              <a:ext uri="{FF2B5EF4-FFF2-40B4-BE49-F238E27FC236}">
                <a16:creationId xmlns:a16="http://schemas.microsoft.com/office/drawing/2014/main" id="{00000000-0008-0000-0000-00002902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555" name="Rectangle 728" descr="Light vertical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556" name="Group 555">
              <a:extLst>
                <a:ext uri="{FF2B5EF4-FFF2-40B4-BE49-F238E27FC236}">
                  <a16:creationId xmlns:a16="http://schemas.microsoft.com/office/drawing/2014/main" id="{00000000-0008-0000-0000-00002C02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557" name="Line 96">
                <a:extLst>
                  <a:ext uri="{FF2B5EF4-FFF2-40B4-BE49-F238E27FC236}">
                    <a16:creationId xmlns:a16="http://schemas.microsoft.com/office/drawing/2014/main" id="{00000000-0008-0000-0000-00002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96">
                <a:extLst>
                  <a:ext uri="{FF2B5EF4-FFF2-40B4-BE49-F238E27FC236}">
                    <a16:creationId xmlns:a16="http://schemas.microsoft.com/office/drawing/2014/main" id="{00000000-0008-0000-0000-00002E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" name="Line 101">
                <a:extLst>
                  <a:ext uri="{FF2B5EF4-FFF2-40B4-BE49-F238E27FC236}">
                    <a16:creationId xmlns:a16="http://schemas.microsoft.com/office/drawing/2014/main" id="{00000000-0008-0000-0000-00002F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101">
                <a:extLst>
                  <a:ext uri="{FF2B5EF4-FFF2-40B4-BE49-F238E27FC236}">
                    <a16:creationId xmlns:a16="http://schemas.microsoft.com/office/drawing/2014/main" id="{00000000-0008-0000-0000-000030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1" name="Line 101">
                <a:extLst>
                  <a:ext uri="{FF2B5EF4-FFF2-40B4-BE49-F238E27FC236}">
                    <a16:creationId xmlns:a16="http://schemas.microsoft.com/office/drawing/2014/main" id="{00000000-0008-0000-0000-000031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101">
                <a:extLst>
                  <a:ext uri="{FF2B5EF4-FFF2-40B4-BE49-F238E27FC236}">
                    <a16:creationId xmlns:a16="http://schemas.microsoft.com/office/drawing/2014/main" id="{00000000-0008-0000-0000-000032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178">
        <xdr:nvSpPr>
          <xdr:cNvPr id="554" name="Text Box 599">
            <a:extLst>
              <a:ext uri="{FF2B5EF4-FFF2-40B4-BE49-F238E27FC236}">
                <a16:creationId xmlns:a16="http://schemas.microsoft.com/office/drawing/2014/main" id="{00000000-0008-0000-0000-00002A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8694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C141E835-2A0B-40FE-99EC-49842EECFE9F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220.1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3</xdr:col>
      <xdr:colOff>135178</xdr:colOff>
      <xdr:row>216</xdr:row>
      <xdr:rowOff>135687</xdr:rowOff>
    </xdr:from>
    <xdr:to>
      <xdr:col>20</xdr:col>
      <xdr:colOff>55802</xdr:colOff>
      <xdr:row>224</xdr:row>
      <xdr:rowOff>98714</xdr:rowOff>
    </xdr:to>
    <xdr:grpSp>
      <xdr:nvGrpSpPr>
        <xdr:cNvPr id="563" name="Group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GrpSpPr/>
      </xdr:nvGrpSpPr>
      <xdr:grpSpPr>
        <a:xfrm>
          <a:off x="1184721" y="34421877"/>
          <a:ext cx="3166744" cy="1307733"/>
          <a:chOff x="1348394" y="24380213"/>
          <a:chExt cx="2961324" cy="1417906"/>
        </a:xfrm>
      </xdr:grpSpPr>
      <xdr:sp macro="" textlink="">
        <xdr:nvSpPr>
          <xdr:cNvPr id="564" name="Freeform 4016" descr="Light horizontal">
            <a:extLst>
              <a:ext uri="{FF2B5EF4-FFF2-40B4-BE49-F238E27FC236}">
                <a16:creationId xmlns:a16="http://schemas.microsoft.com/office/drawing/2014/main" id="{00000000-0008-0000-0000-000034020000}"/>
              </a:ext>
            </a:extLst>
          </xdr:cNvPr>
          <xdr:cNvSpPr>
            <a:spLocks/>
          </xdr:cNvSpPr>
        </xdr:nvSpPr>
        <xdr:spPr bwMode="auto">
          <a:xfrm>
            <a:off x="1665553" y="24482235"/>
            <a:ext cx="286623" cy="957408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#REF!">
        <xdr:nvSpPr>
          <xdr:cNvPr id="565" name="Text Box 4089">
            <a:extLst>
              <a:ext uri="{FF2B5EF4-FFF2-40B4-BE49-F238E27FC236}">
                <a16:creationId xmlns:a16="http://schemas.microsoft.com/office/drawing/2014/main" id="{00000000-0008-0000-0000-000035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258989" y="25296580"/>
            <a:ext cx="50729" cy="17504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6BFB6590-427B-4E8F-B7A6-4317905F30F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  <xdr:sp macro="" textlink="$R245">
        <xdr:nvSpPr>
          <xdr:cNvPr id="566" name="Text Box 4089">
            <a:extLst>
              <a:ext uri="{FF2B5EF4-FFF2-40B4-BE49-F238E27FC236}">
                <a16:creationId xmlns:a16="http://schemas.microsoft.com/office/drawing/2014/main" id="{00000000-0008-0000-0000-000036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4005741" y="24399731"/>
            <a:ext cx="50607" cy="17992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FB982283-A4D2-4728-A344-269973EB9F99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grpSp>
        <xdr:nvGrpSpPr>
          <xdr:cNvPr id="567" name="Group 566">
            <a:extLst>
              <a:ext uri="{FF2B5EF4-FFF2-40B4-BE49-F238E27FC236}">
                <a16:creationId xmlns:a16="http://schemas.microsoft.com/office/drawing/2014/main" id="{00000000-0008-0000-0000-000037020000}"/>
              </a:ext>
            </a:extLst>
          </xdr:cNvPr>
          <xdr:cNvGrpSpPr/>
        </xdr:nvGrpSpPr>
        <xdr:grpSpPr>
          <a:xfrm>
            <a:off x="2002212" y="24451586"/>
            <a:ext cx="1855418" cy="1346533"/>
            <a:chOff x="1176417" y="1971737"/>
            <a:chExt cx="3300802" cy="3329132"/>
          </a:xfrm>
        </xdr:grpSpPr>
        <xdr:sp macro="" textlink="">
          <xdr:nvSpPr>
            <xdr:cNvPr id="571" name="Line 96">
              <a:extLst>
                <a:ext uri="{FF2B5EF4-FFF2-40B4-BE49-F238E27FC236}">
                  <a16:creationId xmlns:a16="http://schemas.microsoft.com/office/drawing/2014/main" id="{00000000-0008-0000-0000-00003B02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1176417" y="1979544"/>
              <a:ext cx="7995" cy="3296478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2" name="Line 96">
              <a:extLst>
                <a:ext uri="{FF2B5EF4-FFF2-40B4-BE49-F238E27FC236}">
                  <a16:creationId xmlns:a16="http://schemas.microsoft.com/office/drawing/2014/main" id="{00000000-0008-0000-0000-00003C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462869" y="1971737"/>
              <a:ext cx="14350" cy="3329132"/>
            </a:xfrm>
            <a:prstGeom prst="line">
              <a:avLst/>
            </a:prstGeom>
            <a:noFill/>
            <a:ln w="63500">
              <a:solidFill>
                <a:srgbClr val="0000FF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" name="Line 101">
              <a:extLst>
                <a:ext uri="{FF2B5EF4-FFF2-40B4-BE49-F238E27FC236}">
                  <a16:creationId xmlns:a16="http://schemas.microsoft.com/office/drawing/2014/main" id="{00000000-0008-0000-0000-00003D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10013" y="2010413"/>
              <a:ext cx="3230753" cy="2636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" name="Line 101">
              <a:extLst>
                <a:ext uri="{FF2B5EF4-FFF2-40B4-BE49-F238E27FC236}">
                  <a16:creationId xmlns:a16="http://schemas.microsoft.com/office/drawing/2014/main" id="{00000000-0008-0000-0000-00003E02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1204321" y="4378743"/>
              <a:ext cx="3248491" cy="1624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" name="Line 101">
              <a:extLst>
                <a:ext uri="{FF2B5EF4-FFF2-40B4-BE49-F238E27FC236}">
                  <a16:creationId xmlns:a16="http://schemas.microsoft.com/office/drawing/2014/main" id="{00000000-0008-0000-0000-00003F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252869" y="2037523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" name="Line 101">
              <a:extLst>
                <a:ext uri="{FF2B5EF4-FFF2-40B4-BE49-F238E27FC236}">
                  <a16:creationId xmlns:a16="http://schemas.microsoft.com/office/drawing/2014/main" id="{00000000-0008-0000-0000-00004002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384445" y="2036666"/>
              <a:ext cx="8282" cy="2310848"/>
            </a:xfrm>
            <a:prstGeom prst="line">
              <a:avLst/>
            </a:prstGeom>
            <a:noFill/>
            <a:ln w="63500">
              <a:solidFill>
                <a:schemeClr val="accent6">
                  <a:lumMod val="50000"/>
                </a:schemeClr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" name="Freeform 4016" descr="Light horizontal">
            <a:extLst>
              <a:ext uri="{FF2B5EF4-FFF2-40B4-BE49-F238E27FC236}">
                <a16:creationId xmlns:a16="http://schemas.microsoft.com/office/drawing/2014/main" id="{00000000-0008-0000-0000-000038020000}"/>
              </a:ext>
            </a:extLst>
          </xdr:cNvPr>
          <xdr:cNvSpPr>
            <a:spLocks/>
          </xdr:cNvSpPr>
        </xdr:nvSpPr>
        <xdr:spPr bwMode="auto">
          <a:xfrm flipH="1">
            <a:off x="3911684" y="24459302"/>
            <a:ext cx="275472" cy="987720"/>
          </a:xfrm>
          <a:custGeom>
            <a:avLst/>
            <a:gdLst>
              <a:gd name="T0" fmla="*/ 57 w 57"/>
              <a:gd name="T1" fmla="*/ 0 h 96"/>
              <a:gd name="T2" fmla="*/ 57 w 57"/>
              <a:gd name="T3" fmla="*/ 96 h 96"/>
              <a:gd name="T4" fmla="*/ 44 w 57"/>
              <a:gd name="T5" fmla="*/ 96 h 96"/>
              <a:gd name="T6" fmla="*/ 19 w 57"/>
              <a:gd name="T7" fmla="*/ 96 h 96"/>
              <a:gd name="T8" fmla="*/ 0 w 57"/>
              <a:gd name="T9" fmla="*/ 96 h 96"/>
              <a:gd name="T10" fmla="*/ 30 w 57"/>
              <a:gd name="T11" fmla="*/ 41 h 96"/>
              <a:gd name="T12" fmla="*/ 46 w 57"/>
              <a:gd name="T13" fmla="*/ 19 h 96"/>
              <a:gd name="T14" fmla="*/ 50 w 57"/>
              <a:gd name="T15" fmla="*/ 11 h 96"/>
              <a:gd name="T16" fmla="*/ 57 w 57"/>
              <a:gd name="T17" fmla="*/ 0 h 96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5263 w 10000"/>
              <a:gd name="connsiteY6" fmla="*/ 4271 h 10000"/>
              <a:gd name="connsiteX7" fmla="*/ 8070 w 10000"/>
              <a:gd name="connsiteY7" fmla="*/ 1979 h 10000"/>
              <a:gd name="connsiteX8" fmla="*/ 8772 w 10000"/>
              <a:gd name="connsiteY8" fmla="*/ 1146 h 10000"/>
              <a:gd name="connsiteX9" fmla="*/ 10000 w 10000"/>
              <a:gd name="connsiteY9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8772 w 10000"/>
              <a:gd name="connsiteY7" fmla="*/ 1146 h 10000"/>
              <a:gd name="connsiteX8" fmla="*/ 10000 w 10000"/>
              <a:gd name="connsiteY8" fmla="*/ 0 h 10000"/>
              <a:gd name="connsiteX0" fmla="*/ 10000 w 10000"/>
              <a:gd name="connsiteY0" fmla="*/ 0 h 10000"/>
              <a:gd name="connsiteX1" fmla="*/ 10000 w 10000"/>
              <a:gd name="connsiteY1" fmla="*/ 10000 h 10000"/>
              <a:gd name="connsiteX2" fmla="*/ 7719 w 10000"/>
              <a:gd name="connsiteY2" fmla="*/ 10000 h 10000"/>
              <a:gd name="connsiteX3" fmla="*/ 3333 w 10000"/>
              <a:gd name="connsiteY3" fmla="*/ 10000 h 10000"/>
              <a:gd name="connsiteX4" fmla="*/ 0 w 10000"/>
              <a:gd name="connsiteY4" fmla="*/ 10000 h 10000"/>
              <a:gd name="connsiteX5" fmla="*/ 5508 w 10000"/>
              <a:gd name="connsiteY5" fmla="*/ 4571 h 10000"/>
              <a:gd name="connsiteX6" fmla="*/ 8070 w 10000"/>
              <a:gd name="connsiteY6" fmla="*/ 1979 h 10000"/>
              <a:gd name="connsiteX7" fmla="*/ 10000 w 10000"/>
              <a:gd name="connsiteY7" fmla="*/ 0 h 10000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5508 w 10000"/>
              <a:gd name="connsiteY5" fmla="*/ 4606 h 10035"/>
              <a:gd name="connsiteX6" fmla="*/ 7437 w 10000"/>
              <a:gd name="connsiteY6" fmla="*/ 0 h 10035"/>
              <a:gd name="connsiteX7" fmla="*/ 10000 w 10000"/>
              <a:gd name="connsiteY7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  <a:gd name="connsiteX0" fmla="*/ 10000 w 10000"/>
              <a:gd name="connsiteY0" fmla="*/ 35 h 10035"/>
              <a:gd name="connsiteX1" fmla="*/ 10000 w 10000"/>
              <a:gd name="connsiteY1" fmla="*/ 10035 h 10035"/>
              <a:gd name="connsiteX2" fmla="*/ 7719 w 10000"/>
              <a:gd name="connsiteY2" fmla="*/ 10035 h 10035"/>
              <a:gd name="connsiteX3" fmla="*/ 3333 w 10000"/>
              <a:gd name="connsiteY3" fmla="*/ 10035 h 10035"/>
              <a:gd name="connsiteX4" fmla="*/ 0 w 10000"/>
              <a:gd name="connsiteY4" fmla="*/ 10035 h 10035"/>
              <a:gd name="connsiteX5" fmla="*/ 7437 w 10000"/>
              <a:gd name="connsiteY5" fmla="*/ 0 h 10035"/>
              <a:gd name="connsiteX6" fmla="*/ 10000 w 10000"/>
              <a:gd name="connsiteY6" fmla="*/ 35 h 1003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10000" h="10035">
                <a:moveTo>
                  <a:pt x="10000" y="35"/>
                </a:moveTo>
                <a:lnTo>
                  <a:pt x="10000" y="10035"/>
                </a:lnTo>
                <a:lnTo>
                  <a:pt x="7719" y="10035"/>
                </a:lnTo>
                <a:lnTo>
                  <a:pt x="3333" y="10035"/>
                </a:lnTo>
                <a:lnTo>
                  <a:pt x="0" y="10035"/>
                </a:lnTo>
                <a:lnTo>
                  <a:pt x="7437" y="0"/>
                </a:lnTo>
                <a:lnTo>
                  <a:pt x="10000" y="35"/>
                </a:lnTo>
                <a:close/>
              </a:path>
            </a:pathLst>
          </a:custGeom>
          <a:pattFill prst="ltHorz">
            <a:fgClr>
              <a:srgbClr val="000000"/>
            </a:fgClr>
            <a:bgClr>
              <a:srgbClr val="FFFFFF"/>
            </a:bgClr>
          </a:pattFill>
          <a:ln w="19050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</xdr:sp>
      <xdr:sp macro="" textlink="#REF!">
        <xdr:nvSpPr>
          <xdr:cNvPr id="569" name="Text Box 4089">
            <a:extLst>
              <a:ext uri="{FF2B5EF4-FFF2-40B4-BE49-F238E27FC236}">
                <a16:creationId xmlns:a16="http://schemas.microsoft.com/office/drawing/2014/main" id="{00000000-0008-0000-0000-000039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589194" y="24380213"/>
            <a:ext cx="50729" cy="17504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3FE12325-68E9-4B43-9616-800DFBBC3B5D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#REF!">
        <xdr:nvSpPr>
          <xdr:cNvPr id="570" name="Text Box 4089">
            <a:extLst>
              <a:ext uri="{FF2B5EF4-FFF2-40B4-BE49-F238E27FC236}">
                <a16:creationId xmlns:a16="http://schemas.microsoft.com/office/drawing/2014/main" id="{00000000-0008-0000-0000-00003A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348394" y="25275377"/>
            <a:ext cx="50729" cy="17504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fld id="{3E8D438E-58EF-473C-87BB-C7387B8C26F4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pPr algn="l" rtl="0">
                <a:defRPr sz="1000"/>
              </a:pPr>
              <a:t> </a:t>
            </a:fld>
            <a:endParaRPr lang="en-SG" sz="1000" b="0" i="0" u="none" strike="noStrike" baseline="0">
              <a:solidFill>
                <a:srgbClr val="0000FF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24</xdr:col>
      <xdr:colOff>134472</xdr:colOff>
      <xdr:row>156</xdr:row>
      <xdr:rowOff>145676</xdr:rowOff>
    </xdr:from>
    <xdr:ext cx="881945" cy="400909"/>
    <xdr:pic>
      <xdr:nvPicPr>
        <xdr:cNvPr id="577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25861271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18</xdr:col>
      <xdr:colOff>95250</xdr:colOff>
      <xdr:row>216</xdr:row>
      <xdr:rowOff>152400</xdr:rowOff>
    </xdr:from>
    <xdr:to>
      <xdr:col>20</xdr:col>
      <xdr:colOff>3342</xdr:colOff>
      <xdr:row>217</xdr:row>
      <xdr:rowOff>138650</xdr:rowOff>
    </xdr:to>
    <xdr:sp macro="" textlink="$R$191">
      <xdr:nvSpPr>
        <xdr:cNvPr id="578" name="Text Box 4089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996690" y="35128200"/>
          <a:ext cx="292902" cy="1538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40D12A9A-1313-4A6A-AA59-96055906BE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228.6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133350</xdr:colOff>
      <xdr:row>216</xdr:row>
      <xdr:rowOff>133350</xdr:rowOff>
    </xdr:from>
    <xdr:to>
      <xdr:col>6</xdr:col>
      <xdr:colOff>41442</xdr:colOff>
      <xdr:row>217</xdr:row>
      <xdr:rowOff>119600</xdr:rowOff>
    </xdr:to>
    <xdr:sp macro="" textlink="$R$197">
      <xdr:nvSpPr>
        <xdr:cNvPr id="579" name="Text Box 4089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367790" y="35105340"/>
          <a:ext cx="292902" cy="163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C7A83B2B-CDBB-4C5B-8031-BA0270630C6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228.6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66675</xdr:colOff>
      <xdr:row>222</xdr:row>
      <xdr:rowOff>9525</xdr:rowOff>
    </xdr:from>
    <xdr:to>
      <xdr:col>4</xdr:col>
      <xdr:colOff>155742</xdr:colOff>
      <xdr:row>222</xdr:row>
      <xdr:rowOff>176750</xdr:rowOff>
    </xdr:to>
    <xdr:sp macro="" textlink="$R$200">
      <xdr:nvSpPr>
        <xdr:cNvPr id="580" name="Text Box 408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12520" y="36015930"/>
          <a:ext cx="281472" cy="1615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5645D051-4544-4980-9CEE-D08AB41BA59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305.1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222</xdr:row>
      <xdr:rowOff>28575</xdr:rowOff>
    </xdr:from>
    <xdr:to>
      <xdr:col>20</xdr:col>
      <xdr:colOff>146217</xdr:colOff>
      <xdr:row>223</xdr:row>
      <xdr:rowOff>14825</xdr:rowOff>
    </xdr:to>
    <xdr:sp macro="" textlink="$R$194">
      <xdr:nvSpPr>
        <xdr:cNvPr id="581" name="Text Box 4089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149090" y="36031170"/>
          <a:ext cx="281472" cy="16341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18288" rIns="0" bIns="0" anchor="t" upright="1">
          <a:noAutofit/>
        </a:bodyPr>
        <a:lstStyle/>
        <a:p>
          <a:pPr algn="l" rtl="0">
            <a:defRPr sz="1000"/>
          </a:pPr>
          <a:fld id="{DA73892E-232A-4AA0-9140-4EF2BA25027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305.1</a:t>
          </a:fld>
          <a:endParaRPr lang="en-S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169252</xdr:colOff>
      <xdr:row>26</xdr:row>
      <xdr:rowOff>60813</xdr:rowOff>
    </xdr:from>
    <xdr:to>
      <xdr:col>14</xdr:col>
      <xdr:colOff>26377</xdr:colOff>
      <xdr:row>26</xdr:row>
      <xdr:rowOff>146538</xdr:rowOff>
    </xdr:to>
    <xdr:sp macro="" textlink="">
      <xdr:nvSpPr>
        <xdr:cNvPr id="582" name="Rectangle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 bwMode="auto">
        <a:xfrm>
          <a:off x="2744812" y="4514703"/>
          <a:ext cx="421005" cy="87630"/>
        </a:xfrm>
        <a:prstGeom prst="rect">
          <a:avLst/>
        </a:prstGeom>
        <a:solidFill>
          <a:schemeClr val="accent6">
            <a:lumMod val="50000"/>
          </a:schemeClr>
        </a:solidFill>
        <a:ln w="1270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0</xdr:colOff>
      <xdr:row>81</xdr:row>
      <xdr:rowOff>160655</xdr:rowOff>
    </xdr:from>
    <xdr:to>
      <xdr:col>19</xdr:col>
      <xdr:colOff>127546</xdr:colOff>
      <xdr:row>88</xdr:row>
      <xdr:rowOff>112002</xdr:rowOff>
    </xdr:to>
    <xdr:grpSp>
      <xdr:nvGrpSpPr>
        <xdr:cNvPr id="583" name="Group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GrpSpPr/>
      </xdr:nvGrpSpPr>
      <xdr:grpSpPr>
        <a:xfrm>
          <a:off x="1815353" y="13777707"/>
          <a:ext cx="2417356" cy="1126060"/>
          <a:chOff x="1720485" y="14719222"/>
          <a:chExt cx="2301786" cy="1216902"/>
        </a:xfrm>
      </xdr:grpSpPr>
      <xdr:cxnSp macro="">
        <xdr:nvCxnSpPr>
          <xdr:cNvPr id="584" name="Straight Arrow Connector 583">
            <a:extLst>
              <a:ext uri="{FF2B5EF4-FFF2-40B4-BE49-F238E27FC236}">
                <a16:creationId xmlns:a16="http://schemas.microsoft.com/office/drawing/2014/main" id="{00000000-0008-0000-0000-000048020000}"/>
              </a:ext>
            </a:extLst>
          </xdr:cNvPr>
          <xdr:cNvCxnSpPr/>
        </xdr:nvCxnSpPr>
        <xdr:spPr bwMode="auto">
          <a:xfrm flipH="1">
            <a:off x="1951235" y="14817306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5" name="Straight Arrow Connector 584">
            <a:extLst>
              <a:ext uri="{FF2B5EF4-FFF2-40B4-BE49-F238E27FC236}">
                <a16:creationId xmlns:a16="http://schemas.microsoft.com/office/drawing/2014/main" id="{00000000-0008-0000-0000-000049020000}"/>
              </a:ext>
            </a:extLst>
          </xdr:cNvPr>
          <xdr:cNvCxnSpPr/>
        </xdr:nvCxnSpPr>
        <xdr:spPr bwMode="auto">
          <a:xfrm flipH="1">
            <a:off x="2563650" y="14792344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6" name="Straight Arrow Connector 585">
            <a:extLst>
              <a:ext uri="{FF2B5EF4-FFF2-40B4-BE49-F238E27FC236}">
                <a16:creationId xmlns:a16="http://schemas.microsoft.com/office/drawing/2014/main" id="{00000000-0008-0000-0000-00004A020000}"/>
              </a:ext>
            </a:extLst>
          </xdr:cNvPr>
          <xdr:cNvCxnSpPr/>
        </xdr:nvCxnSpPr>
        <xdr:spPr bwMode="auto">
          <a:xfrm flipH="1">
            <a:off x="3171749" y="14793658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7" name="Straight Arrow Connector 586">
            <a:extLst>
              <a:ext uri="{FF2B5EF4-FFF2-40B4-BE49-F238E27FC236}">
                <a16:creationId xmlns:a16="http://schemas.microsoft.com/office/drawing/2014/main" id="{00000000-0008-0000-0000-00004B020000}"/>
              </a:ext>
            </a:extLst>
          </xdr:cNvPr>
          <xdr:cNvCxnSpPr/>
        </xdr:nvCxnSpPr>
        <xdr:spPr bwMode="auto">
          <a:xfrm flipH="1">
            <a:off x="3764458" y="14794972"/>
            <a:ext cx="1" cy="228629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8" name="Straight Arrow Connector 587">
            <a:extLst>
              <a:ext uri="{FF2B5EF4-FFF2-40B4-BE49-F238E27FC236}">
                <a16:creationId xmlns:a16="http://schemas.microsoft.com/office/drawing/2014/main" id="{00000000-0008-0000-0000-00004C020000}"/>
              </a:ext>
            </a:extLst>
          </xdr:cNvPr>
          <xdr:cNvCxnSpPr/>
        </xdr:nvCxnSpPr>
        <xdr:spPr bwMode="auto">
          <a:xfrm flipH="1">
            <a:off x="3337287" y="15699613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9" name="Straight Arrow Connector 588">
            <a:extLst>
              <a:ext uri="{FF2B5EF4-FFF2-40B4-BE49-F238E27FC236}">
                <a16:creationId xmlns:a16="http://schemas.microsoft.com/office/drawing/2014/main" id="{00000000-0008-0000-0000-00004D020000}"/>
              </a:ext>
            </a:extLst>
          </xdr:cNvPr>
          <xdr:cNvCxnSpPr/>
        </xdr:nvCxnSpPr>
        <xdr:spPr bwMode="auto">
          <a:xfrm flipH="1">
            <a:off x="3465663" y="15707496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90" name="Straight Arrow Connector 589">
            <a:extLst>
              <a:ext uri="{FF2B5EF4-FFF2-40B4-BE49-F238E27FC236}">
                <a16:creationId xmlns:a16="http://schemas.microsoft.com/office/drawing/2014/main" id="{00000000-0008-0000-0000-00004E020000}"/>
              </a:ext>
            </a:extLst>
          </xdr:cNvPr>
          <xdr:cNvCxnSpPr/>
        </xdr:nvCxnSpPr>
        <xdr:spPr bwMode="auto">
          <a:xfrm flipH="1">
            <a:off x="3607178" y="15702241"/>
            <a:ext cx="1" cy="228628"/>
          </a:xfrm>
          <a:prstGeom prst="straightConnector1">
            <a:avLst/>
          </a:prstGeom>
          <a:blipFill dpi="0" rotWithShape="1">
            <a:blip xmlns:r="http://schemas.openxmlformats.org/officeDocument/2006/relationships" r:embed="rId3"/>
            <a:srcRect/>
            <a:tile tx="0" ty="0" sx="100000" sy="100000" flip="none" algn="tl"/>
          </a:blip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triangle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$R$81">
        <xdr:nvSpPr>
          <xdr:cNvPr id="591" name="Text Box 599">
            <a:extLst>
              <a:ext uri="{FF2B5EF4-FFF2-40B4-BE49-F238E27FC236}">
                <a16:creationId xmlns:a16="http://schemas.microsoft.com/office/drawing/2014/main" id="{00000000-0008-0000-0000-00004F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1720485" y="14768207"/>
            <a:ext cx="202789" cy="135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9.9</a:t>
            </a:r>
          </a:p>
        </xdr:txBody>
      </xdr:sp>
      <xdr:sp macro="" textlink="$R$81">
        <xdr:nvSpPr>
          <xdr:cNvPr id="592" name="Text Box 599">
            <a:extLst>
              <a:ext uri="{FF2B5EF4-FFF2-40B4-BE49-F238E27FC236}">
                <a16:creationId xmlns:a16="http://schemas.microsoft.com/office/drawing/2014/main" id="{00000000-0008-0000-0000-00005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384514" y="14762765"/>
            <a:ext cx="157301" cy="1359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15</a:t>
            </a:r>
          </a:p>
        </xdr:txBody>
      </xdr:sp>
      <xdr:sp macro="" textlink="$R$81">
        <xdr:nvSpPr>
          <xdr:cNvPr id="593" name="Text Box 599">
            <a:extLst>
              <a:ext uri="{FF2B5EF4-FFF2-40B4-BE49-F238E27FC236}">
                <a16:creationId xmlns:a16="http://schemas.microsoft.com/office/drawing/2014/main" id="{00000000-0008-0000-0000-000051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200943" y="14719222"/>
            <a:ext cx="222614" cy="1397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31.4</a:t>
            </a:r>
          </a:p>
        </xdr:txBody>
      </xdr:sp>
      <xdr:sp macro="" textlink="$R$81">
        <xdr:nvSpPr>
          <xdr:cNvPr id="594" name="Text Box 599">
            <a:extLst>
              <a:ext uri="{FF2B5EF4-FFF2-40B4-BE49-F238E27FC236}">
                <a16:creationId xmlns:a16="http://schemas.microsoft.com/office/drawing/2014/main" id="{00000000-0008-0000-0000-000052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799657" y="14746436"/>
            <a:ext cx="222614" cy="1397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45.5</a:t>
            </a:r>
          </a:p>
        </xdr:txBody>
      </xdr:sp>
      <xdr:sp macro="" textlink="$R$81">
        <xdr:nvSpPr>
          <xdr:cNvPr id="595" name="Text Box 599">
            <a:extLst>
              <a:ext uri="{FF2B5EF4-FFF2-40B4-BE49-F238E27FC236}">
                <a16:creationId xmlns:a16="http://schemas.microsoft.com/office/drawing/2014/main" id="{00000000-0008-0000-0000-000053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3402328" y="15562864"/>
            <a:ext cx="211969" cy="10774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noAutofit/>
          </a:bodyPr>
          <a:lstStyle/>
          <a:p>
            <a:pPr marL="0" indent="0" algn="l" rtl="0">
              <a:defRPr sz="1000"/>
            </a:pPr>
            <a:r>
              <a: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rPr>
              <a:t>16.5</a:t>
            </a:r>
          </a:p>
        </xdr:txBody>
      </xdr:sp>
    </xdr:grpSp>
    <xdr:clientData/>
  </xdr:two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596" name="Text Box 3679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597" name="Text Box 3679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598" name="Text Box 3679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599" name="Text Box 3679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654</xdr:row>
      <xdr:rowOff>9594</xdr:rowOff>
    </xdr:from>
    <xdr:ext cx="299671" cy="183173"/>
    <xdr:sp macro="" textlink="#REF!">
      <xdr:nvSpPr>
        <xdr:cNvPr id="600" name="Text Box 367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739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660</xdr:row>
      <xdr:rowOff>48715</xdr:rowOff>
    </xdr:from>
    <xdr:ext cx="295091" cy="183173"/>
    <xdr:sp macro="" textlink="#REF!">
      <xdr:nvSpPr>
        <xdr:cNvPr id="601" name="Text Box 3679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807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653</xdr:row>
      <xdr:rowOff>9594</xdr:rowOff>
    </xdr:from>
    <xdr:ext cx="299671" cy="183173"/>
    <xdr:sp macro="" textlink="#REF!">
      <xdr:nvSpPr>
        <xdr:cNvPr id="602" name="Text Box 3679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085679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659</xdr:row>
      <xdr:rowOff>48715</xdr:rowOff>
    </xdr:from>
    <xdr:ext cx="295091" cy="183173"/>
    <xdr:sp macro="" textlink="#REF!">
      <xdr:nvSpPr>
        <xdr:cNvPr id="603" name="Text Box 3679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096357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652</xdr:row>
      <xdr:rowOff>0</xdr:rowOff>
    </xdr:from>
    <xdr:ext cx="379271" cy="179159"/>
    <xdr:sp macro="" textlink="$O$569">
      <xdr:nvSpPr>
        <xdr:cNvPr id="604" name="Text Box 1275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83849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652</xdr:row>
      <xdr:rowOff>0</xdr:rowOff>
    </xdr:from>
    <xdr:ext cx="379271" cy="179159"/>
    <xdr:sp macro="" textlink="$O$569">
      <xdr:nvSpPr>
        <xdr:cNvPr id="605" name="Text Box 1275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083849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6</xdr:col>
      <xdr:colOff>95396</xdr:colOff>
      <xdr:row>655</xdr:row>
      <xdr:rowOff>54952</xdr:rowOff>
    </xdr:from>
    <xdr:to>
      <xdr:col>16</xdr:col>
      <xdr:colOff>115635</xdr:colOff>
      <xdr:row>664</xdr:row>
      <xdr:rowOff>92379</xdr:rowOff>
    </xdr:to>
    <xdr:grpSp>
      <xdr:nvGrpSpPr>
        <xdr:cNvPr id="606" name="Group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GrpSpPr/>
      </xdr:nvGrpSpPr>
      <xdr:grpSpPr>
        <a:xfrm>
          <a:off x="1716439" y="106828409"/>
          <a:ext cx="1929049" cy="1550221"/>
          <a:chOff x="1979218" y="15346933"/>
          <a:chExt cx="1868385" cy="1728905"/>
        </a:xfrm>
      </xdr:grpSpPr>
      <xdr:grpSp>
        <xdr:nvGrpSpPr>
          <xdr:cNvPr id="607" name="Group 606">
            <a:extLst>
              <a:ext uri="{FF2B5EF4-FFF2-40B4-BE49-F238E27FC236}">
                <a16:creationId xmlns:a16="http://schemas.microsoft.com/office/drawing/2014/main" id="{00000000-0008-0000-0000-00005F020000}"/>
              </a:ext>
            </a:extLst>
          </xdr:cNvPr>
          <xdr:cNvGrpSpPr/>
        </xdr:nvGrpSpPr>
        <xdr:grpSpPr>
          <a:xfrm>
            <a:off x="1979218" y="15550742"/>
            <a:ext cx="1868385" cy="1525096"/>
            <a:chOff x="1947616" y="15014643"/>
            <a:chExt cx="1815174" cy="1482242"/>
          </a:xfrm>
        </xdr:grpSpPr>
        <xdr:sp macro="" textlink="">
          <xdr:nvSpPr>
            <xdr:cNvPr id="609" name="Rectangle 728" descr="Light vertical">
              <a:extLst>
                <a:ext uri="{FF2B5EF4-FFF2-40B4-BE49-F238E27FC236}">
                  <a16:creationId xmlns:a16="http://schemas.microsoft.com/office/drawing/2014/main" id="{00000000-0008-0000-0000-000061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47616" y="15014643"/>
              <a:ext cx="1815174" cy="143775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610" name="Group 609">
              <a:extLst>
                <a:ext uri="{FF2B5EF4-FFF2-40B4-BE49-F238E27FC236}">
                  <a16:creationId xmlns:a16="http://schemas.microsoft.com/office/drawing/2014/main" id="{00000000-0008-0000-0000-000062020000}"/>
                </a:ext>
              </a:extLst>
            </xdr:cNvPr>
            <xdr:cNvGrpSpPr/>
          </xdr:nvGrpSpPr>
          <xdr:grpSpPr>
            <a:xfrm>
              <a:off x="1960645" y="15170652"/>
              <a:ext cx="1790600" cy="1326233"/>
              <a:chOff x="1198213" y="1925675"/>
              <a:chExt cx="3279006" cy="3375194"/>
            </a:xfrm>
          </xdr:grpSpPr>
          <xdr:sp macro="" textlink="">
            <xdr:nvSpPr>
              <xdr:cNvPr id="611" name="Line 96">
                <a:extLst>
                  <a:ext uri="{FF2B5EF4-FFF2-40B4-BE49-F238E27FC236}">
                    <a16:creationId xmlns:a16="http://schemas.microsoft.com/office/drawing/2014/main" id="{00000000-0008-0000-0000-000063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2" name="Line 96">
                <a:extLst>
                  <a:ext uri="{FF2B5EF4-FFF2-40B4-BE49-F238E27FC236}">
                    <a16:creationId xmlns:a16="http://schemas.microsoft.com/office/drawing/2014/main" id="{00000000-0008-0000-0000-000064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101">
                <a:extLst>
                  <a:ext uri="{FF2B5EF4-FFF2-40B4-BE49-F238E27FC236}">
                    <a16:creationId xmlns:a16="http://schemas.microsoft.com/office/drawing/2014/main" id="{00000000-0008-0000-0000-000065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4" name="Line 101">
                <a:extLst>
                  <a:ext uri="{FF2B5EF4-FFF2-40B4-BE49-F238E27FC236}">
                    <a16:creationId xmlns:a16="http://schemas.microsoft.com/office/drawing/2014/main" id="{00000000-0008-0000-0000-00006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  <xdr:txBody>
              <a:bodyPr/>
              <a:lstStyle/>
              <a:p>
                <a:endParaRPr lang="en-SG"/>
              </a:p>
            </xdr:txBody>
          </xdr:sp>
          <xdr:sp macro="" textlink="">
            <xdr:nvSpPr>
              <xdr:cNvPr id="615" name="Line 101">
                <a:extLst>
                  <a:ext uri="{FF2B5EF4-FFF2-40B4-BE49-F238E27FC236}">
                    <a16:creationId xmlns:a16="http://schemas.microsoft.com/office/drawing/2014/main" id="{00000000-0008-0000-0000-00006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" name="Line 101">
                <a:extLst>
                  <a:ext uri="{FF2B5EF4-FFF2-40B4-BE49-F238E27FC236}">
                    <a16:creationId xmlns:a16="http://schemas.microsoft.com/office/drawing/2014/main" id="{00000000-0008-0000-0000-00006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S$655">
        <xdr:nvSpPr>
          <xdr:cNvPr id="608" name="Text Box 599">
            <a:extLst>
              <a:ext uri="{FF2B5EF4-FFF2-40B4-BE49-F238E27FC236}">
                <a16:creationId xmlns:a16="http://schemas.microsoft.com/office/drawing/2014/main" id="{00000000-0008-0000-0000-00006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34615" y="15346933"/>
            <a:ext cx="367677" cy="18507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E9A1EAA6-5471-43B7-BA96-F9833FD8E573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 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oneCellAnchor>
    <xdr:from>
      <xdr:col>16</xdr:col>
      <xdr:colOff>19016</xdr:colOff>
      <xdr:row>670</xdr:row>
      <xdr:rowOff>48715</xdr:rowOff>
    </xdr:from>
    <xdr:ext cx="295091" cy="183173"/>
    <xdr:sp macro="" textlink="#REF!">
      <xdr:nvSpPr>
        <xdr:cNvPr id="617" name="Text Box 3679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5216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670</xdr:row>
      <xdr:rowOff>48715</xdr:rowOff>
    </xdr:from>
    <xdr:ext cx="295091" cy="183173"/>
    <xdr:sp macro="" textlink="#REF!">
      <xdr:nvSpPr>
        <xdr:cNvPr id="618" name="Text Box 3679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5216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685</xdr:row>
      <xdr:rowOff>9594</xdr:rowOff>
    </xdr:from>
    <xdr:ext cx="299671" cy="183173"/>
    <xdr:sp macro="" textlink="#REF!">
      <xdr:nvSpPr>
        <xdr:cNvPr id="619" name="Text Box 3679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4054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671</xdr:row>
      <xdr:rowOff>48715</xdr:rowOff>
    </xdr:from>
    <xdr:ext cx="295091" cy="183173"/>
    <xdr:sp macro="" textlink="#REF!">
      <xdr:nvSpPr>
        <xdr:cNvPr id="620" name="Text Box 367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1693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706</xdr:row>
      <xdr:rowOff>9594</xdr:rowOff>
    </xdr:from>
    <xdr:ext cx="299671" cy="183173"/>
    <xdr:sp macro="" textlink="#REF!">
      <xdr:nvSpPr>
        <xdr:cNvPr id="621" name="Text Box 3679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6547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712</xdr:row>
      <xdr:rowOff>48715</xdr:rowOff>
    </xdr:from>
    <xdr:ext cx="295091" cy="183173"/>
    <xdr:sp macro="" textlink="#REF!">
      <xdr:nvSpPr>
        <xdr:cNvPr id="622" name="Text Box 3679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7225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680</xdr:row>
      <xdr:rowOff>9594</xdr:rowOff>
    </xdr:from>
    <xdr:ext cx="299671" cy="183173"/>
    <xdr:sp macro="" textlink="#REF!">
      <xdr:nvSpPr>
        <xdr:cNvPr id="623" name="Text Box 3679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1970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687</xdr:row>
      <xdr:rowOff>48715</xdr:rowOff>
    </xdr:from>
    <xdr:ext cx="295091" cy="183173"/>
    <xdr:sp macro="" textlink="#REF!">
      <xdr:nvSpPr>
        <xdr:cNvPr id="624" name="Text Box 3679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4363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25" name="Text Box 1275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26" name="Text Box 127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683</xdr:row>
      <xdr:rowOff>0</xdr:rowOff>
    </xdr:from>
    <xdr:ext cx="315474" cy="161925"/>
    <xdr:sp macro="" textlink="$O$568">
      <xdr:nvSpPr>
        <xdr:cNvPr id="627" name="Text Box 3681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36999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684</xdr:row>
      <xdr:rowOff>76200</xdr:rowOff>
    </xdr:from>
    <xdr:ext cx="513693" cy="164889"/>
    <xdr:sp macro="" textlink="$AH$515">
      <xdr:nvSpPr>
        <xdr:cNvPr id="628" name="Text Box 3684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39475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9</xdr:col>
      <xdr:colOff>77391</xdr:colOff>
      <xdr:row>694</xdr:row>
      <xdr:rowOff>9594</xdr:rowOff>
    </xdr:from>
    <xdr:ext cx="299671" cy="183173"/>
    <xdr:sp macro="" textlink="#REF!">
      <xdr:nvSpPr>
        <xdr:cNvPr id="629" name="Text Box 3679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55973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701</xdr:row>
      <xdr:rowOff>48715</xdr:rowOff>
    </xdr:from>
    <xdr:ext cx="295091" cy="183173"/>
    <xdr:sp macro="" textlink="#REF!">
      <xdr:nvSpPr>
        <xdr:cNvPr id="630" name="Text Box 367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68366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693</xdr:row>
      <xdr:rowOff>0</xdr:rowOff>
    </xdr:from>
    <xdr:ext cx="379908" cy="174106"/>
    <xdr:sp macro="" textlink="$O$569">
      <xdr:nvSpPr>
        <xdr:cNvPr id="631" name="Text Box 1275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4144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693</xdr:row>
      <xdr:rowOff>0</xdr:rowOff>
    </xdr:from>
    <xdr:ext cx="379908" cy="174106"/>
    <xdr:sp macro="" textlink="$O$569">
      <xdr:nvSpPr>
        <xdr:cNvPr id="632" name="Text Box 1275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4144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697</xdr:row>
      <xdr:rowOff>0</xdr:rowOff>
    </xdr:from>
    <xdr:ext cx="315474" cy="161925"/>
    <xdr:sp macro="" textlink="$O$568">
      <xdr:nvSpPr>
        <xdr:cNvPr id="633" name="Text Box 3681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610022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698</xdr:row>
      <xdr:rowOff>76200</xdr:rowOff>
    </xdr:from>
    <xdr:ext cx="513693" cy="164889"/>
    <xdr:sp macro="" textlink="$AH$515">
      <xdr:nvSpPr>
        <xdr:cNvPr id="634" name="Text Box 3684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634787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24</xdr:col>
      <xdr:colOff>134472</xdr:colOff>
      <xdr:row>672</xdr:row>
      <xdr:rowOff>145676</xdr:rowOff>
    </xdr:from>
    <xdr:ext cx="881945" cy="400909"/>
    <xdr:pic>
      <xdr:nvPicPr>
        <xdr:cNvPr id="635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178912" y="111957746"/>
          <a:ext cx="881945" cy="400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36" name="Text Box 3679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37" name="Text Box 3679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38" name="Text Box 3679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39" name="Text Box 3679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706</xdr:row>
      <xdr:rowOff>9594</xdr:rowOff>
    </xdr:from>
    <xdr:ext cx="299671" cy="183173"/>
    <xdr:sp macro="" textlink="#REF!">
      <xdr:nvSpPr>
        <xdr:cNvPr id="640" name="Text Box 367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6547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712</xdr:row>
      <xdr:rowOff>48715</xdr:rowOff>
    </xdr:from>
    <xdr:ext cx="295091" cy="183173"/>
    <xdr:sp macro="" textlink="#REF!">
      <xdr:nvSpPr>
        <xdr:cNvPr id="641" name="Text Box 3679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7225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705</xdr:row>
      <xdr:rowOff>9594</xdr:rowOff>
    </xdr:from>
    <xdr:ext cx="299671" cy="183173"/>
    <xdr:sp macro="" textlink="#REF!">
      <xdr:nvSpPr>
        <xdr:cNvPr id="642" name="Text Box 3679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7483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711</xdr:row>
      <xdr:rowOff>48715</xdr:rowOff>
    </xdr:from>
    <xdr:ext cx="295091" cy="183173"/>
    <xdr:sp macro="" textlink="#REF!">
      <xdr:nvSpPr>
        <xdr:cNvPr id="643" name="Text Box 3679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85511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704</xdr:row>
      <xdr:rowOff>0</xdr:rowOff>
    </xdr:from>
    <xdr:ext cx="379271" cy="179159"/>
    <xdr:sp macro="" textlink="$O$569">
      <xdr:nvSpPr>
        <xdr:cNvPr id="644" name="Text Box 1275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73003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704</xdr:row>
      <xdr:rowOff>0</xdr:rowOff>
    </xdr:from>
    <xdr:ext cx="379271" cy="179159"/>
    <xdr:sp macro="" textlink="$O$569">
      <xdr:nvSpPr>
        <xdr:cNvPr id="645" name="Text Box 1275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7300375"/>
          <a:ext cx="379271" cy="179159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722</xdr:row>
      <xdr:rowOff>48715</xdr:rowOff>
    </xdr:from>
    <xdr:ext cx="295091" cy="183173"/>
    <xdr:sp macro="" textlink="#REF!">
      <xdr:nvSpPr>
        <xdr:cNvPr id="646" name="Text Box 3679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20437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722</xdr:row>
      <xdr:rowOff>48715</xdr:rowOff>
    </xdr:from>
    <xdr:ext cx="295091" cy="183173"/>
    <xdr:sp macro="" textlink="#REF!">
      <xdr:nvSpPr>
        <xdr:cNvPr id="647" name="Text Box 3679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20437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676</xdr:row>
      <xdr:rowOff>9594</xdr:rowOff>
    </xdr:from>
    <xdr:ext cx="299671" cy="183173"/>
    <xdr:sp macro="" textlink="#REF!">
      <xdr:nvSpPr>
        <xdr:cNvPr id="648" name="Text Box 3679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5112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682</xdr:row>
      <xdr:rowOff>48715</xdr:rowOff>
    </xdr:from>
    <xdr:ext cx="295091" cy="183173"/>
    <xdr:sp macro="" textlink="#REF!">
      <xdr:nvSpPr>
        <xdr:cNvPr id="649" name="Text Box 3679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5790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678</xdr:row>
      <xdr:rowOff>0</xdr:rowOff>
    </xdr:from>
    <xdr:ext cx="175846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3143250" y="1128426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685</xdr:row>
      <xdr:rowOff>9594</xdr:rowOff>
    </xdr:from>
    <xdr:ext cx="299671" cy="183173"/>
    <xdr:sp macro="" textlink="#REF!">
      <xdr:nvSpPr>
        <xdr:cNvPr id="651" name="Text Box 3679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40543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680</xdr:row>
      <xdr:rowOff>9594</xdr:rowOff>
    </xdr:from>
    <xdr:ext cx="299671" cy="183173"/>
    <xdr:sp macro="" textlink="#REF!">
      <xdr:nvSpPr>
        <xdr:cNvPr id="652" name="Text Box 3679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1970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687</xdr:row>
      <xdr:rowOff>48715</xdr:rowOff>
    </xdr:from>
    <xdr:ext cx="295091" cy="183173"/>
    <xdr:sp macro="" textlink="#REF!">
      <xdr:nvSpPr>
        <xdr:cNvPr id="653" name="Text Box 3679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4363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54" name="Text Box 1275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679</xdr:row>
      <xdr:rowOff>0</xdr:rowOff>
    </xdr:from>
    <xdr:ext cx="379908" cy="174106"/>
    <xdr:sp macro="" textlink="$O$569">
      <xdr:nvSpPr>
        <xdr:cNvPr id="655" name="Text Box 1275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30141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680</xdr:row>
      <xdr:rowOff>48715</xdr:rowOff>
    </xdr:from>
    <xdr:ext cx="295091" cy="183173"/>
    <xdr:sp macro="" textlink="#REF!">
      <xdr:nvSpPr>
        <xdr:cNvPr id="656" name="Text Box 3679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2361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676</xdr:row>
      <xdr:rowOff>0</xdr:rowOff>
    </xdr:from>
    <xdr:ext cx="175846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3143250" y="11249977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684</xdr:row>
      <xdr:rowOff>9594</xdr:rowOff>
    </xdr:from>
    <xdr:ext cx="299671" cy="183173"/>
    <xdr:sp macro="" textlink="#REF!">
      <xdr:nvSpPr>
        <xdr:cNvPr id="658" name="Text Box 3679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8828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679</xdr:row>
      <xdr:rowOff>9594</xdr:rowOff>
    </xdr:from>
    <xdr:ext cx="299671" cy="183173"/>
    <xdr:sp macro="" textlink="#REF!">
      <xdr:nvSpPr>
        <xdr:cNvPr id="659" name="Text Box 3679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0256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686</xdr:row>
      <xdr:rowOff>48715</xdr:rowOff>
    </xdr:from>
    <xdr:ext cx="295091" cy="183173"/>
    <xdr:sp macro="" textlink="#REF!">
      <xdr:nvSpPr>
        <xdr:cNvPr id="660" name="Text Box 367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2648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61" name="Text Box 1275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62" name="Text Box 1275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63" name="Text Box 1275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64" name="Text Box 1275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681</xdr:row>
      <xdr:rowOff>48715</xdr:rowOff>
    </xdr:from>
    <xdr:ext cx="295091" cy="183173"/>
    <xdr:sp macro="" textlink="#REF!">
      <xdr:nvSpPr>
        <xdr:cNvPr id="665" name="Text Box 3679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34076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14</xdr:col>
      <xdr:colOff>0</xdr:colOff>
      <xdr:row>677</xdr:row>
      <xdr:rowOff>0</xdr:rowOff>
    </xdr:from>
    <xdr:ext cx="175846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3143250" y="112671225"/>
          <a:ext cx="175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77391</xdr:colOff>
      <xdr:row>684</xdr:row>
      <xdr:rowOff>9594</xdr:rowOff>
    </xdr:from>
    <xdr:ext cx="299671" cy="183173"/>
    <xdr:sp macro="" textlink="#REF!">
      <xdr:nvSpPr>
        <xdr:cNvPr id="667" name="Text Box 367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8828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679</xdr:row>
      <xdr:rowOff>9594</xdr:rowOff>
    </xdr:from>
    <xdr:ext cx="299671" cy="183173"/>
    <xdr:sp macro="" textlink="#REF!">
      <xdr:nvSpPr>
        <xdr:cNvPr id="668" name="Text Box 3679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0256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686</xdr:row>
      <xdr:rowOff>48715</xdr:rowOff>
    </xdr:from>
    <xdr:ext cx="295091" cy="183173"/>
    <xdr:sp macro="" textlink="#REF!">
      <xdr:nvSpPr>
        <xdr:cNvPr id="669" name="Text Box 3679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26489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70" name="Text Box 1275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678</xdr:row>
      <xdr:rowOff>0</xdr:rowOff>
    </xdr:from>
    <xdr:ext cx="379908" cy="174106"/>
    <xdr:sp macro="" textlink="$O$569">
      <xdr:nvSpPr>
        <xdr:cNvPr id="671" name="Text Box 1275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8426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76201</xdr:colOff>
      <xdr:row>682</xdr:row>
      <xdr:rowOff>0</xdr:rowOff>
    </xdr:from>
    <xdr:ext cx="315474" cy="161925"/>
    <xdr:sp macro="" textlink="$O$568">
      <xdr:nvSpPr>
        <xdr:cNvPr id="672" name="Text Box 368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123951" y="113528475"/>
          <a:ext cx="315474" cy="161925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F1020B81-D65D-4DEE-AC92-94E203F7350F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171450</xdr:colOff>
      <xdr:row>683</xdr:row>
      <xdr:rowOff>76200</xdr:rowOff>
    </xdr:from>
    <xdr:ext cx="513693" cy="164889"/>
    <xdr:sp macro="" textlink="$AH$515">
      <xdr:nvSpPr>
        <xdr:cNvPr id="673" name="Text Box 3684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215390" y="113776125"/>
          <a:ext cx="513693" cy="1648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fld id="{10FDBAF9-2F20-4528-BEE5-FCB3814162EC}" type="TxLink">
            <a:rPr lang="en-SG"/>
            <a:pPr/>
            <a:t> </a:t>
          </a:fld>
          <a:endParaRPr lang="en-SG"/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74" name="Text Box 1275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692</xdr:row>
      <xdr:rowOff>0</xdr:rowOff>
    </xdr:from>
    <xdr:ext cx="379908" cy="174106"/>
    <xdr:sp macro="" textlink="$O$569">
      <xdr:nvSpPr>
        <xdr:cNvPr id="675" name="Text Box 1275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524297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683</xdr:row>
      <xdr:rowOff>9594</xdr:rowOff>
    </xdr:from>
    <xdr:ext cx="299671" cy="183173"/>
    <xdr:sp macro="" textlink="#REF!">
      <xdr:nvSpPr>
        <xdr:cNvPr id="676" name="Text Box 3679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371142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678</xdr:row>
      <xdr:rowOff>9594</xdr:rowOff>
    </xdr:from>
    <xdr:ext cx="299671" cy="183173"/>
    <xdr:sp macro="" textlink="#REF!">
      <xdr:nvSpPr>
        <xdr:cNvPr id="677" name="Text Box 367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8541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16</xdr:col>
      <xdr:colOff>19016</xdr:colOff>
      <xdr:row>685</xdr:row>
      <xdr:rowOff>48715</xdr:rowOff>
    </xdr:from>
    <xdr:ext cx="295091" cy="183173"/>
    <xdr:sp macro="" textlink="#REF!">
      <xdr:nvSpPr>
        <xdr:cNvPr id="678" name="Text Box 3679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47076" y="114093445"/>
          <a:ext cx="29509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89CEB45-EFC8-4EB8-A1F0-D707D27F435D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79" name="Text Box 1275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0" name="Text Box 1275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1" name="Text Box 1275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156042</xdr:colOff>
      <xdr:row>677</xdr:row>
      <xdr:rowOff>0</xdr:rowOff>
    </xdr:from>
    <xdr:ext cx="379908" cy="174106"/>
    <xdr:sp macro="" textlink="$O$569">
      <xdr:nvSpPr>
        <xdr:cNvPr id="682" name="Text Box 1275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013292" y="112671225"/>
          <a:ext cx="379908" cy="174106"/>
        </a:xfrm>
        <a:prstGeom prst="rect">
          <a:avLst/>
        </a:prstGeom>
        <a:noFill/>
        <a:ln>
          <a:noFill/>
        </a:ln>
        <a:effectLst/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fld id="{3C8B8386-E9EA-4E23-BA90-39D9AF2F4311}" type="TxLink"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77391</xdr:colOff>
      <xdr:row>678</xdr:row>
      <xdr:rowOff>9594</xdr:rowOff>
    </xdr:from>
    <xdr:ext cx="299671" cy="183173"/>
    <xdr:sp macro="" textlink="#REF!">
      <xdr:nvSpPr>
        <xdr:cNvPr id="683" name="Text Box 3679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268141" y="112854174"/>
          <a:ext cx="299671" cy="18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74AAD0F-8F3F-48F1-9171-812095FA39A6}" type="TxLink"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pPr algn="l" rtl="0">
              <a:defRPr sz="1000"/>
            </a:pPr>
            <a:t> </a:t>
          </a:fld>
          <a:endParaRPr lang="en-SG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3</xdr:col>
      <xdr:colOff>172360</xdr:colOff>
      <xdr:row>682</xdr:row>
      <xdr:rowOff>97844</xdr:rowOff>
    </xdr:from>
    <xdr:to>
      <xdr:col>22</xdr:col>
      <xdr:colOff>17736</xdr:colOff>
      <xdr:row>690</xdr:row>
      <xdr:rowOff>22009</xdr:rowOff>
    </xdr:to>
    <xdr:grpSp>
      <xdr:nvGrpSpPr>
        <xdr:cNvPr id="684" name="Group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GrpSpPr/>
      </xdr:nvGrpSpPr>
      <xdr:grpSpPr>
        <a:xfrm>
          <a:off x="1221903" y="111402063"/>
          <a:ext cx="3472496" cy="1268871"/>
          <a:chOff x="985556" y="100524742"/>
          <a:chExt cx="3276075" cy="1355455"/>
        </a:xfrm>
      </xdr:grpSpPr>
      <xdr:grpSp>
        <xdr:nvGrpSpPr>
          <xdr:cNvPr id="685" name="Group 684">
            <a:extLst>
              <a:ext uri="{FF2B5EF4-FFF2-40B4-BE49-F238E27FC236}">
                <a16:creationId xmlns:a16="http://schemas.microsoft.com/office/drawing/2014/main" id="{00000000-0008-0000-0000-0000AD020000}"/>
              </a:ext>
            </a:extLst>
          </xdr:cNvPr>
          <xdr:cNvGrpSpPr/>
        </xdr:nvGrpSpPr>
        <xdr:grpSpPr>
          <a:xfrm>
            <a:off x="1726123" y="100524742"/>
            <a:ext cx="2415877" cy="1355455"/>
            <a:chOff x="1992629" y="15642755"/>
            <a:chExt cx="2490477" cy="1433089"/>
          </a:xfrm>
        </xdr:grpSpPr>
        <xdr:grpSp>
          <xdr:nvGrpSpPr>
            <xdr:cNvPr id="692" name="Group 691">
              <a:extLst>
                <a:ext uri="{FF2B5EF4-FFF2-40B4-BE49-F238E27FC236}">
                  <a16:creationId xmlns:a16="http://schemas.microsoft.com/office/drawing/2014/main" id="{00000000-0008-0000-0000-0000B4020000}"/>
                </a:ext>
              </a:extLst>
            </xdr:cNvPr>
            <xdr:cNvGrpSpPr/>
          </xdr:nvGrpSpPr>
          <xdr:grpSpPr>
            <a:xfrm>
              <a:off x="1992629" y="15711267"/>
              <a:ext cx="1843091" cy="1364577"/>
              <a:chOff x="1198213" y="1925675"/>
              <a:chExt cx="3279006" cy="3375194"/>
            </a:xfrm>
          </xdr:grpSpPr>
          <xdr:sp macro="" textlink="">
            <xdr:nvSpPr>
              <xdr:cNvPr id="694" name="Line 96">
                <a:extLst>
                  <a:ext uri="{FF2B5EF4-FFF2-40B4-BE49-F238E27FC236}">
                    <a16:creationId xmlns:a16="http://schemas.microsoft.com/office/drawing/2014/main" id="{00000000-0008-0000-0000-0000B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98213" y="1925678"/>
                <a:ext cx="0" cy="3350345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5" name="Line 96">
                <a:extLst>
                  <a:ext uri="{FF2B5EF4-FFF2-40B4-BE49-F238E27FC236}">
                    <a16:creationId xmlns:a16="http://schemas.microsoft.com/office/drawing/2014/main" id="{00000000-0008-0000-0000-0000B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77219" y="1925675"/>
                <a:ext cx="0" cy="3375194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6" name="Line 101">
                <a:extLst>
                  <a:ext uri="{FF2B5EF4-FFF2-40B4-BE49-F238E27FC236}">
                    <a16:creationId xmlns:a16="http://schemas.microsoft.com/office/drawing/2014/main" id="{00000000-0008-0000-0000-0000B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61541" y="2010412"/>
                <a:ext cx="3138736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" name="Line 101">
                <a:extLst>
                  <a:ext uri="{FF2B5EF4-FFF2-40B4-BE49-F238E27FC236}">
                    <a16:creationId xmlns:a16="http://schemas.microsoft.com/office/drawing/2014/main" id="{00000000-0008-0000-0000-0000B9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50641" y="4378744"/>
                <a:ext cx="3202171" cy="0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" name="Line 101">
                <a:extLst>
                  <a:ext uri="{FF2B5EF4-FFF2-40B4-BE49-F238E27FC236}">
                    <a16:creationId xmlns:a16="http://schemas.microsoft.com/office/drawing/2014/main" id="{00000000-0008-0000-0000-0000BA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" name="Line 101">
                <a:extLst>
                  <a:ext uri="{FF2B5EF4-FFF2-40B4-BE49-F238E27FC236}">
                    <a16:creationId xmlns:a16="http://schemas.microsoft.com/office/drawing/2014/main" id="{00000000-0008-0000-0000-0000BB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$S$679">
          <xdr:nvSpPr>
            <xdr:cNvPr id="693" name="Text Box 599">
              <a:extLst>
                <a:ext uri="{FF2B5EF4-FFF2-40B4-BE49-F238E27FC236}">
                  <a16:creationId xmlns:a16="http://schemas.microsoft.com/office/drawing/2014/main" id="{00000000-0008-0000-0000-0000B5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4115429" y="15642755"/>
              <a:ext cx="367677" cy="1874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spAutoFit/>
            </a:bodyPr>
            <a:lstStyle/>
            <a:p>
              <a:pPr marL="0" indent="0" algn="l" rtl="0">
                <a:defRPr sz="1000"/>
              </a:pPr>
              <a:fld id="{6917E9F6-6A65-43A8-91D0-FA5E0700819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20.0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  <xdr:grpSp>
        <xdr:nvGrpSpPr>
          <xdr:cNvPr id="686" name="Group 685">
            <a:extLst>
              <a:ext uri="{FF2B5EF4-FFF2-40B4-BE49-F238E27FC236}">
                <a16:creationId xmlns:a16="http://schemas.microsoft.com/office/drawing/2014/main" id="{00000000-0008-0000-0000-0000AE020000}"/>
              </a:ext>
            </a:extLst>
          </xdr:cNvPr>
          <xdr:cNvGrpSpPr/>
        </xdr:nvGrpSpPr>
        <xdr:grpSpPr>
          <a:xfrm>
            <a:off x="985556" y="100524748"/>
            <a:ext cx="3276075" cy="1039524"/>
            <a:chOff x="985556" y="100524748"/>
            <a:chExt cx="3276075" cy="1039524"/>
          </a:xfrm>
        </xdr:grpSpPr>
        <xdr:sp macro="" textlink="">
          <xdr:nvSpPr>
            <xdr:cNvPr id="687" name="Rectangle 686">
              <a:extLst>
                <a:ext uri="{FF2B5EF4-FFF2-40B4-BE49-F238E27FC236}">
                  <a16:creationId xmlns:a16="http://schemas.microsoft.com/office/drawing/2014/main" id="{00000000-0008-0000-0000-0000AF020000}"/>
                </a:ext>
              </a:extLst>
            </xdr:cNvPr>
            <xdr:cNvSpPr/>
          </xdr:nvSpPr>
          <xdr:spPr bwMode="auto">
            <a:xfrm>
              <a:off x="1468041" y="100588555"/>
              <a:ext cx="216693" cy="968581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">
          <xdr:nvSpPr>
            <xdr:cNvPr id="688" name="Rectangle 687">
              <a:extLst>
                <a:ext uri="{FF2B5EF4-FFF2-40B4-BE49-F238E27FC236}">
                  <a16:creationId xmlns:a16="http://schemas.microsoft.com/office/drawing/2014/main" id="{00000000-0008-0000-0000-0000B0020000}"/>
                </a:ext>
              </a:extLst>
            </xdr:cNvPr>
            <xdr:cNvSpPr/>
          </xdr:nvSpPr>
          <xdr:spPr bwMode="auto">
            <a:xfrm>
              <a:off x="3551223" y="100601860"/>
              <a:ext cx="216693" cy="962412"/>
            </a:xfrm>
            <a:prstGeom prst="rect">
              <a:avLst/>
            </a:prstGeom>
            <a:pattFill prst="ltHorz">
              <a:fgClr>
                <a:schemeClr val="tx1"/>
              </a:fgClr>
              <a:bgClr>
                <a:schemeClr val="bg1"/>
              </a:bgClr>
            </a:pattFill>
            <a:ln w="6350" cap="flat" cmpd="sng" algn="ctr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lang="en-SG" sz="1100"/>
            </a:p>
          </xdr:txBody>
        </xdr:sp>
        <xdr:sp macro="" textlink="$S$679">
          <xdr:nvSpPr>
            <xdr:cNvPr id="689" name="Text Box 599">
              <a:extLst>
                <a:ext uri="{FF2B5EF4-FFF2-40B4-BE49-F238E27FC236}">
                  <a16:creationId xmlns:a16="http://schemas.microsoft.com/office/drawing/2014/main" id="{00000000-0008-0000-0000-0000B1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1083186" y="100524748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61D799D4-3D85-4EB5-BA65-830F63F714E4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20.0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81">
          <xdr:nvSpPr>
            <xdr:cNvPr id="690" name="Text Box 599">
              <a:extLst>
                <a:ext uri="{FF2B5EF4-FFF2-40B4-BE49-F238E27FC236}">
                  <a16:creationId xmlns:a16="http://schemas.microsoft.com/office/drawing/2014/main" id="{00000000-0008-0000-0000-0000B2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3904967" y="101137914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l" rtl="0">
                <a:defRPr sz="1000"/>
              </a:pPr>
              <a:fld id="{D35A7D44-8033-44B9-97C6-86F6EEAB9519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l" rtl="0">
                  <a:defRPr sz="1000"/>
                </a:pPr>
                <a:t> 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  <xdr:sp macro="" textlink="$S$681">
          <xdr:nvSpPr>
            <xdr:cNvPr id="691" name="Text Box 599">
              <a:extLst>
                <a:ext uri="{FF2B5EF4-FFF2-40B4-BE49-F238E27FC236}">
                  <a16:creationId xmlns:a16="http://schemas.microsoft.com/office/drawing/2014/main" id="{00000000-0008-0000-0000-0000B3020000}"/>
                </a:ext>
              </a:extLst>
            </xdr:cNvPr>
            <xdr:cNvSpPr txBox="1">
              <a:spLocks noChangeArrowheads="1" noTextEdit="1"/>
            </xdr:cNvSpPr>
          </xdr:nvSpPr>
          <xdr:spPr bwMode="auto">
            <a:xfrm>
              <a:off x="985556" y="101159351"/>
              <a:ext cx="356664" cy="16589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wrap="square" lIns="9144" tIns="18288" rIns="0" bIns="0" anchor="t" upright="1">
              <a:noAutofit/>
            </a:bodyPr>
            <a:lstStyle/>
            <a:p>
              <a:pPr marL="0" indent="0" algn="r" rtl="0">
                <a:defRPr sz="1000"/>
              </a:pPr>
              <a:fld id="{BE22A006-C929-4777-8847-0BFAFE8025E8}" type="TxLink"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+mn-ea"/>
                  <a:cs typeface="Arial"/>
                </a:rPr>
                <a:pPr marL="0" indent="0" algn="r" rtl="0">
                  <a:defRPr sz="1000"/>
                </a:pPr>
                <a:t> </a:t>
              </a:fld>
              <a:endParaRPr lang="en-SG" sz="800" b="0" i="0" u="none" strike="noStrike" baseline="0">
                <a:solidFill>
                  <a:sysClr val="windowText" lastClr="000000"/>
                </a:solidFill>
                <a:latin typeface="Arial"/>
                <a:ea typeface="+mn-ea"/>
                <a:cs typeface="Arial"/>
              </a:endParaRPr>
            </a:p>
          </xdr:txBody>
        </xdr:sp>
      </xdr:grpSp>
    </xdr:grpSp>
    <xdr:clientData/>
  </xdr:twoCellAnchor>
  <xdr:twoCellAnchor>
    <xdr:from>
      <xdr:col>25</xdr:col>
      <xdr:colOff>12700</xdr:colOff>
      <xdr:row>6</xdr:row>
      <xdr:rowOff>82550</xdr:rowOff>
    </xdr:from>
    <xdr:to>
      <xdr:col>26</xdr:col>
      <xdr:colOff>55868</xdr:colOff>
      <xdr:row>7</xdr:row>
      <xdr:rowOff>41975</xdr:rowOff>
    </xdr:to>
    <xdr:sp macro="" textlink="$M$60">
      <xdr:nvSpPr>
        <xdr:cNvPr id="703" name="Text Box 599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5255260" y="1113155"/>
          <a:ext cx="233668" cy="130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AD57A23A-5D9C-4BE4-B5CA-70AE10582A4F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5.5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24</xdr:col>
      <xdr:colOff>12700</xdr:colOff>
      <xdr:row>12</xdr:row>
      <xdr:rowOff>6350</xdr:rowOff>
    </xdr:from>
    <xdr:to>
      <xdr:col>26</xdr:col>
      <xdr:colOff>95250</xdr:colOff>
      <xdr:row>13</xdr:row>
      <xdr:rowOff>19050</xdr:rowOff>
    </xdr:to>
    <xdr:sp macro="" textlink="$M$64">
      <xdr:nvSpPr>
        <xdr:cNvPr id="704" name="Text Box 599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>
          <a:spLocks noChangeArrowheads="1" noTextEdit="1"/>
        </xdr:cNvSpPr>
      </xdr:nvSpPr>
      <xdr:spPr bwMode="auto">
        <a:xfrm>
          <a:off x="5064760" y="2065655"/>
          <a:ext cx="455930" cy="1784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4FB26B7F-CB3A-41DC-8959-3CA8E4D59EB1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-6.4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23</xdr:col>
      <xdr:colOff>76200</xdr:colOff>
      <xdr:row>23</xdr:row>
      <xdr:rowOff>63500</xdr:rowOff>
    </xdr:from>
    <xdr:to>
      <xdr:col>25</xdr:col>
      <xdr:colOff>171450</xdr:colOff>
      <xdr:row>24</xdr:row>
      <xdr:rowOff>88900</xdr:rowOff>
    </xdr:to>
    <xdr:sp macro="" textlink="$M$65">
      <xdr:nvSpPr>
        <xdr:cNvPr id="705" name="Text Box 599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933950" y="4003040"/>
          <a:ext cx="472440" cy="2044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C7EBD892-F981-4CD2-BA04-4659F57F6664}" type="TxLink">
            <a:rPr lang="en-US" sz="1000" b="0" i="0" u="none" strike="noStrike" baseline="0">
              <a:solidFill>
                <a:srgbClr val="0000FF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-10.85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29</xdr:col>
      <xdr:colOff>326571</xdr:colOff>
      <xdr:row>632</xdr:row>
      <xdr:rowOff>43543</xdr:rowOff>
    </xdr:from>
    <xdr:to>
      <xdr:col>35</xdr:col>
      <xdr:colOff>326572</xdr:colOff>
      <xdr:row>642</xdr:row>
      <xdr:rowOff>10886</xdr:rowOff>
    </xdr:to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7714161" y="105001423"/>
          <a:ext cx="3114676" cy="16818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Add 54.1,54.2</a:t>
          </a:r>
        </a:p>
        <a:p>
          <a:r>
            <a:rPr lang="en-US" sz="1100"/>
            <a:t>55.1,55.2 for ko and ka.</a:t>
          </a:r>
          <a:r>
            <a:rPr lang="en-US" sz="1100" baseline="0"/>
            <a:t> Current report only shows 54, 55. SAP2000 model has incoporated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54.1,54.2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55.1,55.2 </a:t>
          </a:r>
          <a:endParaRPr lang="en-US" sz="1100"/>
        </a:p>
      </xdr:txBody>
    </xdr:sp>
    <xdr:clientData/>
  </xdr:twoCellAnchor>
  <xdr:twoCellAnchor>
    <xdr:from>
      <xdr:col>6</xdr:col>
      <xdr:colOff>72390</xdr:colOff>
      <xdr:row>244</xdr:row>
      <xdr:rowOff>55245</xdr:rowOff>
    </xdr:from>
    <xdr:to>
      <xdr:col>16</xdr:col>
      <xdr:colOff>116025</xdr:colOff>
      <xdr:row>253</xdr:row>
      <xdr:rowOff>56057</xdr:rowOff>
    </xdr:to>
    <xdr:grpSp>
      <xdr:nvGrpSpPr>
        <xdr:cNvPr id="707" name="Group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GrpSpPr/>
      </xdr:nvGrpSpPr>
      <xdr:grpSpPr>
        <a:xfrm>
          <a:off x="1697243" y="39055526"/>
          <a:ext cx="1948635" cy="1513606"/>
          <a:chOff x="1963461" y="15376912"/>
          <a:chExt cx="1874054" cy="1704651"/>
        </a:xfrm>
      </xdr:grpSpPr>
      <xdr:grpSp>
        <xdr:nvGrpSpPr>
          <xdr:cNvPr id="708" name="Group 707">
            <a:extLst>
              <a:ext uri="{FF2B5EF4-FFF2-40B4-BE49-F238E27FC236}">
                <a16:creationId xmlns:a16="http://schemas.microsoft.com/office/drawing/2014/main" id="{00000000-0008-0000-0000-0000C4020000}"/>
              </a:ext>
            </a:extLst>
          </xdr:cNvPr>
          <xdr:cNvGrpSpPr/>
        </xdr:nvGrpSpPr>
        <xdr:grpSpPr>
          <a:xfrm>
            <a:off x="1963461" y="15579178"/>
            <a:ext cx="1874054" cy="1502385"/>
            <a:chOff x="1932307" y="15042277"/>
            <a:chExt cx="1820681" cy="1460169"/>
          </a:xfrm>
        </xdr:grpSpPr>
        <xdr:sp macro="" textlink="">
          <xdr:nvSpPr>
            <xdr:cNvPr id="710" name="Rectangle 728" descr="Light vertical">
              <a:extLst>
                <a:ext uri="{FF2B5EF4-FFF2-40B4-BE49-F238E27FC236}">
                  <a16:creationId xmlns:a16="http://schemas.microsoft.com/office/drawing/2014/main" id="{00000000-0008-0000-0000-0000C6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2307" y="15042277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711" name="Group 710">
              <a:extLst>
                <a:ext uri="{FF2B5EF4-FFF2-40B4-BE49-F238E27FC236}">
                  <a16:creationId xmlns:a16="http://schemas.microsoft.com/office/drawing/2014/main" id="{00000000-0008-0000-0000-0000C7020000}"/>
                </a:ext>
              </a:extLst>
            </xdr:cNvPr>
            <xdr:cNvGrpSpPr/>
          </xdr:nvGrpSpPr>
          <xdr:grpSpPr>
            <a:xfrm>
              <a:off x="1948743" y="15191820"/>
              <a:ext cx="1802502" cy="1310626"/>
              <a:chOff x="1176417" y="1979544"/>
              <a:chExt cx="3300802" cy="3335474"/>
            </a:xfrm>
          </xdr:grpSpPr>
          <xdr:sp macro="" textlink="">
            <xdr:nvSpPr>
              <xdr:cNvPr id="712" name="Line 96">
                <a:extLst>
                  <a:ext uri="{FF2B5EF4-FFF2-40B4-BE49-F238E27FC236}">
                    <a16:creationId xmlns:a16="http://schemas.microsoft.com/office/drawing/2014/main" id="{00000000-0008-0000-0000-0000C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3" name="Line 96">
                <a:extLst>
                  <a:ext uri="{FF2B5EF4-FFF2-40B4-BE49-F238E27FC236}">
                    <a16:creationId xmlns:a16="http://schemas.microsoft.com/office/drawing/2014/main" id="{00000000-0008-0000-0000-0000C9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85886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4" name="Line 101">
                <a:extLst>
                  <a:ext uri="{FF2B5EF4-FFF2-40B4-BE49-F238E27FC236}">
                    <a16:creationId xmlns:a16="http://schemas.microsoft.com/office/drawing/2014/main" id="{00000000-0008-0000-0000-0000CA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242717" y="2058324"/>
                <a:ext cx="3156315" cy="11032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5" name="Line 101">
                <a:extLst>
                  <a:ext uri="{FF2B5EF4-FFF2-40B4-BE49-F238E27FC236}">
                    <a16:creationId xmlns:a16="http://schemas.microsoft.com/office/drawing/2014/main" id="{00000000-0008-0000-0000-0000CB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6" name="Line 101">
                <a:extLst>
                  <a:ext uri="{FF2B5EF4-FFF2-40B4-BE49-F238E27FC236}">
                    <a16:creationId xmlns:a16="http://schemas.microsoft.com/office/drawing/2014/main" id="{00000000-0008-0000-0000-0000CC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17" name="Line 101">
                <a:extLst>
                  <a:ext uri="{FF2B5EF4-FFF2-40B4-BE49-F238E27FC236}">
                    <a16:creationId xmlns:a16="http://schemas.microsoft.com/office/drawing/2014/main" id="{00000000-0008-0000-0000-0000CD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$R$242">
        <xdr:nvSpPr>
          <xdr:cNvPr id="709" name="Text Box 599">
            <a:extLst>
              <a:ext uri="{FF2B5EF4-FFF2-40B4-BE49-F238E27FC236}">
                <a16:creationId xmlns:a16="http://schemas.microsoft.com/office/drawing/2014/main" id="{00000000-0008-0000-0000-0000C5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96684" y="15376912"/>
            <a:ext cx="339920" cy="18688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84A069A9-352E-48E5-8684-4C6E41A3ADE1}" type="TxLink">
              <a:rPr lang="en-US" sz="1000" b="0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56.6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13</xdr:col>
      <xdr:colOff>17187</xdr:colOff>
      <xdr:row>370</xdr:row>
      <xdr:rowOff>3304</xdr:rowOff>
    </xdr:from>
    <xdr:to>
      <xdr:col>23</xdr:col>
      <xdr:colOff>54313</xdr:colOff>
      <xdr:row>379</xdr:row>
      <xdr:rowOff>3302</xdr:rowOff>
    </xdr:to>
    <xdr:grpSp>
      <xdr:nvGrpSpPr>
        <xdr:cNvPr id="718" name="Group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GrpSpPr/>
      </xdr:nvGrpSpPr>
      <xdr:grpSpPr>
        <a:xfrm>
          <a:off x="2979350" y="58867804"/>
          <a:ext cx="1942126" cy="1512792"/>
          <a:chOff x="1962348" y="15376912"/>
          <a:chExt cx="1874054" cy="1698925"/>
        </a:xfrm>
      </xdr:grpSpPr>
      <xdr:grpSp>
        <xdr:nvGrpSpPr>
          <xdr:cNvPr id="719" name="Group 718">
            <a:extLst>
              <a:ext uri="{FF2B5EF4-FFF2-40B4-BE49-F238E27FC236}">
                <a16:creationId xmlns:a16="http://schemas.microsoft.com/office/drawing/2014/main" id="{00000000-0008-0000-0000-0000CF020000}"/>
              </a:ext>
            </a:extLst>
          </xdr:cNvPr>
          <xdr:cNvGrpSpPr/>
        </xdr:nvGrpSpPr>
        <xdr:grpSpPr>
          <a:xfrm>
            <a:off x="1962348" y="15562583"/>
            <a:ext cx="1874054" cy="1513254"/>
            <a:chOff x="1931226" y="15026153"/>
            <a:chExt cx="1820681" cy="1470733"/>
          </a:xfrm>
        </xdr:grpSpPr>
        <xdr:sp macro="" textlink="">
          <xdr:nvSpPr>
            <xdr:cNvPr id="721" name="Rectangle 728" descr="Light vertical">
              <a:extLst>
                <a:ext uri="{FF2B5EF4-FFF2-40B4-BE49-F238E27FC236}">
                  <a16:creationId xmlns:a16="http://schemas.microsoft.com/office/drawing/2014/main" id="{00000000-0008-0000-0000-0000D102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931226" y="15026153"/>
              <a:ext cx="1820681" cy="139491"/>
            </a:xfrm>
            <a:prstGeom prst="rect">
              <a:avLst/>
            </a:prstGeom>
            <a:pattFill prst="ltVert">
              <a:fgClr>
                <a:srgbClr val="000000"/>
              </a:fgClr>
              <a:bgClr>
                <a:srgbClr val="FFFFFF"/>
              </a:bgClr>
            </a:patt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</xdr:sp>
        <xdr:grpSp>
          <xdr:nvGrpSpPr>
            <xdr:cNvPr id="722" name="Group 721">
              <a:extLst>
                <a:ext uri="{FF2B5EF4-FFF2-40B4-BE49-F238E27FC236}">
                  <a16:creationId xmlns:a16="http://schemas.microsoft.com/office/drawing/2014/main" id="{00000000-0008-0000-0000-0000D2020000}"/>
                </a:ext>
              </a:extLst>
            </xdr:cNvPr>
            <xdr:cNvGrpSpPr/>
          </xdr:nvGrpSpPr>
          <xdr:grpSpPr>
            <a:xfrm>
              <a:off x="1948743" y="15188752"/>
              <a:ext cx="1802502" cy="1308134"/>
              <a:chOff x="1176417" y="1971737"/>
              <a:chExt cx="3300802" cy="3329132"/>
            </a:xfrm>
          </xdr:grpSpPr>
          <xdr:sp macro="" textlink="">
            <xdr:nvSpPr>
              <xdr:cNvPr id="723" name="Line 96">
                <a:extLst>
                  <a:ext uri="{FF2B5EF4-FFF2-40B4-BE49-F238E27FC236}">
                    <a16:creationId xmlns:a16="http://schemas.microsoft.com/office/drawing/2014/main" id="{00000000-0008-0000-0000-0000D3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1176417" y="1979544"/>
                <a:ext cx="7995" cy="3296478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4" name="Line 96">
                <a:extLst>
                  <a:ext uri="{FF2B5EF4-FFF2-40B4-BE49-F238E27FC236}">
                    <a16:creationId xmlns:a16="http://schemas.microsoft.com/office/drawing/2014/main" id="{00000000-0008-0000-0000-0000D4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462869" y="1971737"/>
                <a:ext cx="14350" cy="3329132"/>
              </a:xfrm>
              <a:prstGeom prst="line">
                <a:avLst/>
              </a:prstGeom>
              <a:noFill/>
              <a:ln w="63500">
                <a:solidFill>
                  <a:srgbClr val="0000FF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5" name="Line 101">
                <a:extLst>
                  <a:ext uri="{FF2B5EF4-FFF2-40B4-BE49-F238E27FC236}">
                    <a16:creationId xmlns:a16="http://schemas.microsoft.com/office/drawing/2014/main" id="{00000000-0008-0000-0000-0000D5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10013" y="2010413"/>
                <a:ext cx="3230753" cy="2636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6" name="Line 101">
                <a:extLst>
                  <a:ext uri="{FF2B5EF4-FFF2-40B4-BE49-F238E27FC236}">
                    <a16:creationId xmlns:a16="http://schemas.microsoft.com/office/drawing/2014/main" id="{00000000-0008-0000-0000-0000D6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V="1">
                <a:off x="1204321" y="4378743"/>
                <a:ext cx="3248491" cy="1624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7" name="Line 101">
                <a:extLst>
                  <a:ext uri="{FF2B5EF4-FFF2-40B4-BE49-F238E27FC236}">
                    <a16:creationId xmlns:a16="http://schemas.microsoft.com/office/drawing/2014/main" id="{00000000-0008-0000-0000-0000D7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2252869" y="2037523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28" name="Line 101">
                <a:extLst>
                  <a:ext uri="{FF2B5EF4-FFF2-40B4-BE49-F238E27FC236}">
                    <a16:creationId xmlns:a16="http://schemas.microsoft.com/office/drawing/2014/main" id="{00000000-0008-0000-0000-0000D802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3384445" y="2036666"/>
                <a:ext cx="8282" cy="2310848"/>
              </a:xfrm>
              <a:prstGeom prst="line">
                <a:avLst/>
              </a:prstGeom>
              <a:noFill/>
              <a:ln w="63500">
                <a:solidFill>
                  <a:schemeClr val="accent6">
                    <a:lumMod val="50000"/>
                  </a:schemeClr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BH145">
        <xdr:nvSpPr>
          <xdr:cNvPr id="720" name="Text Box 599">
            <a:extLst>
              <a:ext uri="{FF2B5EF4-FFF2-40B4-BE49-F238E27FC236}">
                <a16:creationId xmlns:a16="http://schemas.microsoft.com/office/drawing/2014/main" id="{00000000-0008-0000-0000-0000D0020000}"/>
              </a:ext>
            </a:extLst>
          </xdr:cNvPr>
          <xdr:cNvSpPr txBox="1">
            <a:spLocks noChangeArrowheads="1" noTextEdit="1"/>
          </xdr:cNvSpPr>
        </xdr:nvSpPr>
        <xdr:spPr bwMode="auto">
          <a:xfrm>
            <a:off x="2752114" y="15376912"/>
            <a:ext cx="367677" cy="18636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lIns="9144" tIns="18288" rIns="0" bIns="0" anchor="t" upright="1">
            <a:spAutoFit/>
          </a:bodyPr>
          <a:lstStyle/>
          <a:p>
            <a:pPr marL="0" indent="0" algn="l" rtl="0">
              <a:defRPr sz="1000"/>
            </a:pPr>
            <a:fld id="{FCE22D3A-84DC-49C1-A180-D94A457A5E5F}" type="TxLink">
              <a:rPr lang="en-US" sz="1000" b="1" i="0" u="none" strike="noStrike" baseline="0">
                <a:solidFill>
                  <a:srgbClr val="000000"/>
                </a:solidFill>
                <a:latin typeface="Arial"/>
                <a:ea typeface="+mn-ea"/>
                <a:cs typeface="Arial"/>
              </a:rPr>
              <a:pPr marL="0" indent="0" algn="l" rtl="0">
                <a:defRPr sz="1000"/>
              </a:pPr>
              <a:t>73.5</a:t>
            </a:fld>
            <a:endParaRPr lang="en-SG" sz="8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endParaRPr>
          </a:p>
        </xdr:txBody>
      </xdr:sp>
    </xdr:grpSp>
    <xdr:clientData/>
  </xdr:twoCellAnchor>
  <xdr:twoCellAnchor>
    <xdr:from>
      <xdr:col>5</xdr:col>
      <xdr:colOff>169148</xdr:colOff>
      <xdr:row>14</xdr:row>
      <xdr:rowOff>87551</xdr:rowOff>
    </xdr:from>
    <xdr:to>
      <xdr:col>8</xdr:col>
      <xdr:colOff>53578</xdr:colOff>
      <xdr:row>15</xdr:row>
      <xdr:rowOff>96441</xdr:rowOff>
    </xdr:to>
    <xdr:sp macro="" textlink="$AC$18">
      <xdr:nvSpPr>
        <xdr:cNvPr id="729" name="Text Box 599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>
          <a:spLocks noChangeArrowheads="1" noTextEdit="1"/>
        </xdr:cNvSpPr>
      </xdr:nvSpPr>
      <xdr:spPr bwMode="auto">
        <a:xfrm>
          <a:off x="1594088" y="2502615"/>
          <a:ext cx="455930" cy="17962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099FC004-37BE-4AD1-959E-87257E65D5CB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83661</xdr:colOff>
      <xdr:row>14</xdr:row>
      <xdr:rowOff>77550</xdr:rowOff>
    </xdr:from>
    <xdr:to>
      <xdr:col>14</xdr:col>
      <xdr:colOff>158591</xdr:colOff>
      <xdr:row>15</xdr:row>
      <xdr:rowOff>80725</xdr:rowOff>
    </xdr:to>
    <xdr:sp macro="" textlink="$AC$19">
      <xdr:nvSpPr>
        <xdr:cNvPr id="730" name="Text Box 59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845911" y="2494519"/>
          <a:ext cx="455930" cy="17581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A1BB03A0-DFA2-4FBE-81A1-3DE6627BD6BA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18</xdr:col>
      <xdr:colOff>127238</xdr:colOff>
      <xdr:row>14</xdr:row>
      <xdr:rowOff>71596</xdr:rowOff>
    </xdr:from>
    <xdr:to>
      <xdr:col>21</xdr:col>
      <xdr:colOff>11668</xdr:colOff>
      <xdr:row>15</xdr:row>
      <xdr:rowOff>76676</xdr:rowOff>
    </xdr:to>
    <xdr:sp macro="" textlink="$AC$20">
      <xdr:nvSpPr>
        <xdr:cNvPr id="731" name="Text Box 599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032488" y="2488565"/>
          <a:ext cx="455930" cy="177720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806A09E8-A5F0-4461-9A65-E7B109E6EAD1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22</xdr:col>
      <xdr:colOff>73660</xdr:colOff>
      <xdr:row>14</xdr:row>
      <xdr:rowOff>97552</xdr:rowOff>
    </xdr:from>
    <xdr:to>
      <xdr:col>24</xdr:col>
      <xdr:colOff>148590</xdr:colOff>
      <xdr:row>15</xdr:row>
      <xdr:rowOff>104537</xdr:rowOff>
    </xdr:to>
    <xdr:sp macro="" textlink="$AC$16">
      <xdr:nvSpPr>
        <xdr:cNvPr id="732" name="Text Box 599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>
          <a:spLocks noChangeArrowheads="1" noTextEdit="1"/>
        </xdr:cNvSpPr>
      </xdr:nvSpPr>
      <xdr:spPr bwMode="auto">
        <a:xfrm>
          <a:off x="4740910" y="2514521"/>
          <a:ext cx="455930" cy="17962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54A32312-D4DD-4D68-883B-02C94DFDF52F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1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59531</xdr:colOff>
      <xdr:row>14</xdr:row>
      <xdr:rowOff>54213</xdr:rowOff>
    </xdr:from>
    <xdr:to>
      <xdr:col>3</xdr:col>
      <xdr:colOff>134541</xdr:colOff>
      <xdr:row>15</xdr:row>
      <xdr:rowOff>65008</xdr:rowOff>
    </xdr:to>
    <xdr:sp macro="" textlink="$AC$16">
      <xdr:nvSpPr>
        <xdr:cNvPr id="733" name="Text Box 599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>
          <a:spLocks noChangeArrowheads="1" noTextEdit="1"/>
        </xdr:cNvSpPr>
      </xdr:nvSpPr>
      <xdr:spPr bwMode="auto">
        <a:xfrm>
          <a:off x="916781" y="2471182"/>
          <a:ext cx="265510" cy="18343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54A32312-D4DD-4D68-883B-02C94DFDF52F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1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16</xdr:col>
      <xdr:colOff>61279</xdr:colOff>
      <xdr:row>14</xdr:row>
      <xdr:rowOff>69692</xdr:rowOff>
    </xdr:from>
    <xdr:to>
      <xdr:col>17</xdr:col>
      <xdr:colOff>146924</xdr:colOff>
      <xdr:row>15</xdr:row>
      <xdr:rowOff>80487</xdr:rowOff>
    </xdr:to>
    <xdr:sp macro="" textlink="$AC$17">
      <xdr:nvSpPr>
        <xdr:cNvPr id="734" name="Text Box 599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>
          <a:spLocks noChangeArrowheads="1" noTextEdit="1"/>
        </xdr:cNvSpPr>
      </xdr:nvSpPr>
      <xdr:spPr bwMode="auto">
        <a:xfrm>
          <a:off x="3585529" y="2486661"/>
          <a:ext cx="276145" cy="183435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1CDDF4BF-4B27-4DF3-8099-020CDEA653B5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0.6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41754</xdr:colOff>
      <xdr:row>14</xdr:row>
      <xdr:rowOff>71597</xdr:rowOff>
    </xdr:from>
    <xdr:to>
      <xdr:col>11</xdr:col>
      <xdr:colOff>131209</xdr:colOff>
      <xdr:row>15</xdr:row>
      <xdr:rowOff>80487</xdr:rowOff>
    </xdr:to>
    <xdr:sp macro="" textlink="$AC$17">
      <xdr:nvSpPr>
        <xdr:cNvPr id="735" name="Text Box 599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>
          <a:spLocks noChangeArrowheads="1" noTextEdit="1"/>
        </xdr:cNvSpPr>
      </xdr:nvSpPr>
      <xdr:spPr bwMode="auto">
        <a:xfrm>
          <a:off x="2423004" y="2488566"/>
          <a:ext cx="279955" cy="181530"/>
        </a:xfrm>
        <a:prstGeom prst="rect">
          <a:avLst/>
        </a:prstGeom>
        <a:noFill/>
        <a:ln>
          <a:noFill/>
        </a:ln>
      </xdr:spPr>
      <xdr:txBody>
        <a:bodyPr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1CDDF4BF-4B27-4DF3-8099-020CDEA653B5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0.6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89653</xdr:colOff>
      <xdr:row>18</xdr:row>
      <xdr:rowOff>47506</xdr:rowOff>
    </xdr:from>
    <xdr:to>
      <xdr:col>5</xdr:col>
      <xdr:colOff>71158</xdr:colOff>
      <xdr:row>20</xdr:row>
      <xdr:rowOff>156249</xdr:rowOff>
    </xdr:to>
    <xdr:sp macro="" textlink="$AC$23">
      <xdr:nvSpPr>
        <xdr:cNvPr id="736" name="Text Box 599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>
          <a:spLocks noChangeArrowheads="1" noTextEdit="1"/>
        </xdr:cNvSpPr>
      </xdr:nvSpPr>
      <xdr:spPr bwMode="auto">
        <a:xfrm rot="16200000">
          <a:off x="1186893" y="3296047"/>
          <a:ext cx="454025" cy="172005"/>
        </a:xfrm>
        <a:prstGeom prst="rect">
          <a:avLst/>
        </a:prstGeom>
        <a:noFill/>
        <a:ln>
          <a:noFill/>
        </a:ln>
      </xdr:spPr>
      <xdr:txBody>
        <a:bodyPr vert="vert270" wrap="square" lIns="9144" tIns="18288" rIns="0" bIns="0" anchor="t" upright="1">
          <a:noAutofit/>
        </a:bodyPr>
        <a:lstStyle/>
        <a:p>
          <a:pPr marL="0" indent="0" algn="l" rtl="0">
            <a:defRPr sz="1000"/>
          </a:pPr>
          <a:fld id="{F0B02E75-D832-40F6-B50A-57F9C4EFE6EA}" type="TxLink">
            <a:rPr lang="en-US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pPr marL="0" indent="0" algn="l" rtl="0">
              <a:defRPr sz="1000"/>
            </a:pPr>
            <a:t>3.5</a:t>
          </a:fld>
          <a:endParaRPr lang="en-SG" sz="800" b="0" i="0" u="none" strike="noStrike" baseline="0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57150</xdr:rowOff>
    </xdr:from>
    <xdr:to>
      <xdr:col>0</xdr:col>
      <xdr:colOff>0</xdr:colOff>
      <xdr:row>47</xdr:row>
      <xdr:rowOff>0</xdr:rowOff>
    </xdr:to>
    <xdr:sp macro="" textlink="">
      <xdr:nvSpPr>
        <xdr:cNvPr id="2" name="Rectangle 1099" descr="Newsprin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76825"/>
          <a:ext cx="0" cy="253365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3" name="Line 110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 flipH="1">
          <a:off x="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4" name="Line 110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 flipH="1">
          <a:off x="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5" name="Text Box 111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7610475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1.2</a:t>
          </a:r>
        </a:p>
      </xdr:txBody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6" name="Text Box 111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0" y="5505450"/>
          <a:ext cx="0" cy="2105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5.9</a:t>
          </a:r>
        </a:p>
      </xdr:txBody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7" name="Line 111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 rot="-5400000">
          <a:off x="0" y="7610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stealth" w="sm" len="med"/>
          <a:tailEnd type="stealth" w="sm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8" name="Text Box 113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610475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91.07</a:t>
          </a:r>
        </a:p>
      </xdr:txBody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9" name="Text Box 113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0" y="5505450"/>
          <a:ext cx="0" cy="2105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1.5</a:t>
          </a:r>
        </a:p>
      </xdr:txBody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10" name="Rectangle 1136" descr="Newsprin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7610475"/>
          <a:ext cx="0" cy="0"/>
        </a:xfrm>
        <a:prstGeom prst="rect">
          <a:avLst/>
        </a:prstGeom>
        <a:blipFill dpi="0" rotWithShape="1">
          <a:blip xmlns:r="http://schemas.openxmlformats.org/officeDocument/2006/relationships" r:embed="rId1" cstate="print"/>
          <a:srcRect/>
          <a:tile tx="0" ty="0" sx="100000" sy="100000" flip="none" algn="tl"/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11" name="Line 113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 flipH="1">
          <a:off x="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sp macro="" textlink="">
      <xdr:nvSpPr>
        <xdr:cNvPr id="12" name="Line 113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761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grpSp>
      <xdr:nvGrpSpPr>
        <xdr:cNvPr id="13" name="Group 115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>
          <a:grpSpLocks/>
        </xdr:cNvGrpSpPr>
      </xdr:nvGrpSpPr>
      <xdr:grpSpPr bwMode="auto">
        <a:xfrm>
          <a:off x="0" y="7762875"/>
          <a:ext cx="0" cy="0"/>
          <a:chOff x="245" y="562"/>
          <a:chExt cx="76" cy="221"/>
        </a:xfrm>
      </xdr:grpSpPr>
      <xdr:sp macro="" textlink="">
        <xdr:nvSpPr>
          <xdr:cNvPr id="14" name="Rectangle 1152" descr="Newsprint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279" y="747"/>
            <a:ext cx="29" cy="36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>
            <a:noFill/>
          </a:ln>
          <a:extLst>
            <a:ext uri="{91240B29-F687-4F45-9708-019B960494DF}">
              <a14:hiddenLine xmlns:a14="http://schemas.microsoft.com/office/drawing/2010/main" w="1270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5" name="Line 1153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745"/>
            <a:ext cx="0" cy="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15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ShapeType="1"/>
          </xdr:cNvSpPr>
        </xdr:nvSpPr>
        <xdr:spPr bwMode="auto">
          <a:xfrm>
            <a:off x="278" y="743"/>
            <a:ext cx="0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" name="Group 115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>
            <a:grpSpLocks/>
          </xdr:cNvGrpSpPr>
        </xdr:nvGrpSpPr>
        <xdr:grpSpPr bwMode="auto">
          <a:xfrm>
            <a:off x="245" y="562"/>
            <a:ext cx="76" cy="217"/>
            <a:chOff x="245" y="562"/>
            <a:chExt cx="76" cy="217"/>
          </a:xfrm>
        </xdr:grpSpPr>
        <xdr:sp macro="" textlink="">
          <xdr:nvSpPr>
            <xdr:cNvPr id="18" name="Rectangle 1156" descr="Newsprint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0" y="563"/>
              <a:ext cx="29" cy="171"/>
            </a:xfrm>
            <a:prstGeom prst="rect">
              <a:avLst/>
            </a:prstGeom>
            <a:blipFill dpi="0" rotWithShape="1">
              <a:blip xmlns:r="http://schemas.openxmlformats.org/officeDocument/2006/relationships" r:embed="rId1" cstate="print"/>
              <a:srcRect/>
              <a:tile tx="0" ty="0" sx="100000" sy="100000" flip="none" algn="tl"/>
            </a:blipFill>
            <a:ln>
              <a:noFill/>
            </a:ln>
            <a:extLst>
              <a:ext uri="{91240B29-F687-4F45-9708-019B960494DF}">
                <a14:hiddenLine xmlns:a14="http://schemas.microsoft.com/office/drawing/2010/main" w="2857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19" name="Line 1157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9" y="562"/>
              <a:ext cx="0" cy="17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158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562"/>
              <a:ext cx="0" cy="1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Freeform 1159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>
              <a:spLocks/>
            </xdr:cNvSpPr>
          </xdr:nvSpPr>
          <xdr:spPr bwMode="auto">
            <a:xfrm>
              <a:off x="248" y="724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22" name="Freeform 1160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>
              <a:spLocks/>
            </xdr:cNvSpPr>
          </xdr:nvSpPr>
          <xdr:spPr bwMode="auto">
            <a:xfrm>
              <a:off x="245" y="733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pic>
          <xdr:nvPicPr>
            <xdr:cNvPr id="23" name="Picture 1161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6" y="777"/>
              <a:ext cx="33" cy="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grpSp>
      <xdr:nvGrpSpPr>
        <xdr:cNvPr id="24" name="Group 116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>
          <a:grpSpLocks/>
        </xdr:cNvGrpSpPr>
      </xdr:nvGrpSpPr>
      <xdr:grpSpPr bwMode="auto">
        <a:xfrm>
          <a:off x="0" y="7762875"/>
          <a:ext cx="0" cy="0"/>
          <a:chOff x="245" y="562"/>
          <a:chExt cx="76" cy="221"/>
        </a:xfrm>
      </xdr:grpSpPr>
      <xdr:sp macro="" textlink="">
        <xdr:nvSpPr>
          <xdr:cNvPr id="25" name="Rectangle 1163" descr="Newsprint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279" y="747"/>
            <a:ext cx="29" cy="36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>
            <a:noFill/>
          </a:ln>
          <a:extLst>
            <a:ext uri="{91240B29-F687-4F45-9708-019B960494DF}">
              <a14:hiddenLine xmlns:a14="http://schemas.microsoft.com/office/drawing/2010/main" w="1270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6" name="Line 1164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745"/>
            <a:ext cx="0" cy="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1165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278" y="743"/>
            <a:ext cx="0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" name="Group 1166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>
            <a:grpSpLocks/>
          </xdr:cNvGrpSpPr>
        </xdr:nvGrpSpPr>
        <xdr:grpSpPr bwMode="auto">
          <a:xfrm>
            <a:off x="245" y="562"/>
            <a:ext cx="76" cy="217"/>
            <a:chOff x="245" y="562"/>
            <a:chExt cx="76" cy="217"/>
          </a:xfrm>
        </xdr:grpSpPr>
        <xdr:sp macro="" textlink="">
          <xdr:nvSpPr>
            <xdr:cNvPr id="29" name="Rectangle 1167" descr="Newsprint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0" y="563"/>
              <a:ext cx="29" cy="171"/>
            </a:xfrm>
            <a:prstGeom prst="rect">
              <a:avLst/>
            </a:prstGeom>
            <a:blipFill dpi="0" rotWithShape="1">
              <a:blip xmlns:r="http://schemas.openxmlformats.org/officeDocument/2006/relationships" r:embed="rId1" cstate="print"/>
              <a:srcRect/>
              <a:tile tx="0" ty="0" sx="100000" sy="100000" flip="none" algn="tl"/>
            </a:blipFill>
            <a:ln>
              <a:noFill/>
            </a:ln>
            <a:extLst>
              <a:ext uri="{91240B29-F687-4F45-9708-019B960494DF}">
                <a14:hiddenLine xmlns:a14="http://schemas.microsoft.com/office/drawing/2010/main" w="2857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30" name="Line 1168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9" y="562"/>
              <a:ext cx="0" cy="17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1169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562"/>
              <a:ext cx="0" cy="1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Freeform 1170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>
              <a:spLocks/>
            </xdr:cNvSpPr>
          </xdr:nvSpPr>
          <xdr:spPr bwMode="auto">
            <a:xfrm>
              <a:off x="248" y="724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33" name="Freeform 1171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>
              <a:spLocks/>
            </xdr:cNvSpPr>
          </xdr:nvSpPr>
          <xdr:spPr bwMode="auto">
            <a:xfrm>
              <a:off x="245" y="733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pic>
          <xdr:nvPicPr>
            <xdr:cNvPr id="34" name="Picture 1172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6" y="777"/>
              <a:ext cx="33" cy="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grpSp>
      <xdr:nvGrpSpPr>
        <xdr:cNvPr id="35" name="Group 117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>
          <a:grpSpLocks/>
        </xdr:cNvGrpSpPr>
      </xdr:nvGrpSpPr>
      <xdr:grpSpPr bwMode="auto">
        <a:xfrm>
          <a:off x="0" y="7762875"/>
          <a:ext cx="0" cy="0"/>
          <a:chOff x="245" y="562"/>
          <a:chExt cx="76" cy="221"/>
        </a:xfrm>
      </xdr:grpSpPr>
      <xdr:sp macro="" textlink="">
        <xdr:nvSpPr>
          <xdr:cNvPr id="36" name="Rectangle 1174" descr="Newsprint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279" y="747"/>
            <a:ext cx="29" cy="36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>
            <a:noFill/>
          </a:ln>
          <a:extLst>
            <a:ext uri="{91240B29-F687-4F45-9708-019B960494DF}">
              <a14:hiddenLine xmlns:a14="http://schemas.microsoft.com/office/drawing/2010/main" w="1270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37" name="Line 117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745"/>
            <a:ext cx="0" cy="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1176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278" y="743"/>
            <a:ext cx="0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" name="Group 1177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GrpSpPr>
            <a:grpSpLocks/>
          </xdr:cNvGrpSpPr>
        </xdr:nvGrpSpPr>
        <xdr:grpSpPr bwMode="auto">
          <a:xfrm>
            <a:off x="245" y="562"/>
            <a:ext cx="76" cy="217"/>
            <a:chOff x="245" y="562"/>
            <a:chExt cx="76" cy="217"/>
          </a:xfrm>
        </xdr:grpSpPr>
        <xdr:sp macro="" textlink="">
          <xdr:nvSpPr>
            <xdr:cNvPr id="40" name="Rectangle 1178" descr="Newsprint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0" y="563"/>
              <a:ext cx="29" cy="171"/>
            </a:xfrm>
            <a:prstGeom prst="rect">
              <a:avLst/>
            </a:prstGeom>
            <a:blipFill dpi="0" rotWithShape="1">
              <a:blip xmlns:r="http://schemas.openxmlformats.org/officeDocument/2006/relationships" r:embed="rId1" cstate="print"/>
              <a:srcRect/>
              <a:tile tx="0" ty="0" sx="100000" sy="100000" flip="none" algn="tl"/>
            </a:blipFill>
            <a:ln>
              <a:noFill/>
            </a:ln>
            <a:extLst>
              <a:ext uri="{91240B29-F687-4F45-9708-019B960494DF}">
                <a14:hiddenLine xmlns:a14="http://schemas.microsoft.com/office/drawing/2010/main" w="2857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41" name="Line 1179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9" y="562"/>
              <a:ext cx="0" cy="17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" name="Line 1180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562"/>
              <a:ext cx="0" cy="1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" name="Freeform 1181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>
              <a:spLocks/>
            </xdr:cNvSpPr>
          </xdr:nvSpPr>
          <xdr:spPr bwMode="auto">
            <a:xfrm>
              <a:off x="248" y="724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4" name="Freeform 1182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>
              <a:spLocks/>
            </xdr:cNvSpPr>
          </xdr:nvSpPr>
          <xdr:spPr bwMode="auto">
            <a:xfrm>
              <a:off x="245" y="733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pic>
          <xdr:nvPicPr>
            <xdr:cNvPr id="45" name="Picture 1183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6" y="777"/>
              <a:ext cx="33" cy="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grpSp>
      <xdr:nvGrpSpPr>
        <xdr:cNvPr id="46" name="Group 1184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pSpPr>
          <a:grpSpLocks/>
        </xdr:cNvGrpSpPr>
      </xdr:nvGrpSpPr>
      <xdr:grpSpPr bwMode="auto">
        <a:xfrm>
          <a:off x="0" y="7762875"/>
          <a:ext cx="0" cy="0"/>
          <a:chOff x="245" y="562"/>
          <a:chExt cx="76" cy="221"/>
        </a:xfrm>
      </xdr:grpSpPr>
      <xdr:sp macro="" textlink="">
        <xdr:nvSpPr>
          <xdr:cNvPr id="47" name="Rectangle 1185" descr="Newsprint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279" y="747"/>
            <a:ext cx="29" cy="36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>
            <a:noFill/>
          </a:ln>
          <a:extLst>
            <a:ext uri="{91240B29-F687-4F45-9708-019B960494DF}">
              <a14:hiddenLine xmlns:a14="http://schemas.microsoft.com/office/drawing/2010/main" w="1270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8" name="Line 1186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745"/>
            <a:ext cx="0" cy="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" name="Line 1187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>
            <a:spLocks noChangeShapeType="1"/>
          </xdr:cNvSpPr>
        </xdr:nvSpPr>
        <xdr:spPr bwMode="auto">
          <a:xfrm>
            <a:off x="278" y="743"/>
            <a:ext cx="0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" name="Group 1188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>
            <a:grpSpLocks/>
          </xdr:cNvGrpSpPr>
        </xdr:nvGrpSpPr>
        <xdr:grpSpPr bwMode="auto">
          <a:xfrm>
            <a:off x="245" y="562"/>
            <a:ext cx="76" cy="217"/>
            <a:chOff x="245" y="562"/>
            <a:chExt cx="76" cy="217"/>
          </a:xfrm>
        </xdr:grpSpPr>
        <xdr:sp macro="" textlink="">
          <xdr:nvSpPr>
            <xdr:cNvPr id="51" name="Rectangle 1189" descr="Newsprint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0" y="563"/>
              <a:ext cx="29" cy="171"/>
            </a:xfrm>
            <a:prstGeom prst="rect">
              <a:avLst/>
            </a:prstGeom>
            <a:blipFill dpi="0" rotWithShape="1">
              <a:blip xmlns:r="http://schemas.openxmlformats.org/officeDocument/2006/relationships" r:embed="rId1" cstate="print"/>
              <a:srcRect/>
              <a:tile tx="0" ty="0" sx="100000" sy="100000" flip="none" algn="tl"/>
            </a:blipFill>
            <a:ln>
              <a:noFill/>
            </a:ln>
            <a:extLst>
              <a:ext uri="{91240B29-F687-4F45-9708-019B960494DF}">
                <a14:hiddenLine xmlns:a14="http://schemas.microsoft.com/office/drawing/2010/main" w="2857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52" name="Line 1190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9" y="562"/>
              <a:ext cx="0" cy="17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" name="Line 1191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562"/>
              <a:ext cx="0" cy="1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" name="Freeform 1192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>
              <a:spLocks/>
            </xdr:cNvSpPr>
          </xdr:nvSpPr>
          <xdr:spPr bwMode="auto">
            <a:xfrm>
              <a:off x="248" y="724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55" name="Freeform 1193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>
              <a:spLocks/>
            </xdr:cNvSpPr>
          </xdr:nvSpPr>
          <xdr:spPr bwMode="auto">
            <a:xfrm>
              <a:off x="245" y="733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pic>
          <xdr:nvPicPr>
            <xdr:cNvPr id="56" name="Picture 1194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6" y="777"/>
              <a:ext cx="33" cy="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47</xdr:row>
      <xdr:rowOff>0</xdr:rowOff>
    </xdr:to>
    <xdr:grpSp>
      <xdr:nvGrpSpPr>
        <xdr:cNvPr id="57" name="Group 119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>
          <a:grpSpLocks/>
        </xdr:cNvGrpSpPr>
      </xdr:nvGrpSpPr>
      <xdr:grpSpPr bwMode="auto">
        <a:xfrm>
          <a:off x="0" y="7762875"/>
          <a:ext cx="0" cy="0"/>
          <a:chOff x="245" y="562"/>
          <a:chExt cx="76" cy="221"/>
        </a:xfrm>
      </xdr:grpSpPr>
      <xdr:sp macro="" textlink="">
        <xdr:nvSpPr>
          <xdr:cNvPr id="58" name="Rectangle 1196" descr="Newsprint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>
            <a:spLocks noChangeArrowheads="1"/>
          </xdr:cNvSpPr>
        </xdr:nvSpPr>
        <xdr:spPr bwMode="auto">
          <a:xfrm>
            <a:off x="279" y="747"/>
            <a:ext cx="29" cy="36"/>
          </a:xfrm>
          <a:prstGeom prst="rect">
            <a:avLst/>
          </a:prstGeom>
          <a:blipFill dpi="0" rotWithShape="1">
            <a:blip xmlns:r="http://schemas.openxmlformats.org/officeDocument/2006/relationships" r:embed="rId1" cstate="print"/>
            <a:srcRect/>
            <a:tile tx="0" ty="0" sx="100000" sy="100000" flip="none" algn="tl"/>
          </a:blipFill>
          <a:ln>
            <a:noFill/>
          </a:ln>
          <a:extLst>
            <a:ext uri="{91240B29-F687-4F45-9708-019B960494DF}">
              <a14:hiddenLine xmlns:a14="http://schemas.microsoft.com/office/drawing/2010/main" w="12700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59" name="Line 1197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>
            <a:spLocks noChangeShapeType="1"/>
          </xdr:cNvSpPr>
        </xdr:nvSpPr>
        <xdr:spPr bwMode="auto">
          <a:xfrm>
            <a:off x="309" y="745"/>
            <a:ext cx="0" cy="3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" name="Line 1198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278" y="743"/>
            <a:ext cx="0" cy="3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" name="Group 1199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GrpSpPr>
            <a:grpSpLocks/>
          </xdr:cNvGrpSpPr>
        </xdr:nvGrpSpPr>
        <xdr:grpSpPr bwMode="auto">
          <a:xfrm>
            <a:off x="245" y="562"/>
            <a:ext cx="76" cy="217"/>
            <a:chOff x="245" y="562"/>
            <a:chExt cx="76" cy="217"/>
          </a:xfrm>
        </xdr:grpSpPr>
        <xdr:sp macro="" textlink="">
          <xdr:nvSpPr>
            <xdr:cNvPr id="62" name="Rectangle 1200" descr="Newsprint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80" y="563"/>
              <a:ext cx="29" cy="171"/>
            </a:xfrm>
            <a:prstGeom prst="rect">
              <a:avLst/>
            </a:prstGeom>
            <a:blipFill dpi="0" rotWithShape="1">
              <a:blip xmlns:r="http://schemas.openxmlformats.org/officeDocument/2006/relationships" r:embed="rId1" cstate="print"/>
              <a:srcRect/>
              <a:tile tx="0" ty="0" sx="100000" sy="100000" flip="none" algn="tl"/>
            </a:blipFill>
            <a:ln>
              <a:noFill/>
            </a:ln>
            <a:extLst>
              <a:ext uri="{91240B29-F687-4F45-9708-019B960494DF}">
                <a14:hiddenLine xmlns:a14="http://schemas.microsoft.com/office/drawing/2010/main" w="2857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sp macro="" textlink="">
          <xdr:nvSpPr>
            <xdr:cNvPr id="63" name="Line 1201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279" y="562"/>
              <a:ext cx="0" cy="17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202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10" y="562"/>
              <a:ext cx="0" cy="17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" name="Freeform 1203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>
              <a:spLocks/>
            </xdr:cNvSpPr>
          </xdr:nvSpPr>
          <xdr:spPr bwMode="auto">
            <a:xfrm>
              <a:off x="248" y="724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66" name="Freeform 1204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>
              <a:spLocks/>
            </xdr:cNvSpPr>
          </xdr:nvSpPr>
          <xdr:spPr bwMode="auto">
            <a:xfrm>
              <a:off x="245" y="733"/>
              <a:ext cx="73" cy="21"/>
            </a:xfrm>
            <a:custGeom>
              <a:avLst/>
              <a:gdLst>
                <a:gd name="T0" fmla="*/ 0 w 73"/>
                <a:gd name="T1" fmla="*/ 9 h 21"/>
                <a:gd name="T2" fmla="*/ 39 w 73"/>
                <a:gd name="T3" fmla="*/ 9 h 21"/>
                <a:gd name="T4" fmla="*/ 44 w 73"/>
                <a:gd name="T5" fmla="*/ 0 h 21"/>
                <a:gd name="T6" fmla="*/ 44 w 73"/>
                <a:gd name="T7" fmla="*/ 21 h 21"/>
                <a:gd name="T8" fmla="*/ 50 w 73"/>
                <a:gd name="T9" fmla="*/ 11 h 21"/>
                <a:gd name="T10" fmla="*/ 73 w 73"/>
                <a:gd name="T11" fmla="*/ 11 h 2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</a:cxnLst>
              <a:rect l="0" t="0" r="r" b="b"/>
              <a:pathLst>
                <a:path w="73" h="21">
                  <a:moveTo>
                    <a:pt x="0" y="9"/>
                  </a:moveTo>
                  <a:lnTo>
                    <a:pt x="39" y="9"/>
                  </a:lnTo>
                  <a:lnTo>
                    <a:pt x="44" y="0"/>
                  </a:lnTo>
                  <a:lnTo>
                    <a:pt x="44" y="21"/>
                  </a:lnTo>
                  <a:lnTo>
                    <a:pt x="50" y="11"/>
                  </a:lnTo>
                  <a:lnTo>
                    <a:pt x="73" y="11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pic>
          <xdr:nvPicPr>
            <xdr:cNvPr id="67" name="Picture 1205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6" y="777"/>
              <a:ext cx="33" cy="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52</xdr:col>
      <xdr:colOff>257175</xdr:colOff>
      <xdr:row>31</xdr:row>
      <xdr:rowOff>66675</xdr:rowOff>
    </xdr:from>
    <xdr:to>
      <xdr:col>53</xdr:col>
      <xdr:colOff>257175</xdr:colOff>
      <xdr:row>32</xdr:row>
      <xdr:rowOff>114300</xdr:rowOff>
    </xdr:to>
    <xdr:sp macro="" textlink="">
      <xdr:nvSpPr>
        <xdr:cNvPr id="68" name="Rectangle 2281" descr="Newsprint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21507450" y="508635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123</xdr:row>
      <xdr:rowOff>114300</xdr:rowOff>
    </xdr:from>
    <xdr:to>
      <xdr:col>49</xdr:col>
      <xdr:colOff>180975</xdr:colOff>
      <xdr:row>125</xdr:row>
      <xdr:rowOff>123825</xdr:rowOff>
    </xdr:to>
    <xdr:sp macro="" textlink="">
      <xdr:nvSpPr>
        <xdr:cNvPr id="69" name="Rectangle 3005" descr="Newsprint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18992850" y="2003107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193</xdr:row>
      <xdr:rowOff>114300</xdr:rowOff>
    </xdr:from>
    <xdr:to>
      <xdr:col>49</xdr:col>
      <xdr:colOff>180975</xdr:colOff>
      <xdr:row>195</xdr:row>
      <xdr:rowOff>123825</xdr:rowOff>
    </xdr:to>
    <xdr:sp macro="" textlink="">
      <xdr:nvSpPr>
        <xdr:cNvPr id="70" name="Rectangle 3019" descr="Newsprint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rrowheads="1"/>
        </xdr:cNvSpPr>
      </xdr:nvSpPr>
      <xdr:spPr bwMode="auto">
        <a:xfrm>
          <a:off x="18992850" y="3136582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263</xdr:row>
      <xdr:rowOff>114300</xdr:rowOff>
    </xdr:from>
    <xdr:to>
      <xdr:col>49</xdr:col>
      <xdr:colOff>180975</xdr:colOff>
      <xdr:row>265</xdr:row>
      <xdr:rowOff>123825</xdr:rowOff>
    </xdr:to>
    <xdr:sp macro="" textlink="">
      <xdr:nvSpPr>
        <xdr:cNvPr id="71" name="Rectangle 3033" descr="Newsprint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rrowheads="1"/>
        </xdr:cNvSpPr>
      </xdr:nvSpPr>
      <xdr:spPr bwMode="auto">
        <a:xfrm>
          <a:off x="18992850" y="4270057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333</xdr:row>
      <xdr:rowOff>114300</xdr:rowOff>
    </xdr:from>
    <xdr:to>
      <xdr:col>49</xdr:col>
      <xdr:colOff>180975</xdr:colOff>
      <xdr:row>335</xdr:row>
      <xdr:rowOff>123825</xdr:rowOff>
    </xdr:to>
    <xdr:sp macro="" textlink="">
      <xdr:nvSpPr>
        <xdr:cNvPr id="72" name="Rectangle 3047" descr="Newsprint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rrowheads="1"/>
        </xdr:cNvSpPr>
      </xdr:nvSpPr>
      <xdr:spPr bwMode="auto">
        <a:xfrm>
          <a:off x="18992850" y="5403532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403</xdr:row>
      <xdr:rowOff>114300</xdr:rowOff>
    </xdr:from>
    <xdr:to>
      <xdr:col>49</xdr:col>
      <xdr:colOff>180975</xdr:colOff>
      <xdr:row>405</xdr:row>
      <xdr:rowOff>123825</xdr:rowOff>
    </xdr:to>
    <xdr:sp macro="" textlink="">
      <xdr:nvSpPr>
        <xdr:cNvPr id="73" name="Rectangle 3061" descr="Newsprint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Arrowheads="1"/>
        </xdr:cNvSpPr>
      </xdr:nvSpPr>
      <xdr:spPr bwMode="auto">
        <a:xfrm>
          <a:off x="18992850" y="6537007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473</xdr:row>
      <xdr:rowOff>114300</xdr:rowOff>
    </xdr:from>
    <xdr:to>
      <xdr:col>49</xdr:col>
      <xdr:colOff>180975</xdr:colOff>
      <xdr:row>475</xdr:row>
      <xdr:rowOff>123825</xdr:rowOff>
    </xdr:to>
    <xdr:sp macro="" textlink="">
      <xdr:nvSpPr>
        <xdr:cNvPr id="74" name="Rectangle 3075" descr="Newsprint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rrowheads="1"/>
        </xdr:cNvSpPr>
      </xdr:nvSpPr>
      <xdr:spPr bwMode="auto">
        <a:xfrm>
          <a:off x="18992850" y="7670482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543</xdr:row>
      <xdr:rowOff>114300</xdr:rowOff>
    </xdr:from>
    <xdr:to>
      <xdr:col>49</xdr:col>
      <xdr:colOff>180975</xdr:colOff>
      <xdr:row>545</xdr:row>
      <xdr:rowOff>123825</xdr:rowOff>
    </xdr:to>
    <xdr:sp macro="" textlink="">
      <xdr:nvSpPr>
        <xdr:cNvPr id="75" name="Rectangle 3089" descr="Newsprint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rrowheads="1"/>
        </xdr:cNvSpPr>
      </xdr:nvSpPr>
      <xdr:spPr bwMode="auto">
        <a:xfrm>
          <a:off x="18992850" y="8803957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613</xdr:row>
      <xdr:rowOff>114300</xdr:rowOff>
    </xdr:from>
    <xdr:to>
      <xdr:col>49</xdr:col>
      <xdr:colOff>180975</xdr:colOff>
      <xdr:row>615</xdr:row>
      <xdr:rowOff>123825</xdr:rowOff>
    </xdr:to>
    <xdr:sp macro="" textlink="">
      <xdr:nvSpPr>
        <xdr:cNvPr id="76" name="Rectangle 3103" descr="Newsprint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rrowheads="1"/>
        </xdr:cNvSpPr>
      </xdr:nvSpPr>
      <xdr:spPr bwMode="auto">
        <a:xfrm>
          <a:off x="18992850" y="99374325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48</xdr:col>
      <xdr:colOff>180975</xdr:colOff>
      <xdr:row>72</xdr:row>
      <xdr:rowOff>114300</xdr:rowOff>
    </xdr:from>
    <xdr:to>
      <xdr:col>49</xdr:col>
      <xdr:colOff>180975</xdr:colOff>
      <xdr:row>74</xdr:row>
      <xdr:rowOff>123825</xdr:rowOff>
    </xdr:to>
    <xdr:sp macro="" textlink="">
      <xdr:nvSpPr>
        <xdr:cNvPr id="77" name="Rectangle 3356" descr="Newsprint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rrowheads="1"/>
        </xdr:cNvSpPr>
      </xdr:nvSpPr>
      <xdr:spPr bwMode="auto">
        <a:xfrm>
          <a:off x="18992850" y="11772900"/>
          <a:ext cx="6096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180975</xdr:colOff>
      <xdr:row>72</xdr:row>
      <xdr:rowOff>114300</xdr:rowOff>
    </xdr:from>
    <xdr:to>
      <xdr:col>45</xdr:col>
      <xdr:colOff>180975</xdr:colOff>
      <xdr:row>74</xdr:row>
      <xdr:rowOff>123825</xdr:rowOff>
    </xdr:to>
    <xdr:sp macro="" textlink="">
      <xdr:nvSpPr>
        <xdr:cNvPr id="78" name="Rectangle 3357" descr="Newsprint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rrowheads="1"/>
        </xdr:cNvSpPr>
      </xdr:nvSpPr>
      <xdr:spPr bwMode="auto">
        <a:xfrm>
          <a:off x="16525875" y="11772900"/>
          <a:ext cx="6381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29</xdr:col>
      <xdr:colOff>9524</xdr:colOff>
      <xdr:row>19</xdr:row>
      <xdr:rowOff>101411</xdr:rowOff>
    </xdr:from>
    <xdr:to>
      <xdr:col>30</xdr:col>
      <xdr:colOff>518832</xdr:colOff>
      <xdr:row>27</xdr:row>
      <xdr:rowOff>44261</xdr:rowOff>
    </xdr:to>
    <xdr:grpSp>
      <xdr:nvGrpSpPr>
        <xdr:cNvPr id="79" name="Group 336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GrpSpPr>
          <a:grpSpLocks/>
        </xdr:cNvGrpSpPr>
      </xdr:nvGrpSpPr>
      <xdr:grpSpPr bwMode="auto">
        <a:xfrm>
          <a:off x="7450454" y="3202751"/>
          <a:ext cx="1132243" cy="1243965"/>
          <a:chOff x="1604" y="451"/>
          <a:chExt cx="117" cy="130"/>
        </a:xfrm>
      </xdr:grpSpPr>
      <xdr:sp macro="" textlink="">
        <xdr:nvSpPr>
          <xdr:cNvPr id="80" name="Rectangle 3365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1658" y="451"/>
            <a:ext cx="8" cy="13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1" name="Line 3366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614" y="460"/>
            <a:ext cx="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2" name="Line 3367">
            <a:extLst>
              <a:ext uri="{FF2B5EF4-FFF2-40B4-BE49-F238E27FC236}">
                <a16:creationId xmlns:a16="http://schemas.microsoft.com/office/drawing/2014/main" id="{00000000-0008-0000-01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1676" y="460"/>
            <a:ext cx="3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83" name="Text Box 3368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04" y="469"/>
            <a:ext cx="37" cy="3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-ve displ</a:t>
            </a:r>
          </a:p>
        </xdr:txBody>
      </xdr:sp>
      <xdr:sp macro="" textlink="">
        <xdr:nvSpPr>
          <xdr:cNvPr id="84" name="Text Box 3369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" y="472"/>
            <a:ext cx="37" cy="3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SG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+ve displ</a:t>
            </a:r>
          </a:p>
        </xdr:txBody>
      </xdr:sp>
    </xdr:grpSp>
    <xdr:clientData/>
  </xdr:twoCellAnchor>
  <xdr:twoCellAnchor editAs="oneCell">
    <xdr:from>
      <xdr:col>25</xdr:col>
      <xdr:colOff>161925</xdr:colOff>
      <xdr:row>0</xdr:row>
      <xdr:rowOff>114300</xdr:rowOff>
    </xdr:from>
    <xdr:to>
      <xdr:col>28</xdr:col>
      <xdr:colOff>39963</xdr:colOff>
      <xdr:row>3</xdr:row>
      <xdr:rowOff>34477</xdr:rowOff>
    </xdr:to>
    <xdr:pic>
      <xdr:nvPicPr>
        <xdr:cNvPr id="85" name="Picture 98" descr="Macintosh HD:Users:michelle:Downloads:SJ &amp; tagline.png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630"/>
        <a:stretch>
          <a:fillRect/>
        </a:stretch>
      </xdr:blipFill>
      <xdr:spPr bwMode="auto">
        <a:xfrm>
          <a:off x="5686425" y="114300"/>
          <a:ext cx="887688" cy="405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</xdr:col>
      <xdr:colOff>180975</xdr:colOff>
      <xdr:row>37</xdr:row>
      <xdr:rowOff>114300</xdr:rowOff>
    </xdr:from>
    <xdr:to>
      <xdr:col>53</xdr:col>
      <xdr:colOff>180975</xdr:colOff>
      <xdr:row>39</xdr:row>
      <xdr:rowOff>0</xdr:rowOff>
    </xdr:to>
    <xdr:sp macro="" textlink="">
      <xdr:nvSpPr>
        <xdr:cNvPr id="86" name="Rectangle 2281" descr="Newsprint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21431250" y="610552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40</xdr:row>
      <xdr:rowOff>114300</xdr:rowOff>
    </xdr:from>
    <xdr:to>
      <xdr:col>53</xdr:col>
      <xdr:colOff>180975</xdr:colOff>
      <xdr:row>42</xdr:row>
      <xdr:rowOff>0</xdr:rowOff>
    </xdr:to>
    <xdr:sp macro="" textlink="">
      <xdr:nvSpPr>
        <xdr:cNvPr id="87" name="Rectangle 2281" descr="Newsprint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Arrowheads="1"/>
        </xdr:cNvSpPr>
      </xdr:nvSpPr>
      <xdr:spPr bwMode="auto">
        <a:xfrm>
          <a:off x="21431250" y="659130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43</xdr:row>
      <xdr:rowOff>114300</xdr:rowOff>
    </xdr:from>
    <xdr:to>
      <xdr:col>53</xdr:col>
      <xdr:colOff>180975</xdr:colOff>
      <xdr:row>45</xdr:row>
      <xdr:rowOff>0</xdr:rowOff>
    </xdr:to>
    <xdr:sp macro="" textlink="">
      <xdr:nvSpPr>
        <xdr:cNvPr id="88" name="Rectangle 2281" descr="Newsprint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Arrowheads="1"/>
        </xdr:cNvSpPr>
      </xdr:nvSpPr>
      <xdr:spPr bwMode="auto">
        <a:xfrm>
          <a:off x="21431250" y="707707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45</xdr:row>
      <xdr:rowOff>0</xdr:rowOff>
    </xdr:from>
    <xdr:to>
      <xdr:col>53</xdr:col>
      <xdr:colOff>180975</xdr:colOff>
      <xdr:row>46</xdr:row>
      <xdr:rowOff>0</xdr:rowOff>
    </xdr:to>
    <xdr:sp macro="" textlink="">
      <xdr:nvSpPr>
        <xdr:cNvPr id="89" name="Rectangle 2281" descr="Newsprint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Arrowheads="1"/>
        </xdr:cNvSpPr>
      </xdr:nvSpPr>
      <xdr:spPr bwMode="auto">
        <a:xfrm>
          <a:off x="21431250" y="7286625"/>
          <a:ext cx="609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53</xdr:col>
      <xdr:colOff>323850</xdr:colOff>
      <xdr:row>33</xdr:row>
      <xdr:rowOff>76200</xdr:rowOff>
    </xdr:from>
    <xdr:to>
      <xdr:col>54</xdr:col>
      <xdr:colOff>323850</xdr:colOff>
      <xdr:row>34</xdr:row>
      <xdr:rowOff>123825</xdr:rowOff>
    </xdr:to>
    <xdr:sp macro="" textlink="">
      <xdr:nvSpPr>
        <xdr:cNvPr id="90" name="Rectangle 2281" descr="Newsprint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Arrowheads="1"/>
        </xdr:cNvSpPr>
      </xdr:nvSpPr>
      <xdr:spPr bwMode="auto">
        <a:xfrm>
          <a:off x="22183725" y="541972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36</xdr:row>
      <xdr:rowOff>114300</xdr:rowOff>
    </xdr:from>
    <xdr:to>
      <xdr:col>53</xdr:col>
      <xdr:colOff>180975</xdr:colOff>
      <xdr:row>38</xdr:row>
      <xdr:rowOff>0</xdr:rowOff>
    </xdr:to>
    <xdr:sp macro="" textlink="">
      <xdr:nvSpPr>
        <xdr:cNvPr id="91" name="Rectangle 2281" descr="Newsprint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Arrowheads="1"/>
        </xdr:cNvSpPr>
      </xdr:nvSpPr>
      <xdr:spPr bwMode="auto">
        <a:xfrm>
          <a:off x="21431250" y="594360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37</xdr:row>
      <xdr:rowOff>114300</xdr:rowOff>
    </xdr:from>
    <xdr:to>
      <xdr:col>53</xdr:col>
      <xdr:colOff>180975</xdr:colOff>
      <xdr:row>39</xdr:row>
      <xdr:rowOff>0</xdr:rowOff>
    </xdr:to>
    <xdr:sp macro="" textlink="">
      <xdr:nvSpPr>
        <xdr:cNvPr id="92" name="Rectangle 2281" descr="Newsprint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Arrowheads="1"/>
        </xdr:cNvSpPr>
      </xdr:nvSpPr>
      <xdr:spPr bwMode="auto">
        <a:xfrm>
          <a:off x="21431250" y="610552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38</xdr:row>
      <xdr:rowOff>114300</xdr:rowOff>
    </xdr:from>
    <xdr:to>
      <xdr:col>53</xdr:col>
      <xdr:colOff>180975</xdr:colOff>
      <xdr:row>40</xdr:row>
      <xdr:rowOff>0</xdr:rowOff>
    </xdr:to>
    <xdr:sp macro="" textlink="">
      <xdr:nvSpPr>
        <xdr:cNvPr id="93" name="Rectangle 2281" descr="Newsprint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Arrowheads="1"/>
        </xdr:cNvSpPr>
      </xdr:nvSpPr>
      <xdr:spPr bwMode="auto">
        <a:xfrm>
          <a:off x="21431250" y="626745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39</xdr:row>
      <xdr:rowOff>114300</xdr:rowOff>
    </xdr:from>
    <xdr:to>
      <xdr:col>53</xdr:col>
      <xdr:colOff>180975</xdr:colOff>
      <xdr:row>41</xdr:row>
      <xdr:rowOff>0</xdr:rowOff>
    </xdr:to>
    <xdr:sp macro="" textlink="">
      <xdr:nvSpPr>
        <xdr:cNvPr id="94" name="Rectangle 2281" descr="Newsprint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Arrowheads="1"/>
        </xdr:cNvSpPr>
      </xdr:nvSpPr>
      <xdr:spPr bwMode="auto">
        <a:xfrm>
          <a:off x="21431250" y="642937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40</xdr:row>
      <xdr:rowOff>114300</xdr:rowOff>
    </xdr:from>
    <xdr:to>
      <xdr:col>53</xdr:col>
      <xdr:colOff>180975</xdr:colOff>
      <xdr:row>42</xdr:row>
      <xdr:rowOff>0</xdr:rowOff>
    </xdr:to>
    <xdr:sp macro="" textlink="">
      <xdr:nvSpPr>
        <xdr:cNvPr id="95" name="Rectangle 2281" descr="Newsprint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Arrowheads="1"/>
        </xdr:cNvSpPr>
      </xdr:nvSpPr>
      <xdr:spPr bwMode="auto">
        <a:xfrm>
          <a:off x="21431250" y="659130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41</xdr:row>
      <xdr:rowOff>114300</xdr:rowOff>
    </xdr:from>
    <xdr:to>
      <xdr:col>53</xdr:col>
      <xdr:colOff>180975</xdr:colOff>
      <xdr:row>43</xdr:row>
      <xdr:rowOff>0</xdr:rowOff>
    </xdr:to>
    <xdr:sp macro="" textlink="">
      <xdr:nvSpPr>
        <xdr:cNvPr id="96" name="Rectangle 2281" descr="Newsprint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Arrowheads="1"/>
        </xdr:cNvSpPr>
      </xdr:nvSpPr>
      <xdr:spPr bwMode="auto">
        <a:xfrm>
          <a:off x="21431250" y="675322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42</xdr:row>
      <xdr:rowOff>114300</xdr:rowOff>
    </xdr:from>
    <xdr:to>
      <xdr:col>53</xdr:col>
      <xdr:colOff>180975</xdr:colOff>
      <xdr:row>44</xdr:row>
      <xdr:rowOff>0</xdr:rowOff>
    </xdr:to>
    <xdr:sp macro="" textlink="">
      <xdr:nvSpPr>
        <xdr:cNvPr id="97" name="Rectangle 2281" descr="Newsprint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Arrowheads="1"/>
        </xdr:cNvSpPr>
      </xdr:nvSpPr>
      <xdr:spPr bwMode="auto">
        <a:xfrm>
          <a:off x="21431250" y="691515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43</xdr:row>
      <xdr:rowOff>114300</xdr:rowOff>
    </xdr:from>
    <xdr:to>
      <xdr:col>53</xdr:col>
      <xdr:colOff>180975</xdr:colOff>
      <xdr:row>45</xdr:row>
      <xdr:rowOff>0</xdr:rowOff>
    </xdr:to>
    <xdr:sp macro="" textlink="">
      <xdr:nvSpPr>
        <xdr:cNvPr id="98" name="Rectangle 2281" descr="Newsprint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Arrowheads="1"/>
        </xdr:cNvSpPr>
      </xdr:nvSpPr>
      <xdr:spPr bwMode="auto">
        <a:xfrm>
          <a:off x="21431250" y="707707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44</xdr:row>
      <xdr:rowOff>114300</xdr:rowOff>
    </xdr:from>
    <xdr:to>
      <xdr:col>53</xdr:col>
      <xdr:colOff>180975</xdr:colOff>
      <xdr:row>45</xdr:row>
      <xdr:rowOff>0</xdr:rowOff>
    </xdr:to>
    <xdr:sp macro="" textlink="">
      <xdr:nvSpPr>
        <xdr:cNvPr id="99" name="Rectangle 2281" descr="Newsprint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Arrowheads="1"/>
        </xdr:cNvSpPr>
      </xdr:nvSpPr>
      <xdr:spPr bwMode="auto">
        <a:xfrm>
          <a:off x="21431250" y="7239000"/>
          <a:ext cx="6096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45</xdr:row>
      <xdr:rowOff>0</xdr:rowOff>
    </xdr:from>
    <xdr:to>
      <xdr:col>53</xdr:col>
      <xdr:colOff>180975</xdr:colOff>
      <xdr:row>46</xdr:row>
      <xdr:rowOff>0</xdr:rowOff>
    </xdr:to>
    <xdr:sp macro="" textlink="">
      <xdr:nvSpPr>
        <xdr:cNvPr id="100" name="Rectangle 2281" descr="Newsprint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Arrowheads="1"/>
        </xdr:cNvSpPr>
      </xdr:nvSpPr>
      <xdr:spPr bwMode="auto">
        <a:xfrm>
          <a:off x="21431250" y="7286625"/>
          <a:ext cx="6096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45</xdr:row>
      <xdr:rowOff>114300</xdr:rowOff>
    </xdr:from>
    <xdr:to>
      <xdr:col>53</xdr:col>
      <xdr:colOff>180975</xdr:colOff>
      <xdr:row>47</xdr:row>
      <xdr:rowOff>0</xdr:rowOff>
    </xdr:to>
    <xdr:sp macro="" textlink="">
      <xdr:nvSpPr>
        <xdr:cNvPr id="101" name="Rectangle 2281" descr="Newsprint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Arrowheads="1"/>
        </xdr:cNvSpPr>
      </xdr:nvSpPr>
      <xdr:spPr bwMode="auto">
        <a:xfrm>
          <a:off x="21431250" y="7400925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52</xdr:col>
      <xdr:colOff>180975</xdr:colOff>
      <xdr:row>46</xdr:row>
      <xdr:rowOff>114300</xdr:rowOff>
    </xdr:from>
    <xdr:to>
      <xdr:col>53</xdr:col>
      <xdr:colOff>180975</xdr:colOff>
      <xdr:row>47</xdr:row>
      <xdr:rowOff>0</xdr:rowOff>
    </xdr:to>
    <xdr:sp macro="" textlink="">
      <xdr:nvSpPr>
        <xdr:cNvPr id="102" name="Rectangle 2281" descr="Newsprint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Arrowheads="1"/>
        </xdr:cNvSpPr>
      </xdr:nvSpPr>
      <xdr:spPr bwMode="auto">
        <a:xfrm>
          <a:off x="21431250" y="7562850"/>
          <a:ext cx="6096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53</xdr:col>
      <xdr:colOff>371475</xdr:colOff>
      <xdr:row>46</xdr:row>
      <xdr:rowOff>152400</xdr:rowOff>
    </xdr:from>
    <xdr:to>
      <xdr:col>54</xdr:col>
      <xdr:colOff>371475</xdr:colOff>
      <xdr:row>47</xdr:row>
      <xdr:rowOff>0</xdr:rowOff>
    </xdr:to>
    <xdr:sp macro="" textlink="">
      <xdr:nvSpPr>
        <xdr:cNvPr id="103" name="Rectangle 2281" descr="Newsprint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Arrowheads="1"/>
        </xdr:cNvSpPr>
      </xdr:nvSpPr>
      <xdr:spPr bwMode="auto">
        <a:xfrm>
          <a:off x="22231350" y="760095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1">
                <a:blip xmlns:r="http://schemas.openxmlformats.org/officeDocument/2006/relationships"/>
                <a:srcRect/>
                <a:tile tx="0" ty="0" sx="100000" sy="100000" flip="none" algn="tl"/>
              </a:blipFill>
            </a14:hiddenFill>
          </a:ext>
          <a:ext uri="{91240B29-F687-4F45-9708-019B960494DF}">
            <a14:hiddenLine xmlns:a14="http://schemas.microsoft.com/office/drawing/2010/main" w="12700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47</xdr:row>
          <xdr:rowOff>0</xdr:rowOff>
        </xdr:from>
        <xdr:to>
          <xdr:col>0</xdr:col>
          <xdr:colOff>0</xdr:colOff>
          <xdr:row>47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15240</xdr:colOff>
          <xdr:row>20</xdr:row>
          <xdr:rowOff>53340</xdr:rowOff>
        </xdr:from>
        <xdr:to>
          <xdr:col>15</xdr:col>
          <xdr:colOff>30480</xdr:colOff>
          <xdr:row>22</xdr:row>
          <xdr:rowOff>144780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AB94-E93E-493B-B83A-2AE550D0D179}">
  <sheetPr>
    <tabColor indexed="57"/>
  </sheetPr>
  <dimension ref="A1:BL1043"/>
  <sheetViews>
    <sheetView tabSelected="1" topLeftCell="A56" zoomScale="85" zoomScaleNormal="85" zoomScalePageLayoutView="70" workbookViewId="0">
      <selection activeCell="AI88" sqref="AI88"/>
    </sheetView>
  </sheetViews>
  <sheetFormatPr defaultColWidth="9.21875" defaultRowHeight="14.25" customHeight="1"/>
  <cols>
    <col min="1" max="1" width="9.77734375" style="15" customWidth="1"/>
    <col min="2" max="5" width="2.77734375" style="15" customWidth="1"/>
    <col min="6" max="13" width="2.77734375" style="90" customWidth="1"/>
    <col min="14" max="26" width="2.77734375" style="15" customWidth="1"/>
    <col min="27" max="27" width="9.77734375" style="15" customWidth="1"/>
    <col min="28" max="28" width="18.77734375" style="15" customWidth="1"/>
    <col min="29" max="29" width="9.21875" style="15" customWidth="1"/>
    <col min="30" max="30" width="7.77734375" style="15" customWidth="1"/>
    <col min="31" max="31" width="8" style="15" customWidth="1"/>
    <col min="32" max="32" width="9.21875" style="15"/>
    <col min="33" max="33" width="8.109375" style="15" customWidth="1"/>
    <col min="34" max="34" width="7.77734375" style="90" customWidth="1"/>
    <col min="35" max="35" width="10" style="90" customWidth="1"/>
    <col min="36" max="36" width="8.21875" style="15" customWidth="1"/>
    <col min="37" max="37" width="6.21875" style="15" customWidth="1"/>
    <col min="38" max="38" width="9.21875" style="159"/>
    <col min="39" max="39" width="6.21875" style="15" customWidth="1"/>
    <col min="40" max="40" width="5.77734375" style="15" customWidth="1"/>
    <col min="41" max="41" width="9.21875" style="160"/>
    <col min="42" max="42" width="9.21875" style="15"/>
    <col min="43" max="43" width="5.77734375" style="15" customWidth="1"/>
    <col min="44" max="44" width="9.21875" style="15"/>
    <col min="45" max="45" width="6.21875" style="15" customWidth="1"/>
    <col min="46" max="46" width="7.77734375" style="15" customWidth="1"/>
    <col min="47" max="47" width="6.5546875" style="160" customWidth="1"/>
    <col min="48" max="48" width="9.21875" style="15"/>
    <col min="49" max="49" width="7.21875" style="15" customWidth="1"/>
    <col min="50" max="50" width="9.21875" style="160"/>
    <col min="51" max="52" width="5.44140625" style="15" customWidth="1"/>
    <col min="53" max="53" width="6" style="160" customWidth="1"/>
    <col min="54" max="55" width="5.21875" style="15" customWidth="1"/>
    <col min="56" max="56" width="9.21875" style="15" customWidth="1"/>
    <col min="57" max="57" width="6.77734375" style="15" customWidth="1"/>
    <col min="58" max="58" width="6.44140625" style="15" customWidth="1"/>
    <col min="59" max="16384" width="9.21875" style="15"/>
  </cols>
  <sheetData>
    <row r="1" spans="1:53" ht="14.25" customHeight="1">
      <c r="A1" s="393" t="s">
        <v>0</v>
      </c>
      <c r="B1" s="394"/>
      <c r="C1" s="395"/>
      <c r="D1" s="412" t="s">
        <v>1</v>
      </c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4"/>
      <c r="R1" s="389" t="s">
        <v>2</v>
      </c>
      <c r="S1" s="389"/>
      <c r="T1" s="389"/>
      <c r="U1" s="390"/>
      <c r="V1" s="391"/>
      <c r="W1" s="391"/>
      <c r="X1" s="392"/>
      <c r="Y1" s="380"/>
      <c r="Z1" s="381"/>
      <c r="AA1" s="382"/>
      <c r="AL1" s="157"/>
      <c r="AO1" s="158"/>
      <c r="AU1" s="158"/>
      <c r="AX1" s="158"/>
      <c r="BA1" s="158"/>
    </row>
    <row r="2" spans="1:53" ht="14.25" customHeight="1">
      <c r="A2" s="399"/>
      <c r="B2" s="400"/>
      <c r="C2" s="401"/>
      <c r="D2" s="415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7"/>
      <c r="R2" s="389" t="s">
        <v>3</v>
      </c>
      <c r="S2" s="389"/>
      <c r="T2" s="389"/>
      <c r="U2" s="390" t="s">
        <v>4</v>
      </c>
      <c r="V2" s="391"/>
      <c r="W2" s="391"/>
      <c r="X2" s="392"/>
      <c r="Y2" s="383"/>
      <c r="Z2" s="384"/>
      <c r="AA2" s="385"/>
    </row>
    <row r="3" spans="1:53" ht="14.25" customHeight="1">
      <c r="A3" s="393" t="s">
        <v>5</v>
      </c>
      <c r="B3" s="394"/>
      <c r="C3" s="395"/>
      <c r="D3" s="402" t="s">
        <v>465</v>
      </c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4"/>
      <c r="R3" s="389" t="s">
        <v>6</v>
      </c>
      <c r="S3" s="389"/>
      <c r="T3" s="389"/>
      <c r="U3" s="390" t="s">
        <v>7</v>
      </c>
      <c r="V3" s="391"/>
      <c r="W3" s="391"/>
      <c r="X3" s="392"/>
      <c r="Y3" s="383"/>
      <c r="Z3" s="384"/>
      <c r="AA3" s="385"/>
    </row>
    <row r="4" spans="1:53" ht="14.25" customHeight="1">
      <c r="A4" s="396"/>
      <c r="B4" s="397"/>
      <c r="C4" s="398"/>
      <c r="D4" s="405" t="s">
        <v>8</v>
      </c>
      <c r="E4" s="406"/>
      <c r="F4" s="406"/>
      <c r="G4" s="406"/>
      <c r="H4" s="406"/>
      <c r="I4" s="406"/>
      <c r="J4" s="406"/>
      <c r="K4" s="406"/>
      <c r="L4" s="406"/>
      <c r="M4" s="406"/>
      <c r="N4" s="406"/>
      <c r="O4" s="406"/>
      <c r="P4" s="406"/>
      <c r="Q4" s="407"/>
      <c r="R4" s="389" t="s">
        <v>9</v>
      </c>
      <c r="S4" s="389"/>
      <c r="T4" s="389"/>
      <c r="U4" s="390" t="s">
        <v>10</v>
      </c>
      <c r="V4" s="391"/>
      <c r="W4" s="391"/>
      <c r="X4" s="392"/>
      <c r="Y4" s="386"/>
      <c r="Z4" s="387"/>
      <c r="AA4" s="388"/>
    </row>
    <row r="5" spans="1:53" ht="14.25" customHeight="1">
      <c r="A5" s="399"/>
      <c r="B5" s="400"/>
      <c r="C5" s="401"/>
      <c r="D5" s="408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409"/>
      <c r="Q5" s="410"/>
      <c r="R5" s="389" t="s">
        <v>11</v>
      </c>
      <c r="S5" s="389"/>
      <c r="T5" s="389"/>
      <c r="U5" s="411">
        <f ca="1">TODAY()</f>
        <v>45183</v>
      </c>
      <c r="V5" s="391"/>
      <c r="W5" s="391"/>
      <c r="X5" s="392"/>
      <c r="Y5" s="418" t="s">
        <v>12</v>
      </c>
      <c r="Z5" s="419"/>
      <c r="AA5" s="161" t="str">
        <f>1&amp;"/"&amp;AB5</f>
        <v>1/14</v>
      </c>
      <c r="AB5" s="15">
        <v>14</v>
      </c>
    </row>
    <row r="6" spans="1:53" ht="14.25" customHeight="1">
      <c r="A6" s="162"/>
      <c r="B6" s="162"/>
      <c r="C6" s="162"/>
      <c r="D6" s="162"/>
      <c r="E6" s="162"/>
      <c r="F6" s="163"/>
      <c r="G6" s="163"/>
      <c r="H6" s="163"/>
      <c r="I6" s="163"/>
      <c r="J6" s="163"/>
      <c r="K6" s="163"/>
      <c r="L6" s="163"/>
      <c r="M6" s="163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</row>
    <row r="7" spans="1:53" ht="14.25" customHeight="1">
      <c r="A7" s="162"/>
      <c r="B7" s="162" t="s">
        <v>13</v>
      </c>
      <c r="C7" s="162"/>
      <c r="D7" s="162"/>
      <c r="E7" s="162"/>
      <c r="F7" s="163"/>
      <c r="G7" s="163"/>
      <c r="H7" s="163"/>
      <c r="I7" s="163"/>
      <c r="J7" s="163"/>
      <c r="K7" s="163"/>
      <c r="L7" s="163"/>
      <c r="M7" s="163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</row>
    <row r="8" spans="1:53" ht="14.25" customHeight="1">
      <c r="A8" s="162"/>
      <c r="B8" s="162"/>
      <c r="C8" s="162"/>
      <c r="D8" s="162"/>
      <c r="E8" s="162"/>
      <c r="F8" s="163"/>
      <c r="G8" s="163"/>
      <c r="H8" s="163"/>
      <c r="I8" s="163"/>
      <c r="J8" s="163"/>
      <c r="K8" s="163"/>
      <c r="L8" s="163"/>
      <c r="M8" s="163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</row>
    <row r="9" spans="1:53" ht="14.25" customHeight="1">
      <c r="A9" s="162"/>
      <c r="B9" s="162"/>
      <c r="C9" s="162"/>
      <c r="D9" s="162"/>
      <c r="E9" s="162"/>
      <c r="F9" s="163"/>
      <c r="G9" s="163"/>
      <c r="H9" s="163"/>
      <c r="I9" s="163"/>
      <c r="J9" s="163"/>
      <c r="K9" s="163"/>
      <c r="L9" s="163"/>
      <c r="M9" s="163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</row>
    <row r="10" spans="1:53" ht="14.25" customHeight="1">
      <c r="A10" s="162"/>
      <c r="B10" s="162"/>
      <c r="C10" s="162"/>
      <c r="D10" s="162"/>
      <c r="E10" s="162"/>
      <c r="F10" s="163"/>
      <c r="G10" s="163"/>
      <c r="H10" s="163"/>
      <c r="I10" s="163"/>
      <c r="J10" s="163"/>
      <c r="K10" s="163"/>
      <c r="L10" s="163"/>
      <c r="M10" s="163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</row>
    <row r="11" spans="1:53" ht="14.25" customHeight="1">
      <c r="A11" s="162"/>
      <c r="B11" s="162"/>
      <c r="C11" s="162"/>
      <c r="D11" s="162"/>
      <c r="E11" s="162"/>
      <c r="F11" s="163"/>
      <c r="G11" s="163"/>
      <c r="H11" s="163"/>
      <c r="I11" s="163"/>
      <c r="J11" s="163"/>
      <c r="K11" s="163"/>
      <c r="L11" s="163"/>
      <c r="M11" s="163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H11" s="15"/>
      <c r="AI11" s="15"/>
    </row>
    <row r="12" spans="1:53" ht="14.25" customHeight="1">
      <c r="A12" s="162"/>
      <c r="B12" s="162"/>
      <c r="C12" s="162"/>
      <c r="D12" s="162"/>
      <c r="E12" s="162"/>
      <c r="F12" s="163"/>
      <c r="G12" s="163"/>
      <c r="H12" s="163"/>
      <c r="I12" s="163"/>
      <c r="J12" s="163"/>
      <c r="K12" s="163"/>
      <c r="L12" s="163"/>
      <c r="M12" s="163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H12" s="15"/>
      <c r="AI12" s="15"/>
    </row>
    <row r="13" spans="1:53" ht="14.25" customHeight="1">
      <c r="A13" s="162"/>
      <c r="B13" s="162"/>
      <c r="C13" s="162"/>
      <c r="D13" s="162"/>
      <c r="E13" s="162"/>
      <c r="F13" s="163"/>
      <c r="G13" s="163"/>
      <c r="H13" s="163"/>
      <c r="I13" s="163"/>
      <c r="J13" s="163"/>
      <c r="K13" s="163"/>
      <c r="L13" s="163"/>
      <c r="M13" s="163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H13" s="15"/>
      <c r="AI13" s="15"/>
    </row>
    <row r="14" spans="1:53" ht="14.25" customHeight="1">
      <c r="A14" s="162"/>
      <c r="B14" s="162"/>
      <c r="C14" s="162"/>
      <c r="D14" s="162"/>
      <c r="E14" s="162"/>
      <c r="F14" s="163"/>
      <c r="G14" s="163"/>
      <c r="H14" s="163"/>
      <c r="I14" s="163"/>
      <c r="J14" s="163"/>
      <c r="K14" s="163"/>
      <c r="L14" s="163"/>
      <c r="M14" s="163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H14" s="15"/>
      <c r="AI14" s="15"/>
    </row>
    <row r="15" spans="1:53" ht="14.25" customHeight="1">
      <c r="A15" s="162"/>
      <c r="B15" s="162"/>
      <c r="C15" s="162"/>
      <c r="D15" s="162"/>
      <c r="E15" s="162"/>
      <c r="F15" s="163"/>
      <c r="G15" s="163"/>
      <c r="H15" s="163"/>
      <c r="I15" s="163"/>
      <c r="J15" s="163"/>
      <c r="K15" s="163"/>
      <c r="L15" s="163"/>
      <c r="M15" s="163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44" t="s">
        <v>467</v>
      </c>
      <c r="AC15" s="378">
        <v>3</v>
      </c>
      <c r="AH15" s="15"/>
      <c r="AI15" s="15"/>
    </row>
    <row r="16" spans="1:53" ht="14.25" customHeight="1">
      <c r="A16" s="162"/>
      <c r="B16" s="162"/>
      <c r="C16" s="162"/>
      <c r="D16" s="162"/>
      <c r="E16" s="162"/>
      <c r="F16" s="163"/>
      <c r="G16" s="163"/>
      <c r="H16" s="163"/>
      <c r="I16" s="163"/>
      <c r="J16" s="163"/>
      <c r="K16" s="163"/>
      <c r="L16" s="163"/>
      <c r="M16" s="163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9"/>
      <c r="AB16" s="44" t="s">
        <v>446</v>
      </c>
      <c r="AC16" s="373">
        <v>1</v>
      </c>
      <c r="AH16" s="15"/>
      <c r="AI16" s="15"/>
    </row>
    <row r="17" spans="1:37" ht="14.25" customHeight="1">
      <c r="A17" s="162"/>
      <c r="B17" s="162"/>
      <c r="C17" s="162"/>
      <c r="D17" s="162"/>
      <c r="E17" s="162"/>
      <c r="F17" s="163"/>
      <c r="G17" s="163"/>
      <c r="H17" s="163"/>
      <c r="I17" s="163"/>
      <c r="J17" s="163"/>
      <c r="K17" s="163"/>
      <c r="L17" s="163"/>
      <c r="M17" s="163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9"/>
      <c r="AB17" s="44" t="s">
        <v>447</v>
      </c>
      <c r="AC17" s="373">
        <v>0.6</v>
      </c>
      <c r="AF17" s="184" t="s">
        <v>84</v>
      </c>
      <c r="AG17" s="379" t="s">
        <v>148</v>
      </c>
      <c r="AH17" s="375" t="s">
        <v>149</v>
      </c>
      <c r="AI17" s="375" t="s">
        <v>55</v>
      </c>
      <c r="AJ17" s="15" t="s">
        <v>22</v>
      </c>
      <c r="AK17" s="15" t="s">
        <v>303</v>
      </c>
    </row>
    <row r="18" spans="1:37" ht="14.25" customHeight="1">
      <c r="A18" s="162"/>
      <c r="B18" s="162"/>
      <c r="C18" s="162"/>
      <c r="D18" s="162"/>
      <c r="E18" s="162"/>
      <c r="F18" s="163"/>
      <c r="G18" s="163"/>
      <c r="H18" s="163"/>
      <c r="I18" s="163"/>
      <c r="J18" s="163"/>
      <c r="K18" s="163"/>
      <c r="L18" s="163"/>
      <c r="M18" s="163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9"/>
      <c r="AB18" s="44" t="s">
        <v>448</v>
      </c>
      <c r="AC18" s="373">
        <v>3.5</v>
      </c>
      <c r="AF18" s="184" t="s">
        <v>26</v>
      </c>
      <c r="AG18" s="185" t="s">
        <v>85</v>
      </c>
      <c r="AH18" s="186">
        <f>$M$60</f>
        <v>5.5</v>
      </c>
      <c r="AI18" s="187" t="s">
        <v>86</v>
      </c>
      <c r="AJ18" s="15">
        <f t="shared" ref="AJ18:AJ37" si="0">IF(AF18="Fill",VLOOKUP(AF18,$C$42:$Z$48,19,0),
    IF(AF18="F1",450*(7.5+($AH$18-AH18)),
         IF(AF18="UMC",1.1*(6+($AH$18-AH18))*300/1.2,
              IF(AF18="LMC",0.9*(16+($AH$18-AH18))*300/1.2,
                   VLOOKUP(AF18,$C$42:$AA$48,12,0)*VLOOKUP(AF18,$C$42:$AA$48,25,0)/1.2)
            )
       )
     )</f>
        <v>12000</v>
      </c>
      <c r="AK18" s="15">
        <f>AJ18/($U$69*(1-VLOOKUP(AF18,$C$42:$Z$48,23,0)^2))</f>
        <v>2930.4029304029305</v>
      </c>
    </row>
    <row r="19" spans="1:37" ht="14.25" customHeight="1">
      <c r="A19" s="162"/>
      <c r="B19" s="162"/>
      <c r="C19" s="162"/>
      <c r="D19" s="162"/>
      <c r="E19" s="162"/>
      <c r="F19" s="163"/>
      <c r="G19" s="163"/>
      <c r="H19" s="163"/>
      <c r="I19" s="163"/>
      <c r="J19" s="163"/>
      <c r="K19" s="163"/>
      <c r="L19" s="163"/>
      <c r="M19" s="163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9"/>
      <c r="AB19" s="44" t="s">
        <v>449</v>
      </c>
      <c r="AC19" s="373">
        <v>3.5</v>
      </c>
      <c r="AD19" s="15" t="s">
        <v>466</v>
      </c>
      <c r="AF19" s="184" t="s">
        <v>26</v>
      </c>
      <c r="AG19" s="185" t="s">
        <v>88</v>
      </c>
      <c r="AH19" s="186">
        <f>AH18-1.5</f>
        <v>4</v>
      </c>
      <c r="AI19" s="376">
        <f>AH18-AH19</f>
        <v>1.5</v>
      </c>
      <c r="AJ19" s="15">
        <f t="shared" si="0"/>
        <v>12000</v>
      </c>
      <c r="AK19" s="15">
        <f t="shared" ref="AK19:AK37" si="1">AJ19/($U$69*(1-VLOOKUP(AF19,$C$42:$Z$48,23,0)^2))</f>
        <v>2930.4029304029305</v>
      </c>
    </row>
    <row r="20" spans="1:37" ht="14.25" customHeight="1">
      <c r="A20" s="162"/>
      <c r="B20" s="162"/>
      <c r="C20" s="162"/>
      <c r="D20" s="162"/>
      <c r="E20" s="162"/>
      <c r="F20" s="163"/>
      <c r="G20" s="163"/>
      <c r="H20" s="163"/>
      <c r="I20" s="163"/>
      <c r="J20" s="163"/>
      <c r="K20" s="163"/>
      <c r="L20" s="163"/>
      <c r="M20" s="163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9"/>
      <c r="AB20" s="44" t="s">
        <v>450</v>
      </c>
      <c r="AC20" s="373">
        <v>3.5</v>
      </c>
      <c r="AD20" s="15" t="s">
        <v>466</v>
      </c>
      <c r="AF20" s="184" t="s">
        <v>26</v>
      </c>
      <c r="AG20" s="185" t="s">
        <v>92</v>
      </c>
      <c r="AH20" s="199">
        <f>AH18-4.5</f>
        <v>1</v>
      </c>
      <c r="AI20" s="376">
        <f>AH19-AH20</f>
        <v>3</v>
      </c>
      <c r="AJ20" s="15">
        <f t="shared" si="0"/>
        <v>12000</v>
      </c>
      <c r="AK20" s="15">
        <f t="shared" si="1"/>
        <v>2930.4029304029305</v>
      </c>
    </row>
    <row r="21" spans="1:37" ht="14.25" customHeight="1">
      <c r="A21" s="162"/>
      <c r="B21" s="162"/>
      <c r="C21" s="162"/>
      <c r="D21" s="162"/>
      <c r="E21" s="162"/>
      <c r="F21" s="163"/>
      <c r="G21" s="163"/>
      <c r="H21" s="163"/>
      <c r="I21" s="163"/>
      <c r="J21" s="163"/>
      <c r="K21" s="163"/>
      <c r="L21" s="163"/>
      <c r="M21" s="163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9"/>
      <c r="AB21" s="44" t="s">
        <v>451</v>
      </c>
      <c r="AC21" s="373">
        <v>1</v>
      </c>
      <c r="AF21" s="184" t="s">
        <v>26</v>
      </c>
      <c r="AG21" s="185" t="s">
        <v>94</v>
      </c>
      <c r="AH21" s="199">
        <f>AH18-5</f>
        <v>0.5</v>
      </c>
      <c r="AI21" s="376">
        <f t="shared" ref="AI21:AI23" si="2">AH20-AH21</f>
        <v>0.5</v>
      </c>
      <c r="AJ21" s="15">
        <f t="shared" si="0"/>
        <v>12000</v>
      </c>
      <c r="AK21" s="15">
        <f t="shared" si="1"/>
        <v>2930.4029304029305</v>
      </c>
    </row>
    <row r="22" spans="1:37" ht="14.25" customHeight="1">
      <c r="A22" s="162"/>
      <c r="B22" s="162"/>
      <c r="C22" s="162"/>
      <c r="D22" s="162"/>
      <c r="E22" s="162"/>
      <c r="F22" s="163"/>
      <c r="G22" s="163"/>
      <c r="H22" s="163"/>
      <c r="I22" s="163"/>
      <c r="J22" s="163"/>
      <c r="K22" s="163"/>
      <c r="L22" s="163"/>
      <c r="M22" s="163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9"/>
      <c r="AB22" s="44" t="s">
        <v>452</v>
      </c>
      <c r="AC22" s="373">
        <v>1</v>
      </c>
      <c r="AF22" s="184" t="s">
        <v>26</v>
      </c>
      <c r="AG22" s="200"/>
      <c r="AH22" s="199">
        <v>-0.1</v>
      </c>
      <c r="AI22" s="376">
        <f t="shared" si="2"/>
        <v>0.6</v>
      </c>
      <c r="AJ22" s="15">
        <f t="shared" si="0"/>
        <v>12000</v>
      </c>
      <c r="AK22" s="15">
        <f t="shared" si="1"/>
        <v>2930.4029304029305</v>
      </c>
    </row>
    <row r="23" spans="1:37" ht="14.25" customHeight="1">
      <c r="A23" s="162"/>
      <c r="B23" s="164"/>
      <c r="C23" s="162"/>
      <c r="D23" s="162"/>
      <c r="E23" s="162"/>
      <c r="F23" s="163"/>
      <c r="G23" s="163"/>
      <c r="H23" s="163"/>
      <c r="I23" s="163"/>
      <c r="J23" s="163"/>
      <c r="K23" s="163"/>
      <c r="L23" s="163"/>
      <c r="M23" s="163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4"/>
      <c r="Z23" s="164"/>
      <c r="AA23" s="169"/>
      <c r="AB23" s="44" t="s">
        <v>453</v>
      </c>
      <c r="AC23" s="373">
        <v>3.5</v>
      </c>
      <c r="AF23" s="184" t="s">
        <v>26</v>
      </c>
      <c r="AG23" s="200"/>
      <c r="AH23" s="199">
        <v>-0.7</v>
      </c>
      <c r="AI23" s="376">
        <f t="shared" si="2"/>
        <v>0.6</v>
      </c>
      <c r="AJ23" s="15">
        <f t="shared" si="0"/>
        <v>12000</v>
      </c>
      <c r="AK23" s="15">
        <f t="shared" si="1"/>
        <v>2930.4029304029305</v>
      </c>
    </row>
    <row r="24" spans="1:37" ht="14.25" customHeight="1">
      <c r="A24" s="162"/>
      <c r="B24" s="162"/>
      <c r="C24" s="162"/>
      <c r="D24" s="162"/>
      <c r="E24" s="162"/>
      <c r="F24" s="163"/>
      <c r="G24" s="163"/>
      <c r="H24" s="163"/>
      <c r="I24" s="163"/>
      <c r="J24" s="163"/>
      <c r="K24" s="163"/>
      <c r="L24" s="163"/>
      <c r="M24" s="163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44" t="s">
        <v>461</v>
      </c>
      <c r="AC24" s="373" t="s">
        <v>462</v>
      </c>
      <c r="AD24" s="15" t="s">
        <v>463</v>
      </c>
      <c r="AF24" s="184" t="s">
        <v>40</v>
      </c>
      <c r="AG24" s="201" t="s">
        <v>98</v>
      </c>
      <c r="AH24" s="186">
        <f>$M$64</f>
        <v>-6.35</v>
      </c>
      <c r="AI24" s="376">
        <f>AH23-AH24</f>
        <v>5.6499999999999995</v>
      </c>
      <c r="AJ24" s="15">
        <f>IF(AF24="Fill",VLOOKUP(AF24,$C$42:$Z$48,19,0),
    IF(AF24="F1",450*(7.5+($AH$18-AH24)),
         IF(AF24="UMC",1.1*(6+($AH$18-AH24))*300/1.2,
              IF(AF24="LMC",0.9*(16+($AH$18-AH24))*300/1.2,
                   VLOOKUP(AF24,$C$42:$AA$48,12,0)*VLOOKUP(AF24,$C$42:$AA$48,25,0)/1.2)
            )
       )
     )</f>
        <v>4908.7500000000009</v>
      </c>
      <c r="AK24" s="15">
        <f t="shared" si="1"/>
        <v>1198.717948717949</v>
      </c>
    </row>
    <row r="25" spans="1:37" ht="14.25" customHeight="1">
      <c r="A25" s="162"/>
      <c r="B25" s="162"/>
      <c r="C25" s="162"/>
      <c r="D25" s="162"/>
      <c r="E25" s="162"/>
      <c r="F25" s="163"/>
      <c r="G25" s="163"/>
      <c r="H25" s="163"/>
      <c r="I25" s="163"/>
      <c r="J25" s="163"/>
      <c r="K25" s="163"/>
      <c r="L25" s="163"/>
      <c r="M25" s="163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F25" s="184" t="s">
        <v>40</v>
      </c>
      <c r="AG25" s="201"/>
      <c r="AH25" s="186">
        <v>-1.45</v>
      </c>
      <c r="AI25" s="376">
        <f t="shared" ref="AI25:AI26" si="3">AH24-AH25</f>
        <v>-4.8999999999999995</v>
      </c>
      <c r="AJ25" s="15">
        <f t="shared" si="0"/>
        <v>3561.25</v>
      </c>
      <c r="AK25" s="15">
        <f t="shared" si="1"/>
        <v>869.65811965811974</v>
      </c>
    </row>
    <row r="26" spans="1:37" ht="14.25" customHeight="1">
      <c r="A26" s="162"/>
      <c r="B26" s="162"/>
      <c r="C26" s="162"/>
      <c r="D26" s="162"/>
      <c r="E26" s="162"/>
      <c r="F26" s="163"/>
      <c r="G26" s="163"/>
      <c r="H26" s="163"/>
      <c r="I26" s="163"/>
      <c r="J26" s="163"/>
      <c r="K26" s="163"/>
      <c r="L26" s="163"/>
      <c r="M26" s="163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F26" s="184" t="s">
        <v>40</v>
      </c>
      <c r="AG26" s="201"/>
      <c r="AH26" s="186">
        <v>-1.6</v>
      </c>
      <c r="AI26" s="376">
        <f t="shared" si="3"/>
        <v>0.15000000000000013</v>
      </c>
      <c r="AJ26" s="15">
        <f t="shared" si="0"/>
        <v>3602.5</v>
      </c>
      <c r="AK26" s="15">
        <f t="shared" si="1"/>
        <v>879.73137973137977</v>
      </c>
    </row>
    <row r="27" spans="1:37" ht="14.25" customHeight="1">
      <c r="A27" s="162"/>
      <c r="B27" s="162"/>
      <c r="C27" s="162"/>
      <c r="D27" s="162"/>
      <c r="E27" s="162"/>
      <c r="F27" s="163"/>
      <c r="G27" s="163"/>
      <c r="H27" s="163"/>
      <c r="I27" s="163"/>
      <c r="J27" s="163"/>
      <c r="K27" s="163"/>
      <c r="L27" s="163"/>
      <c r="M27" s="163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F27" s="184" t="s">
        <v>40</v>
      </c>
      <c r="AG27" s="206" t="s">
        <v>101</v>
      </c>
      <c r="AH27" s="207">
        <f>$M$60-$U$68</f>
        <v>-6.85</v>
      </c>
      <c r="AI27" s="208">
        <f>AH24-AH27</f>
        <v>0.5</v>
      </c>
      <c r="AJ27" s="15">
        <f t="shared" si="0"/>
        <v>5046.2500000000009</v>
      </c>
      <c r="AK27" s="15">
        <f t="shared" si="1"/>
        <v>1232.2954822954825</v>
      </c>
    </row>
    <row r="28" spans="1:37" ht="14.25" customHeight="1">
      <c r="A28" s="162"/>
      <c r="B28" s="162"/>
      <c r="C28" s="162"/>
      <c r="D28" s="162"/>
      <c r="E28" s="162"/>
      <c r="F28" s="163"/>
      <c r="G28" s="163"/>
      <c r="H28" s="163"/>
      <c r="I28" s="163"/>
      <c r="J28" s="163"/>
      <c r="K28" s="163"/>
      <c r="L28" s="163"/>
      <c r="M28" s="163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F28" s="184" t="s">
        <v>40</v>
      </c>
      <c r="AG28" s="193"/>
      <c r="AH28" s="186">
        <f>AH27-1.05</f>
        <v>-7.8999999999999995</v>
      </c>
      <c r="AI28" s="376">
        <f t="shared" ref="AI28:AI37" si="4">AH27-AH28</f>
        <v>1.0499999999999998</v>
      </c>
      <c r="AJ28" s="15">
        <f t="shared" si="0"/>
        <v>5335</v>
      </c>
      <c r="AK28" s="15">
        <f t="shared" si="1"/>
        <v>1302.8083028083029</v>
      </c>
    </row>
    <row r="29" spans="1:37" ht="14.25" customHeight="1">
      <c r="A29" s="162"/>
      <c r="B29" s="162"/>
      <c r="C29" s="162"/>
      <c r="D29" s="162"/>
      <c r="E29" s="162"/>
      <c r="F29" s="163"/>
      <c r="G29" s="163"/>
      <c r="H29" s="163"/>
      <c r="I29" s="163"/>
      <c r="J29" s="163"/>
      <c r="K29" s="163"/>
      <c r="L29" s="163"/>
      <c r="M29" s="163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F29" s="184" t="s">
        <v>40</v>
      </c>
      <c r="AG29" s="193"/>
      <c r="AH29" s="186">
        <f t="shared" ref="AH29:AH35" si="5">AH28-1.05</f>
        <v>-8.9499999999999993</v>
      </c>
      <c r="AI29" s="376">
        <f t="shared" si="4"/>
        <v>1.0499999999999998</v>
      </c>
      <c r="AJ29" s="15">
        <f t="shared" si="0"/>
        <v>5623.75</v>
      </c>
      <c r="AK29" s="15">
        <f t="shared" si="1"/>
        <v>1373.3211233211234</v>
      </c>
    </row>
    <row r="30" spans="1:37" ht="14.25" customHeight="1">
      <c r="A30" s="162"/>
      <c r="B30" s="162"/>
      <c r="C30" s="162"/>
      <c r="D30" s="162"/>
      <c r="E30" s="162"/>
      <c r="F30" s="165" t="s">
        <v>14</v>
      </c>
      <c r="G30" s="163"/>
      <c r="H30" s="163"/>
      <c r="I30" s="163"/>
      <c r="J30" s="163"/>
      <c r="K30" s="163"/>
      <c r="L30" s="163"/>
      <c r="M30" s="163"/>
      <c r="N30" s="162"/>
      <c r="O30" s="165" t="s">
        <v>454</v>
      </c>
      <c r="P30" s="162"/>
      <c r="Q30" s="162"/>
      <c r="R30" s="162"/>
      <c r="S30" s="162"/>
      <c r="T30" s="162"/>
      <c r="U30" s="162"/>
      <c r="V30" s="162"/>
      <c r="W30" s="162"/>
      <c r="X30" s="165" t="s">
        <v>14</v>
      </c>
      <c r="Y30" s="162"/>
      <c r="Z30" s="162"/>
      <c r="AA30" s="162"/>
      <c r="AF30" s="184" t="s">
        <v>40</v>
      </c>
      <c r="AG30" s="193"/>
      <c r="AH30" s="186">
        <f t="shared" si="5"/>
        <v>-10</v>
      </c>
      <c r="AI30" s="376">
        <f t="shared" si="4"/>
        <v>1.0500000000000007</v>
      </c>
      <c r="AJ30" s="15">
        <f t="shared" si="0"/>
        <v>5912.5000000000009</v>
      </c>
      <c r="AK30" s="15">
        <f t="shared" si="1"/>
        <v>1443.8339438339442</v>
      </c>
    </row>
    <row r="31" spans="1:37" ht="14.25" customHeight="1">
      <c r="A31" s="162"/>
      <c r="B31" s="162"/>
      <c r="C31" s="162"/>
      <c r="D31" s="162"/>
      <c r="E31" s="162"/>
      <c r="F31" s="163"/>
      <c r="G31" s="163"/>
      <c r="H31" s="163"/>
      <c r="I31" s="163"/>
      <c r="J31" s="163"/>
      <c r="K31" s="163"/>
      <c r="L31" s="163"/>
      <c r="M31" s="163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F31" s="184" t="s">
        <v>40</v>
      </c>
      <c r="AG31" s="217"/>
      <c r="AH31" s="186">
        <f t="shared" si="5"/>
        <v>-11.05</v>
      </c>
      <c r="AI31" s="218">
        <f t="shared" si="4"/>
        <v>1.0500000000000007</v>
      </c>
      <c r="AJ31" s="15">
        <f t="shared" si="0"/>
        <v>6201.2500000000009</v>
      </c>
      <c r="AK31" s="15">
        <f t="shared" si="1"/>
        <v>1514.3467643467648</v>
      </c>
    </row>
    <row r="32" spans="1:37" ht="14.25" customHeight="1">
      <c r="A32" s="162"/>
      <c r="B32" s="162"/>
      <c r="C32" s="162"/>
      <c r="D32" s="162"/>
      <c r="E32" s="162"/>
      <c r="F32" s="163"/>
      <c r="G32" s="163"/>
      <c r="H32" s="163"/>
      <c r="I32" s="163"/>
      <c r="J32" s="163"/>
      <c r="K32" s="163"/>
      <c r="L32" s="163"/>
      <c r="M32" s="163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F32" s="184" t="s">
        <v>40</v>
      </c>
      <c r="AG32" s="193"/>
      <c r="AH32" s="186">
        <f t="shared" si="5"/>
        <v>-12.100000000000001</v>
      </c>
      <c r="AI32" s="376">
        <f t="shared" si="4"/>
        <v>1.0500000000000007</v>
      </c>
      <c r="AJ32" s="15">
        <f t="shared" si="0"/>
        <v>6490.0000000000009</v>
      </c>
      <c r="AK32" s="15">
        <f t="shared" si="1"/>
        <v>1584.8595848595851</v>
      </c>
    </row>
    <row r="33" spans="1:37" ht="14.25" customHeight="1">
      <c r="A33" s="162"/>
      <c r="B33" s="162"/>
      <c r="C33" s="162"/>
      <c r="D33" s="162"/>
      <c r="E33" s="162"/>
      <c r="F33" s="163"/>
      <c r="G33" s="163"/>
      <c r="H33" s="163"/>
      <c r="I33" s="163"/>
      <c r="J33" s="163"/>
      <c r="K33" s="163"/>
      <c r="L33" s="163"/>
      <c r="M33" s="163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F33" s="184" t="s">
        <v>40</v>
      </c>
      <c r="AG33" s="193"/>
      <c r="AH33" s="186">
        <f t="shared" si="5"/>
        <v>-13.150000000000002</v>
      </c>
      <c r="AI33" s="376">
        <f t="shared" si="4"/>
        <v>1.0500000000000007</v>
      </c>
      <c r="AJ33" s="15">
        <f t="shared" si="0"/>
        <v>6778.7500000000018</v>
      </c>
      <c r="AK33" s="15">
        <f t="shared" si="1"/>
        <v>1655.3724053724059</v>
      </c>
    </row>
    <row r="34" spans="1:37" ht="14.25" customHeight="1">
      <c r="A34" s="162"/>
      <c r="B34" s="162"/>
      <c r="C34" s="162"/>
      <c r="D34" s="162"/>
      <c r="E34" s="162"/>
      <c r="F34" s="163"/>
      <c r="G34" s="163"/>
      <c r="H34" s="163"/>
      <c r="I34" s="163"/>
      <c r="J34" s="163"/>
      <c r="K34" s="163"/>
      <c r="L34" s="163"/>
      <c r="M34" s="163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F34" s="184" t="s">
        <v>40</v>
      </c>
      <c r="AG34" s="193"/>
      <c r="AH34" s="186">
        <f t="shared" si="5"/>
        <v>-14.200000000000003</v>
      </c>
      <c r="AI34" s="376">
        <f t="shared" si="4"/>
        <v>1.0500000000000007</v>
      </c>
      <c r="AJ34" s="15">
        <f t="shared" si="0"/>
        <v>7067.5000000000018</v>
      </c>
      <c r="AK34" s="15">
        <f t="shared" si="1"/>
        <v>1725.8852258852264</v>
      </c>
    </row>
    <row r="35" spans="1:37" ht="14.25" customHeight="1">
      <c r="A35" s="162"/>
      <c r="B35" s="162"/>
      <c r="C35" s="162"/>
      <c r="D35" s="162"/>
      <c r="E35" s="162"/>
      <c r="F35" s="163"/>
      <c r="G35" s="163"/>
      <c r="H35" s="163"/>
      <c r="I35" s="163"/>
      <c r="J35" s="163"/>
      <c r="K35" s="163"/>
      <c r="L35" s="163"/>
      <c r="M35" s="163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F35" s="184" t="s">
        <v>40</v>
      </c>
      <c r="AG35" s="193"/>
      <c r="AH35" s="186">
        <f t="shared" si="5"/>
        <v>-15.250000000000004</v>
      </c>
      <c r="AI35" s="376">
        <f t="shared" si="4"/>
        <v>1.0500000000000007</v>
      </c>
      <c r="AJ35" s="15">
        <f t="shared" si="0"/>
        <v>7356.2500000000018</v>
      </c>
      <c r="AK35" s="15">
        <f t="shared" si="1"/>
        <v>1796.398046398047</v>
      </c>
    </row>
    <row r="36" spans="1:37" ht="14.25" customHeight="1">
      <c r="A36" s="162"/>
      <c r="B36" s="162"/>
      <c r="C36" s="162"/>
      <c r="D36" s="162"/>
      <c r="E36" s="162"/>
      <c r="F36" s="163"/>
      <c r="G36" s="163"/>
      <c r="H36" s="163"/>
      <c r="I36" s="163"/>
      <c r="J36" s="163"/>
      <c r="K36" s="163"/>
      <c r="L36" s="163"/>
      <c r="M36" s="163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F36" s="184" t="s">
        <v>40</v>
      </c>
      <c r="AG36" s="201" t="s">
        <v>111</v>
      </c>
      <c r="AH36" s="186">
        <f>$AD$67-$U$69</f>
        <v>-11.35</v>
      </c>
      <c r="AI36" s="376">
        <f t="shared" si="4"/>
        <v>-3.9000000000000039</v>
      </c>
      <c r="AJ36" s="15">
        <f t="shared" si="0"/>
        <v>6283.7500000000018</v>
      </c>
      <c r="AK36" s="15">
        <f t="shared" si="1"/>
        <v>1534.493284493285</v>
      </c>
    </row>
    <row r="37" spans="1:37" ht="14.25" customHeight="1">
      <c r="A37" s="162"/>
      <c r="B37" s="162"/>
      <c r="C37" s="162"/>
      <c r="D37" s="162"/>
      <c r="E37" s="162"/>
      <c r="F37" s="163"/>
      <c r="G37" s="163"/>
      <c r="H37" s="163"/>
      <c r="I37" s="163"/>
      <c r="J37" s="163"/>
      <c r="K37" s="163"/>
      <c r="L37" s="163"/>
      <c r="M37" s="163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F37" s="184" t="s">
        <v>40</v>
      </c>
      <c r="AG37" s="224" t="s">
        <v>112</v>
      </c>
      <c r="AH37" s="225">
        <f>$M$65-$M$74/1000</f>
        <v>-11.85</v>
      </c>
      <c r="AI37" s="377">
        <f t="shared" si="4"/>
        <v>0.5</v>
      </c>
      <c r="AJ37" s="15">
        <f t="shared" si="0"/>
        <v>6421.2500000000009</v>
      </c>
      <c r="AK37" s="15">
        <f t="shared" si="1"/>
        <v>1568.0708180708184</v>
      </c>
    </row>
    <row r="38" spans="1:37" ht="14.25" customHeight="1">
      <c r="A38" s="162"/>
      <c r="B38" s="162"/>
      <c r="C38" s="162"/>
      <c r="D38" s="162"/>
      <c r="E38" s="162"/>
      <c r="F38" s="163"/>
      <c r="G38" s="163"/>
      <c r="H38" s="163"/>
      <c r="I38" s="163"/>
      <c r="J38" s="163"/>
      <c r="K38" s="163"/>
      <c r="L38" s="163"/>
      <c r="M38" s="163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H38" s="15"/>
      <c r="AI38" s="15"/>
    </row>
    <row r="39" spans="1:37" ht="14.25" customHeight="1" thickBot="1">
      <c r="A39" s="166"/>
      <c r="B39" s="162"/>
      <c r="C39" s="167" t="s">
        <v>15</v>
      </c>
      <c r="D39" s="167"/>
      <c r="E39" s="167"/>
      <c r="F39" s="168"/>
      <c r="G39" s="168"/>
      <c r="H39" s="168"/>
      <c r="I39" s="168"/>
      <c r="J39" s="168"/>
      <c r="K39" s="168"/>
      <c r="L39" s="168"/>
      <c r="M39" s="168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  <c r="Z39" s="162"/>
      <c r="AA39" s="162"/>
      <c r="AH39" s="15"/>
      <c r="AI39" s="15"/>
    </row>
    <row r="40" spans="1:37" ht="14.25" customHeight="1">
      <c r="A40" s="166"/>
      <c r="B40" s="169"/>
      <c r="C40" s="420"/>
      <c r="D40" s="421"/>
      <c r="E40" s="422"/>
      <c r="F40" s="426" t="s">
        <v>16</v>
      </c>
      <c r="G40" s="427"/>
      <c r="H40" s="428" t="s">
        <v>17</v>
      </c>
      <c r="I40" s="428"/>
      <c r="J40" s="430" t="s">
        <v>18</v>
      </c>
      <c r="K40" s="431"/>
      <c r="L40" s="434" t="s">
        <v>19</v>
      </c>
      <c r="M40" s="435"/>
      <c r="N40" s="438" t="s">
        <v>20</v>
      </c>
      <c r="O40" s="439"/>
      <c r="P40" s="439"/>
      <c r="Q40" s="440"/>
      <c r="R40" s="438" t="s">
        <v>21</v>
      </c>
      <c r="S40" s="439"/>
      <c r="T40" s="440"/>
      <c r="U40" s="438" t="s">
        <v>22</v>
      </c>
      <c r="V40" s="439"/>
      <c r="W40" s="439"/>
      <c r="X40" s="440"/>
      <c r="Y40" s="441" t="s">
        <v>23</v>
      </c>
      <c r="Z40" s="442"/>
      <c r="AA40" s="170" t="s">
        <v>464</v>
      </c>
      <c r="AH40" s="15"/>
      <c r="AI40" s="15"/>
    </row>
    <row r="41" spans="1:37" ht="14.25" customHeight="1">
      <c r="A41" s="162"/>
      <c r="B41" s="169"/>
      <c r="C41" s="423"/>
      <c r="D41" s="424"/>
      <c r="E41" s="425"/>
      <c r="F41" s="171" t="s">
        <v>24</v>
      </c>
      <c r="G41" s="172"/>
      <c r="H41" s="429"/>
      <c r="I41" s="429"/>
      <c r="J41" s="432"/>
      <c r="K41" s="433"/>
      <c r="L41" s="436"/>
      <c r="M41" s="437"/>
      <c r="N41" s="445" t="s">
        <v>25</v>
      </c>
      <c r="O41" s="446"/>
      <c r="P41" s="446"/>
      <c r="Q41" s="447"/>
      <c r="R41" s="445" t="s">
        <v>25</v>
      </c>
      <c r="S41" s="446"/>
      <c r="T41" s="447"/>
      <c r="U41" s="445" t="s">
        <v>25</v>
      </c>
      <c r="V41" s="446"/>
      <c r="W41" s="446"/>
      <c r="X41" s="447"/>
      <c r="Y41" s="443"/>
      <c r="Z41" s="444"/>
      <c r="AA41" s="170"/>
    </row>
    <row r="42" spans="1:37" ht="14.25" customHeight="1">
      <c r="A42" s="162"/>
      <c r="B42" s="169"/>
      <c r="C42" s="448" t="s">
        <v>26</v>
      </c>
      <c r="D42" s="449"/>
      <c r="E42" s="449"/>
      <c r="F42" s="450">
        <v>20</v>
      </c>
      <c r="G42" s="450"/>
      <c r="H42" s="450">
        <v>0.65</v>
      </c>
      <c r="I42" s="450"/>
      <c r="J42" s="450">
        <f>(1-(SIN(RADIANS(L42))))/(1+(SIN(RADIANS(L42))))</f>
        <v>0.30725852452246849</v>
      </c>
      <c r="K42" s="450"/>
      <c r="L42" s="450">
        <v>32</v>
      </c>
      <c r="M42" s="450"/>
      <c r="N42" s="451" t="s">
        <v>27</v>
      </c>
      <c r="O42" s="452"/>
      <c r="P42" s="452"/>
      <c r="Q42" s="453"/>
      <c r="R42" s="451" t="s">
        <v>27</v>
      </c>
      <c r="S42" s="452"/>
      <c r="T42" s="453"/>
      <c r="U42" s="451">
        <v>12000</v>
      </c>
      <c r="V42" s="452"/>
      <c r="W42" s="452"/>
      <c r="X42" s="453"/>
      <c r="Y42" s="454">
        <v>0.3</v>
      </c>
      <c r="Z42" s="455"/>
      <c r="AA42" s="170"/>
    </row>
    <row r="43" spans="1:37" ht="14.25" customHeight="1">
      <c r="A43" s="162"/>
      <c r="B43" s="169"/>
      <c r="C43" s="448" t="s">
        <v>28</v>
      </c>
      <c r="D43" s="449"/>
      <c r="E43" s="449"/>
      <c r="F43" s="450">
        <v>20</v>
      </c>
      <c r="G43" s="450"/>
      <c r="H43" s="450">
        <v>0.5</v>
      </c>
      <c r="I43" s="450"/>
      <c r="J43" s="450">
        <f t="shared" ref="J43:J48" si="6">(1-(SIN(RADIANS(L43))))/(1+(SIN(RADIANS(L43))))</f>
        <v>0.33333333333333331</v>
      </c>
      <c r="K43" s="450"/>
      <c r="L43" s="450">
        <v>30</v>
      </c>
      <c r="M43" s="450"/>
      <c r="N43" s="451" t="s">
        <v>27</v>
      </c>
      <c r="O43" s="452"/>
      <c r="P43" s="452"/>
      <c r="Q43" s="453"/>
      <c r="R43" s="456" t="s">
        <v>27</v>
      </c>
      <c r="S43" s="457"/>
      <c r="T43" s="458"/>
      <c r="U43" s="451" t="s">
        <v>29</v>
      </c>
      <c r="V43" s="452"/>
      <c r="W43" s="452"/>
      <c r="X43" s="453"/>
      <c r="Y43" s="454">
        <v>0.3</v>
      </c>
      <c r="Z43" s="455"/>
      <c r="AA43" s="170"/>
      <c r="AB43" s="175" t="s">
        <v>30</v>
      </c>
      <c r="AE43" s="174"/>
    </row>
    <row r="44" spans="1:37" ht="14.25" customHeight="1">
      <c r="A44" s="162"/>
      <c r="B44" s="169"/>
      <c r="C44" s="448" t="s">
        <v>31</v>
      </c>
      <c r="D44" s="449"/>
      <c r="E44" s="449"/>
      <c r="F44" s="450">
        <v>19</v>
      </c>
      <c r="G44" s="450"/>
      <c r="H44" s="450">
        <v>1</v>
      </c>
      <c r="I44" s="450"/>
      <c r="J44" s="450">
        <f t="shared" si="6"/>
        <v>0.42173022210258343</v>
      </c>
      <c r="K44" s="450"/>
      <c r="L44" s="450">
        <v>24</v>
      </c>
      <c r="M44" s="450"/>
      <c r="N44" s="451">
        <v>45</v>
      </c>
      <c r="O44" s="452"/>
      <c r="P44" s="452"/>
      <c r="Q44" s="453"/>
      <c r="R44" s="456" t="s">
        <v>32</v>
      </c>
      <c r="S44" s="457"/>
      <c r="T44" s="458"/>
      <c r="U44" s="451" t="s">
        <v>33</v>
      </c>
      <c r="V44" s="452"/>
      <c r="W44" s="452"/>
      <c r="X44" s="453"/>
      <c r="Y44" s="454">
        <v>0.3</v>
      </c>
      <c r="Z44" s="455"/>
      <c r="AA44" s="170">
        <v>300</v>
      </c>
      <c r="AB44" s="15" t="s">
        <v>34</v>
      </c>
      <c r="AC44" s="15" t="s">
        <v>35</v>
      </c>
      <c r="AD44" s="177">
        <v>47.5</v>
      </c>
      <c r="AE44" s="174"/>
    </row>
    <row r="45" spans="1:37" ht="14.25" customHeight="1">
      <c r="A45" s="162"/>
      <c r="B45" s="169"/>
      <c r="C45" s="448" t="s">
        <v>36</v>
      </c>
      <c r="D45" s="449"/>
      <c r="E45" s="449"/>
      <c r="F45" s="450">
        <v>17.5</v>
      </c>
      <c r="G45" s="450"/>
      <c r="H45" s="450">
        <v>1</v>
      </c>
      <c r="I45" s="450"/>
      <c r="J45" s="450">
        <f t="shared" si="6"/>
        <v>0.45496173929297024</v>
      </c>
      <c r="K45" s="450"/>
      <c r="L45" s="450">
        <v>22</v>
      </c>
      <c r="M45" s="450"/>
      <c r="N45" s="451">
        <v>20</v>
      </c>
      <c r="O45" s="452"/>
      <c r="P45" s="452"/>
      <c r="Q45" s="453"/>
      <c r="R45" s="456" t="s">
        <v>37</v>
      </c>
      <c r="S45" s="457"/>
      <c r="T45" s="458"/>
      <c r="U45" s="451" t="s">
        <v>33</v>
      </c>
      <c r="V45" s="452"/>
      <c r="W45" s="452"/>
      <c r="X45" s="453"/>
      <c r="Y45" s="454">
        <v>0.3</v>
      </c>
      <c r="Z45" s="455"/>
      <c r="AA45" s="170">
        <v>250</v>
      </c>
      <c r="AB45" s="15" t="s">
        <v>38</v>
      </c>
      <c r="AC45" s="15" t="s">
        <v>39</v>
      </c>
      <c r="AD45" s="176">
        <v>7.5</v>
      </c>
      <c r="AE45" s="174"/>
    </row>
    <row r="46" spans="1:37" ht="14.25" customHeight="1">
      <c r="A46" s="162"/>
      <c r="B46" s="169"/>
      <c r="C46" s="448" t="s">
        <v>40</v>
      </c>
      <c r="D46" s="449"/>
      <c r="E46" s="449"/>
      <c r="F46" s="450">
        <v>17</v>
      </c>
      <c r="G46" s="450"/>
      <c r="H46" s="450">
        <v>1</v>
      </c>
      <c r="I46" s="450"/>
      <c r="J46" s="450">
        <f t="shared" si="6"/>
        <v>0.45496173929297024</v>
      </c>
      <c r="K46" s="450"/>
      <c r="L46" s="450">
        <v>22</v>
      </c>
      <c r="M46" s="450"/>
      <c r="N46" s="451" t="s">
        <v>41</v>
      </c>
      <c r="O46" s="452"/>
      <c r="P46" s="452"/>
      <c r="Q46" s="453"/>
      <c r="R46" s="456" t="s">
        <v>32</v>
      </c>
      <c r="S46" s="457"/>
      <c r="T46" s="458"/>
      <c r="U46" s="451" t="s">
        <v>33</v>
      </c>
      <c r="V46" s="452"/>
      <c r="W46" s="452"/>
      <c r="X46" s="453"/>
      <c r="Y46" s="454">
        <v>0.3</v>
      </c>
      <c r="Z46" s="455"/>
      <c r="AA46" s="170">
        <v>300</v>
      </c>
      <c r="AB46" s="15" t="s">
        <v>42</v>
      </c>
      <c r="AC46" s="15" t="s">
        <v>43</v>
      </c>
      <c r="AD46" s="176">
        <v>20</v>
      </c>
      <c r="AE46" s="174"/>
    </row>
    <row r="47" spans="1:37" ht="14.25" customHeight="1">
      <c r="A47" s="162"/>
      <c r="B47" s="162"/>
      <c r="C47" s="448" t="s">
        <v>44</v>
      </c>
      <c r="D47" s="449"/>
      <c r="E47" s="449"/>
      <c r="F47" s="450">
        <v>17</v>
      </c>
      <c r="G47" s="450"/>
      <c r="H47" s="450">
        <v>1</v>
      </c>
      <c r="I47" s="450"/>
      <c r="J47" s="450">
        <f t="shared" si="6"/>
        <v>0.45496173929297024</v>
      </c>
      <c r="K47" s="450"/>
      <c r="L47" s="450">
        <v>22</v>
      </c>
      <c r="M47" s="450"/>
      <c r="N47" s="451" t="s">
        <v>45</v>
      </c>
      <c r="O47" s="452"/>
      <c r="P47" s="452"/>
      <c r="Q47" s="453"/>
      <c r="R47" s="456" t="s">
        <v>32</v>
      </c>
      <c r="S47" s="457"/>
      <c r="T47" s="458"/>
      <c r="U47" s="451" t="s">
        <v>33</v>
      </c>
      <c r="V47" s="452"/>
      <c r="W47" s="452"/>
      <c r="X47" s="453"/>
      <c r="Y47" s="454">
        <v>0.3</v>
      </c>
      <c r="Z47" s="455"/>
      <c r="AA47" s="170">
        <v>300</v>
      </c>
      <c r="AB47" s="15" t="s">
        <v>46</v>
      </c>
      <c r="AC47" s="15" t="s">
        <v>47</v>
      </c>
      <c r="AD47" s="176">
        <v>4</v>
      </c>
      <c r="AE47" s="174"/>
    </row>
    <row r="48" spans="1:37" ht="14.25" customHeight="1">
      <c r="A48" s="162"/>
      <c r="B48" s="162"/>
      <c r="C48" s="448" t="s">
        <v>48</v>
      </c>
      <c r="D48" s="449"/>
      <c r="E48" s="449"/>
      <c r="F48" s="450">
        <v>20</v>
      </c>
      <c r="G48" s="450"/>
      <c r="H48" s="450">
        <v>0.8</v>
      </c>
      <c r="I48" s="450"/>
      <c r="J48" s="450">
        <f t="shared" si="6"/>
        <v>0.33333333333333331</v>
      </c>
      <c r="K48" s="450"/>
      <c r="L48" s="450">
        <v>30</v>
      </c>
      <c r="M48" s="450"/>
      <c r="N48" s="451">
        <v>40</v>
      </c>
      <c r="O48" s="452"/>
      <c r="P48" s="452"/>
      <c r="Q48" s="453"/>
      <c r="R48" s="456" t="s">
        <v>49</v>
      </c>
      <c r="S48" s="457"/>
      <c r="T48" s="458"/>
      <c r="U48" s="451" t="s">
        <v>33</v>
      </c>
      <c r="V48" s="452"/>
      <c r="W48" s="452"/>
      <c r="X48" s="453"/>
      <c r="Y48" s="454">
        <v>0.3</v>
      </c>
      <c r="Z48" s="455"/>
      <c r="AA48" s="170">
        <v>3000</v>
      </c>
      <c r="AB48" s="169"/>
      <c r="AC48" s="173"/>
      <c r="AD48" s="174"/>
      <c r="AE48" s="174"/>
    </row>
    <row r="49" spans="1:62" ht="14.25" customHeight="1">
      <c r="A49" s="162"/>
      <c r="B49" s="162"/>
      <c r="C49" s="448"/>
      <c r="D49" s="449"/>
      <c r="E49" s="449"/>
      <c r="F49" s="450"/>
      <c r="G49" s="450"/>
      <c r="H49" s="450"/>
      <c r="I49" s="450"/>
      <c r="J49" s="450"/>
      <c r="K49" s="450"/>
      <c r="L49" s="450"/>
      <c r="M49" s="450"/>
      <c r="N49" s="451"/>
      <c r="O49" s="452"/>
      <c r="P49" s="452"/>
      <c r="Q49" s="453"/>
      <c r="R49" s="456"/>
      <c r="S49" s="457"/>
      <c r="T49" s="458"/>
      <c r="U49" s="451"/>
      <c r="V49" s="452"/>
      <c r="W49" s="452"/>
      <c r="X49" s="453"/>
      <c r="Y49" s="454"/>
      <c r="Z49" s="455"/>
      <c r="AA49" s="170"/>
    </row>
    <row r="50" spans="1:62" ht="14.25" customHeight="1">
      <c r="A50" s="162"/>
      <c r="B50" s="162"/>
      <c r="C50" s="448"/>
      <c r="D50" s="449"/>
      <c r="E50" s="449"/>
      <c r="F50" s="450"/>
      <c r="G50" s="450"/>
      <c r="H50" s="450"/>
      <c r="I50" s="450"/>
      <c r="J50" s="450"/>
      <c r="K50" s="450"/>
      <c r="L50" s="450"/>
      <c r="M50" s="450"/>
      <c r="N50" s="451"/>
      <c r="O50" s="452"/>
      <c r="P50" s="452"/>
      <c r="Q50" s="453"/>
      <c r="R50" s="456"/>
      <c r="S50" s="457"/>
      <c r="T50" s="458"/>
      <c r="U50" s="451"/>
      <c r="V50" s="452"/>
      <c r="W50" s="452"/>
      <c r="X50" s="453"/>
      <c r="Y50" s="454"/>
      <c r="Z50" s="455"/>
      <c r="AA50" s="170"/>
    </row>
    <row r="51" spans="1:62" ht="14.25" customHeight="1" thickBot="1">
      <c r="A51" s="162"/>
      <c r="B51" s="162"/>
      <c r="C51" s="470"/>
      <c r="D51" s="471"/>
      <c r="E51" s="471"/>
      <c r="F51" s="472"/>
      <c r="G51" s="472"/>
      <c r="H51" s="472"/>
      <c r="I51" s="472"/>
      <c r="J51" s="472"/>
      <c r="K51" s="472"/>
      <c r="L51" s="472"/>
      <c r="M51" s="472"/>
      <c r="N51" s="473"/>
      <c r="O51" s="474"/>
      <c r="P51" s="474"/>
      <c r="Q51" s="475"/>
      <c r="R51" s="476"/>
      <c r="S51" s="477"/>
      <c r="T51" s="478"/>
      <c r="U51" s="473"/>
      <c r="V51" s="474"/>
      <c r="W51" s="474"/>
      <c r="X51" s="475"/>
      <c r="Y51" s="468"/>
      <c r="Z51" s="469"/>
      <c r="AA51" s="170"/>
    </row>
    <row r="52" spans="1:62" ht="14.25" customHeight="1">
      <c r="A52" s="162"/>
      <c r="B52" s="162"/>
      <c r="C52" s="178"/>
      <c r="D52" s="178"/>
      <c r="E52" s="178"/>
      <c r="F52" s="179"/>
      <c r="G52" s="179"/>
      <c r="H52" s="179"/>
      <c r="I52" s="179"/>
      <c r="J52" s="179"/>
      <c r="K52" s="179"/>
      <c r="L52" s="179"/>
      <c r="M52" s="179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62"/>
    </row>
    <row r="53" spans="1:62" ht="14.25" customHeight="1">
      <c r="A53" s="393" t="s">
        <v>0</v>
      </c>
      <c r="B53" s="394"/>
      <c r="C53" s="395"/>
      <c r="D53" s="412" t="str">
        <f>$D$1</f>
        <v xml:space="preserve">Megaspine </v>
      </c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3"/>
      <c r="P53" s="413"/>
      <c r="Q53" s="414"/>
      <c r="R53" s="389" t="s">
        <v>2</v>
      </c>
      <c r="S53" s="389"/>
      <c r="T53" s="389"/>
      <c r="U53" s="390">
        <f>$U$1</f>
        <v>0</v>
      </c>
      <c r="V53" s="391"/>
      <c r="W53" s="391"/>
      <c r="X53" s="392"/>
      <c r="Y53" s="380"/>
      <c r="Z53" s="381"/>
      <c r="AA53" s="382"/>
      <c r="AC53" s="180" t="s">
        <v>50</v>
      </c>
    </row>
    <row r="54" spans="1:62" ht="14.25" customHeight="1">
      <c r="A54" s="399"/>
      <c r="B54" s="400"/>
      <c r="C54" s="401"/>
      <c r="D54" s="415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7"/>
      <c r="R54" s="389" t="s">
        <v>3</v>
      </c>
      <c r="S54" s="389"/>
      <c r="T54" s="389"/>
      <c r="U54" s="390" t="str">
        <f>$U$2</f>
        <v>PSM</v>
      </c>
      <c r="V54" s="391"/>
      <c r="W54" s="391"/>
      <c r="X54" s="392"/>
      <c r="Y54" s="383"/>
      <c r="Z54" s="384"/>
      <c r="AA54" s="385"/>
      <c r="AV54" s="181" t="s">
        <v>51</v>
      </c>
      <c r="AX54" s="182" t="s">
        <v>51</v>
      </c>
      <c r="AY54" s="181" t="s">
        <v>52</v>
      </c>
      <c r="BA54" s="182" t="s">
        <v>52</v>
      </c>
      <c r="BB54" s="181" t="s">
        <v>52</v>
      </c>
    </row>
    <row r="55" spans="1:62" ht="14.25" customHeight="1">
      <c r="A55" s="393" t="s">
        <v>5</v>
      </c>
      <c r="B55" s="394"/>
      <c r="C55" s="395"/>
      <c r="D55" s="380" t="str">
        <f>$D$3</f>
        <v>North of ATB (CST) - Section Test</v>
      </c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2"/>
      <c r="R55" s="389" t="s">
        <v>6</v>
      </c>
      <c r="S55" s="389"/>
      <c r="T55" s="389"/>
      <c r="U55" s="390" t="str">
        <f>$U$3</f>
        <v>JRS</v>
      </c>
      <c r="V55" s="391"/>
      <c r="W55" s="391"/>
      <c r="X55" s="392"/>
      <c r="Y55" s="383"/>
      <c r="Z55" s="384"/>
      <c r="AA55" s="385"/>
      <c r="AC55" s="459" t="s">
        <v>53</v>
      </c>
      <c r="AD55" s="461" t="s">
        <v>54</v>
      </c>
      <c r="AE55" s="463" t="s">
        <v>55</v>
      </c>
      <c r="AF55" s="465" t="s">
        <v>56</v>
      </c>
      <c r="AG55" s="465" t="s">
        <v>57</v>
      </c>
      <c r="AH55" s="485" t="s">
        <v>58</v>
      </c>
      <c r="AI55" s="485" t="s">
        <v>59</v>
      </c>
      <c r="AJ55" s="481" t="s">
        <v>60</v>
      </c>
      <c r="AK55" s="483" t="s">
        <v>61</v>
      </c>
      <c r="AL55" s="487" t="s">
        <v>62</v>
      </c>
      <c r="AM55" s="481" t="s">
        <v>63</v>
      </c>
      <c r="AN55" s="483" t="s">
        <v>64</v>
      </c>
      <c r="AO55" s="479" t="s">
        <v>65</v>
      </c>
      <c r="AP55" s="481" t="s">
        <v>66</v>
      </c>
      <c r="AQ55" s="483" t="s">
        <v>64</v>
      </c>
      <c r="AR55" s="481" t="s">
        <v>67</v>
      </c>
      <c r="AS55" s="481" t="s">
        <v>68</v>
      </c>
      <c r="AT55" s="483" t="s">
        <v>69</v>
      </c>
      <c r="AU55" s="479" t="s">
        <v>67</v>
      </c>
      <c r="AV55" s="481" t="s">
        <v>70</v>
      </c>
      <c r="AW55" s="483" t="s">
        <v>71</v>
      </c>
      <c r="AX55" s="479" t="s">
        <v>72</v>
      </c>
      <c r="AY55" s="481" t="s">
        <v>73</v>
      </c>
      <c r="AZ55" s="483" t="s">
        <v>74</v>
      </c>
      <c r="BA55" s="479" t="s">
        <v>75</v>
      </c>
      <c r="BB55" s="481" t="s">
        <v>76</v>
      </c>
      <c r="BC55" s="481" t="s">
        <v>77</v>
      </c>
      <c r="BD55" s="481" t="s">
        <v>78</v>
      </c>
      <c r="BE55" s="481" t="s">
        <v>79</v>
      </c>
      <c r="BF55" s="481" t="s">
        <v>80</v>
      </c>
      <c r="BG55" s="481" t="s">
        <v>81</v>
      </c>
      <c r="BH55" s="481" t="s">
        <v>82</v>
      </c>
      <c r="BI55" s="481" t="s">
        <v>83</v>
      </c>
      <c r="BJ55" s="481" t="s">
        <v>455</v>
      </c>
    </row>
    <row r="56" spans="1:62" ht="14.25" customHeight="1">
      <c r="A56" s="396"/>
      <c r="B56" s="397"/>
      <c r="C56" s="398"/>
      <c r="D56" s="489" t="str">
        <f>$D$4</f>
        <v xml:space="preserve">Load Calculation </v>
      </c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1"/>
      <c r="R56" s="389" t="s">
        <v>9</v>
      </c>
      <c r="S56" s="389"/>
      <c r="T56" s="389"/>
      <c r="U56" s="390" t="str">
        <f>$U$4</f>
        <v>MYPQ</v>
      </c>
      <c r="V56" s="391"/>
      <c r="W56" s="391"/>
      <c r="X56" s="392"/>
      <c r="Y56" s="386"/>
      <c r="Z56" s="387"/>
      <c r="AA56" s="388"/>
      <c r="AC56" s="459"/>
      <c r="AD56" s="461"/>
      <c r="AE56" s="463"/>
      <c r="AF56" s="466"/>
      <c r="AG56" s="466"/>
      <c r="AH56" s="485"/>
      <c r="AI56" s="485"/>
      <c r="AJ56" s="481"/>
      <c r="AK56" s="483"/>
      <c r="AL56" s="487"/>
      <c r="AM56" s="481"/>
      <c r="AN56" s="483"/>
      <c r="AO56" s="479"/>
      <c r="AP56" s="481"/>
      <c r="AQ56" s="483"/>
      <c r="AR56" s="481"/>
      <c r="AS56" s="481"/>
      <c r="AT56" s="483"/>
      <c r="AU56" s="479"/>
      <c r="AV56" s="481"/>
      <c r="AW56" s="483"/>
      <c r="AX56" s="479"/>
      <c r="AY56" s="481"/>
      <c r="AZ56" s="483"/>
      <c r="BA56" s="479"/>
      <c r="BB56" s="481"/>
      <c r="BC56" s="481"/>
      <c r="BD56" s="481"/>
      <c r="BE56" s="481"/>
      <c r="BF56" s="481"/>
      <c r="BG56" s="481"/>
      <c r="BH56" s="481"/>
      <c r="BI56" s="481"/>
      <c r="BJ56" s="481"/>
    </row>
    <row r="57" spans="1:62" ht="14.25" customHeight="1">
      <c r="A57" s="399"/>
      <c r="B57" s="400"/>
      <c r="C57" s="401"/>
      <c r="D57" s="415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7"/>
      <c r="R57" s="389" t="s">
        <v>11</v>
      </c>
      <c r="S57" s="389"/>
      <c r="T57" s="389"/>
      <c r="U57" s="411">
        <f ca="1">$U$5</f>
        <v>45183</v>
      </c>
      <c r="V57" s="492"/>
      <c r="W57" s="492"/>
      <c r="X57" s="493"/>
      <c r="Y57" s="418" t="s">
        <v>12</v>
      </c>
      <c r="Z57" s="419"/>
      <c r="AA57" s="183" t="str">
        <f>2&amp;"/"&amp;AB5</f>
        <v>2/14</v>
      </c>
      <c r="AB57" s="184" t="s">
        <v>84</v>
      </c>
      <c r="AC57" s="460"/>
      <c r="AD57" s="462"/>
      <c r="AE57" s="464"/>
      <c r="AF57" s="467"/>
      <c r="AG57" s="467"/>
      <c r="AH57" s="486"/>
      <c r="AI57" s="486"/>
      <c r="AJ57" s="482"/>
      <c r="AK57" s="484"/>
      <c r="AL57" s="488"/>
      <c r="AM57" s="482"/>
      <c r="AN57" s="484"/>
      <c r="AO57" s="480"/>
      <c r="AP57" s="482"/>
      <c r="AQ57" s="484"/>
      <c r="AR57" s="482"/>
      <c r="AS57" s="482"/>
      <c r="AT57" s="484"/>
      <c r="AU57" s="480"/>
      <c r="AV57" s="482"/>
      <c r="AW57" s="484"/>
      <c r="AX57" s="480"/>
      <c r="AY57" s="482"/>
      <c r="AZ57" s="484"/>
      <c r="BA57" s="480"/>
      <c r="BB57" s="482"/>
      <c r="BC57" s="482"/>
      <c r="BD57" s="482"/>
      <c r="BE57" s="482"/>
      <c r="BF57" s="482"/>
      <c r="BG57" s="482"/>
      <c r="BH57" s="482"/>
      <c r="BI57" s="482"/>
      <c r="BJ57" s="482"/>
    </row>
    <row r="58" spans="1:62" ht="14.25" customHeight="1">
      <c r="A58" s="178"/>
      <c r="B58" s="178"/>
      <c r="C58" s="178"/>
      <c r="D58" s="178"/>
      <c r="E58" s="178"/>
      <c r="F58" s="179"/>
      <c r="G58" s="179"/>
      <c r="H58" s="179"/>
      <c r="I58" s="179"/>
      <c r="J58" s="179"/>
      <c r="K58" s="179"/>
      <c r="L58" s="179"/>
      <c r="M58" s="179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84" t="s">
        <v>26</v>
      </c>
      <c r="AC58" s="185" t="s">
        <v>85</v>
      </c>
      <c r="AD58" s="186">
        <f>$M$60</f>
        <v>5.5</v>
      </c>
      <c r="AE58" s="187" t="s">
        <v>86</v>
      </c>
      <c r="AF58" s="187" t="s">
        <v>86</v>
      </c>
      <c r="AG58" s="187" t="s">
        <v>86</v>
      </c>
      <c r="AH58" s="188" t="s">
        <v>86</v>
      </c>
      <c r="AI58" s="188" t="s">
        <v>86</v>
      </c>
      <c r="AL58" s="189"/>
    </row>
    <row r="59" spans="1:62" ht="14.25" customHeight="1">
      <c r="A59" s="162"/>
      <c r="B59" s="190" t="s">
        <v>87</v>
      </c>
      <c r="C59" s="191"/>
      <c r="D59" s="191"/>
      <c r="E59" s="191"/>
      <c r="F59" s="192"/>
      <c r="G59" s="192"/>
      <c r="H59" s="192"/>
      <c r="I59" s="192"/>
      <c r="J59" s="192"/>
      <c r="K59" s="192"/>
      <c r="L59" s="163"/>
      <c r="M59" s="163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  <c r="AB59" s="184" t="s">
        <v>26</v>
      </c>
      <c r="AC59" s="185" t="s">
        <v>88</v>
      </c>
      <c r="AD59" s="186">
        <f>AD58-1.5</f>
        <v>4</v>
      </c>
      <c r="AE59" s="188">
        <f>AD58-AD59</f>
        <v>1.5</v>
      </c>
      <c r="AF59" s="193">
        <f t="shared" ref="AF59:AF77" si="7">VLOOKUP(AB59,$C$42:$Z$51,4,FALSE)</f>
        <v>20</v>
      </c>
      <c r="AG59" s="193">
        <f>AF59-10</f>
        <v>10</v>
      </c>
      <c r="AH59" s="186">
        <f t="shared" ref="AH59:AH77" si="8">VLOOKUP(AB59,$C$42:$Z$51,6,FALSE)</f>
        <v>0.65</v>
      </c>
      <c r="AI59" s="186">
        <f t="shared" ref="AI59:AI77" si="9">VLOOKUP(AB59,$C$42:$Z$51,8,FALSE)</f>
        <v>0.30725852452246849</v>
      </c>
      <c r="AJ59" s="194">
        <f t="shared" ref="AJ59:AJ64" si="10">AG59*AE59</f>
        <v>15</v>
      </c>
      <c r="AK59" s="194">
        <f t="shared" ref="AK59:AK77" si="11">(AE59*AG59)+AK58</f>
        <v>15</v>
      </c>
      <c r="AL59" s="189"/>
      <c r="AM59" s="194">
        <f>AE59*AF59</f>
        <v>30</v>
      </c>
      <c r="AN59" s="194">
        <f>(AE59*AF59)+AN58</f>
        <v>30</v>
      </c>
      <c r="AO59" s="195"/>
      <c r="AP59" s="196">
        <f t="shared" ref="AP59:AP64" si="12">AE59*AF59</f>
        <v>30</v>
      </c>
      <c r="AQ59" s="194">
        <f>AE59*AF59+AQ58</f>
        <v>30</v>
      </c>
      <c r="AR59" s="196"/>
      <c r="AS59" s="197">
        <v>0</v>
      </c>
      <c r="AT59" s="194">
        <f t="shared" ref="AT59:AT64" si="13">(AE59*AG59)+AT58</f>
        <v>15</v>
      </c>
      <c r="AU59" s="195"/>
      <c r="AV59" s="194">
        <f>AE59*AF59</f>
        <v>30</v>
      </c>
      <c r="AW59" s="194">
        <f>(AE59*AF59)+AW58</f>
        <v>30</v>
      </c>
      <c r="AX59" s="195"/>
      <c r="AY59" s="194">
        <f>AE59*AF59</f>
        <v>30</v>
      </c>
      <c r="AZ59" s="194">
        <f>(AE59*AF59)+AZ58</f>
        <v>30</v>
      </c>
      <c r="BA59" s="195"/>
      <c r="BB59" s="196">
        <f t="shared" ref="BB59:BB76" si="14">AH59*$AD$44</f>
        <v>30.875</v>
      </c>
      <c r="BC59" s="196">
        <f t="shared" ref="BC59:BC76" si="15">AH59*$AD$46</f>
        <v>13</v>
      </c>
      <c r="BD59" s="90">
        <f t="shared" ref="BD59:BD77" si="16">AI59*$AD$47</f>
        <v>1.229034098089874</v>
      </c>
      <c r="BF59" s="15">
        <f t="shared" ref="BF59:BF77" si="17">AH59*$AD$44</f>
        <v>30.875</v>
      </c>
      <c r="BG59" s="198">
        <f t="shared" ref="BG59:BG77" si="18">AI59*$AD$44</f>
        <v>14.594779914817254</v>
      </c>
      <c r="BH59" s="15">
        <f t="shared" ref="BH59:BH77" si="19">AH59*$AD$47</f>
        <v>2.6</v>
      </c>
      <c r="BI59" s="15">
        <v>4</v>
      </c>
      <c r="BJ59" s="197">
        <v>0</v>
      </c>
    </row>
    <row r="60" spans="1:62" ht="14.25" customHeight="1">
      <c r="A60" s="162"/>
      <c r="B60" s="178"/>
      <c r="C60" s="178"/>
      <c r="D60" s="178" t="s">
        <v>89</v>
      </c>
      <c r="E60" s="178"/>
      <c r="F60" s="179"/>
      <c r="G60" s="179"/>
      <c r="H60" s="179"/>
      <c r="I60" s="179"/>
      <c r="J60" s="179"/>
      <c r="K60" s="179"/>
      <c r="L60" s="163" t="s">
        <v>90</v>
      </c>
      <c r="M60" s="506">
        <v>5.5</v>
      </c>
      <c r="N60" s="507"/>
      <c r="O60" s="508"/>
      <c r="P60" s="162" t="s">
        <v>91</v>
      </c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84" t="s">
        <v>26</v>
      </c>
      <c r="AC60" s="185" t="s">
        <v>92</v>
      </c>
      <c r="AD60" s="199">
        <f>AD58-4.5</f>
        <v>1</v>
      </c>
      <c r="AE60" s="188">
        <f>AD59-AD60</f>
        <v>3</v>
      </c>
      <c r="AF60" s="193">
        <f t="shared" si="7"/>
        <v>20</v>
      </c>
      <c r="AG60" s="193">
        <f>AF60-10</f>
        <v>10</v>
      </c>
      <c r="AH60" s="186">
        <f t="shared" si="8"/>
        <v>0.65</v>
      </c>
      <c r="AI60" s="186">
        <f t="shared" si="9"/>
        <v>0.30725852452246849</v>
      </c>
      <c r="AJ60" s="194">
        <f t="shared" si="10"/>
        <v>30</v>
      </c>
      <c r="AK60" s="194">
        <f t="shared" si="11"/>
        <v>45</v>
      </c>
      <c r="AL60" s="189"/>
      <c r="AM60" s="194">
        <f>AE60*AF60</f>
        <v>60</v>
      </c>
      <c r="AN60" s="194">
        <f>(AE60*AF60)+AN59</f>
        <v>90</v>
      </c>
      <c r="AO60" s="195"/>
      <c r="AP60" s="196">
        <f t="shared" si="12"/>
        <v>60</v>
      </c>
      <c r="AQ60" s="194">
        <f t="shared" ref="AQ60:AQ77" si="20">AE60*AF60+AQ59</f>
        <v>90</v>
      </c>
      <c r="AR60" s="196"/>
      <c r="AS60" s="194">
        <f>AE60*AG60</f>
        <v>30</v>
      </c>
      <c r="AT60" s="194">
        <f t="shared" si="13"/>
        <v>45</v>
      </c>
      <c r="AU60" s="195"/>
      <c r="AV60" s="194">
        <f>AE60*AG60</f>
        <v>30</v>
      </c>
      <c r="AW60" s="194">
        <f t="shared" ref="AW60:AW76" si="21">(AE60*AG60)+AW59</f>
        <v>60</v>
      </c>
      <c r="AX60" s="195"/>
      <c r="AY60" s="194">
        <f>AE60*AF60</f>
        <v>60</v>
      </c>
      <c r="AZ60" s="194">
        <f>(AE60*AF60)+AZ59</f>
        <v>90</v>
      </c>
      <c r="BA60" s="195"/>
      <c r="BB60" s="196">
        <f t="shared" si="14"/>
        <v>30.875</v>
      </c>
      <c r="BC60" s="196">
        <f t="shared" si="15"/>
        <v>13</v>
      </c>
      <c r="BD60" s="90">
        <f t="shared" si="16"/>
        <v>1.229034098089874</v>
      </c>
      <c r="BF60" s="15">
        <f t="shared" si="17"/>
        <v>30.875</v>
      </c>
      <c r="BG60" s="198">
        <f t="shared" si="18"/>
        <v>14.594779914817254</v>
      </c>
      <c r="BH60" s="15">
        <f t="shared" si="19"/>
        <v>2.6</v>
      </c>
      <c r="BI60" s="15">
        <v>4</v>
      </c>
      <c r="BJ60" s="197">
        <v>0</v>
      </c>
    </row>
    <row r="61" spans="1:62" ht="14.25" customHeight="1">
      <c r="A61" s="162"/>
      <c r="B61" s="162"/>
      <c r="C61" s="162"/>
      <c r="D61" s="162" t="s">
        <v>93</v>
      </c>
      <c r="E61" s="162"/>
      <c r="F61" s="163"/>
      <c r="G61" s="163"/>
      <c r="H61" s="163"/>
      <c r="I61" s="163"/>
      <c r="J61" s="163"/>
      <c r="K61" s="163"/>
      <c r="L61" s="163" t="s">
        <v>90</v>
      </c>
      <c r="M61" s="497">
        <f>M60-1.5</f>
        <v>4</v>
      </c>
      <c r="N61" s="501"/>
      <c r="O61" s="502"/>
      <c r="P61" s="162" t="s">
        <v>91</v>
      </c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84" t="s">
        <v>26</v>
      </c>
      <c r="AC61" s="185" t="s">
        <v>94</v>
      </c>
      <c r="AD61" s="199">
        <f>AD58-5</f>
        <v>0.5</v>
      </c>
      <c r="AE61" s="188">
        <f t="shared" ref="AE61:AE77" si="22">AD60-AD61</f>
        <v>0.5</v>
      </c>
      <c r="AF61" s="193">
        <f t="shared" si="7"/>
        <v>20</v>
      </c>
      <c r="AG61" s="193">
        <f t="shared" ref="AG61:AG77" si="23">AF61-10</f>
        <v>10</v>
      </c>
      <c r="AH61" s="186">
        <f t="shared" si="8"/>
        <v>0.65</v>
      </c>
      <c r="AI61" s="186">
        <f t="shared" si="9"/>
        <v>0.30725852452246849</v>
      </c>
      <c r="AJ61" s="194">
        <f t="shared" si="10"/>
        <v>5</v>
      </c>
      <c r="AK61" s="194">
        <f t="shared" si="11"/>
        <v>50</v>
      </c>
      <c r="AL61" s="189"/>
      <c r="AM61" s="194">
        <f>AE61*AF61</f>
        <v>10</v>
      </c>
      <c r="AN61" s="194">
        <f>(AE61*AF61)+AN60</f>
        <v>100</v>
      </c>
      <c r="AO61" s="195"/>
      <c r="AP61" s="196">
        <f t="shared" si="12"/>
        <v>10</v>
      </c>
      <c r="AQ61" s="194">
        <f t="shared" si="20"/>
        <v>100</v>
      </c>
      <c r="AR61" s="196"/>
      <c r="AS61" s="194">
        <f>AE61*AG61</f>
        <v>5</v>
      </c>
      <c r="AT61" s="194">
        <f t="shared" si="13"/>
        <v>50</v>
      </c>
      <c r="AU61" s="195"/>
      <c r="AV61" s="194">
        <f>AE61*AG61</f>
        <v>5</v>
      </c>
      <c r="AW61" s="194">
        <f t="shared" si="21"/>
        <v>65</v>
      </c>
      <c r="AX61" s="195"/>
      <c r="AY61" s="194">
        <f>AE61*AG61</f>
        <v>5</v>
      </c>
      <c r="AZ61" s="194">
        <f>(AE61*AG61)+AZ60</f>
        <v>95</v>
      </c>
      <c r="BA61" s="195"/>
      <c r="BB61" s="196">
        <f t="shared" si="14"/>
        <v>30.875</v>
      </c>
      <c r="BC61" s="196">
        <f t="shared" si="15"/>
        <v>13</v>
      </c>
      <c r="BD61" s="90">
        <f t="shared" si="16"/>
        <v>1.229034098089874</v>
      </c>
      <c r="BF61" s="15">
        <f t="shared" si="17"/>
        <v>30.875</v>
      </c>
      <c r="BG61" s="198">
        <f t="shared" si="18"/>
        <v>14.594779914817254</v>
      </c>
      <c r="BH61" s="15">
        <f t="shared" si="19"/>
        <v>2.6</v>
      </c>
      <c r="BI61" s="15">
        <v>4</v>
      </c>
      <c r="BJ61" s="194">
        <f t="shared" ref="BJ61:BJ64" si="24">AE61*AG61</f>
        <v>5</v>
      </c>
    </row>
    <row r="62" spans="1:62" ht="14.25" customHeight="1">
      <c r="A62" s="162"/>
      <c r="B62" s="162"/>
      <c r="C62" s="162"/>
      <c r="D62" s="162" t="s">
        <v>95</v>
      </c>
      <c r="E62" s="162"/>
      <c r="F62" s="163"/>
      <c r="G62" s="163"/>
      <c r="H62" s="163"/>
      <c r="I62" s="163"/>
      <c r="J62" s="163"/>
      <c r="K62" s="163"/>
      <c r="L62" s="163" t="s">
        <v>90</v>
      </c>
      <c r="M62" s="497">
        <f>M60-4.5</f>
        <v>1</v>
      </c>
      <c r="N62" s="501"/>
      <c r="O62" s="502"/>
      <c r="P62" s="162" t="s">
        <v>91</v>
      </c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84" t="s">
        <v>26</v>
      </c>
      <c r="AC62" s="200"/>
      <c r="AD62" s="199">
        <v>-0.1</v>
      </c>
      <c r="AE62" s="188">
        <f t="shared" si="22"/>
        <v>0.6</v>
      </c>
      <c r="AF62" s="193">
        <f t="shared" si="7"/>
        <v>20</v>
      </c>
      <c r="AG62" s="193">
        <f t="shared" si="23"/>
        <v>10</v>
      </c>
      <c r="AH62" s="186">
        <f t="shared" si="8"/>
        <v>0.65</v>
      </c>
      <c r="AI62" s="186">
        <f t="shared" si="9"/>
        <v>0.30725852452246849</v>
      </c>
      <c r="AJ62" s="194">
        <f t="shared" si="10"/>
        <v>6</v>
      </c>
      <c r="AK62" s="194">
        <f t="shared" si="11"/>
        <v>56</v>
      </c>
      <c r="AL62" s="189"/>
      <c r="AM62" s="194">
        <f>AE62*AG62</f>
        <v>6</v>
      </c>
      <c r="AN62" s="194">
        <f>(AE62*AG62)+AN61</f>
        <v>106</v>
      </c>
      <c r="AO62" s="195"/>
      <c r="AP62" s="196">
        <f t="shared" si="12"/>
        <v>12</v>
      </c>
      <c r="AQ62" s="194">
        <f t="shared" si="20"/>
        <v>112</v>
      </c>
      <c r="AR62" s="196"/>
      <c r="AS62" s="194">
        <f>AE62*AG62</f>
        <v>6</v>
      </c>
      <c r="AT62" s="194">
        <f t="shared" si="13"/>
        <v>56</v>
      </c>
      <c r="AU62" s="195"/>
      <c r="AV62" s="194">
        <f>AE62*AG62</f>
        <v>6</v>
      </c>
      <c r="AW62" s="194">
        <f t="shared" si="21"/>
        <v>71</v>
      </c>
      <c r="AX62" s="195"/>
      <c r="AY62" s="194">
        <f>AE62*AG62</f>
        <v>6</v>
      </c>
      <c r="AZ62" s="194">
        <f>(AE62*AG62)+AZ61</f>
        <v>101</v>
      </c>
      <c r="BA62" s="195"/>
      <c r="BB62" s="196">
        <f t="shared" si="14"/>
        <v>30.875</v>
      </c>
      <c r="BC62" s="196">
        <f t="shared" si="15"/>
        <v>13</v>
      </c>
      <c r="BD62" s="90">
        <f t="shared" si="16"/>
        <v>1.229034098089874</v>
      </c>
      <c r="BF62" s="15">
        <f t="shared" si="17"/>
        <v>30.875</v>
      </c>
      <c r="BG62" s="198">
        <f t="shared" si="18"/>
        <v>14.594779914817254</v>
      </c>
      <c r="BH62" s="15">
        <f t="shared" si="19"/>
        <v>2.6</v>
      </c>
      <c r="BI62" s="15">
        <v>4</v>
      </c>
      <c r="BJ62" s="194">
        <f t="shared" si="24"/>
        <v>6</v>
      </c>
    </row>
    <row r="63" spans="1:62" ht="14.25" customHeight="1">
      <c r="A63" s="162"/>
      <c r="B63" s="162"/>
      <c r="C63" s="162"/>
      <c r="D63" s="162" t="s">
        <v>96</v>
      </c>
      <c r="E63" s="162"/>
      <c r="F63" s="163"/>
      <c r="G63" s="163"/>
      <c r="H63" s="163"/>
      <c r="I63" s="163"/>
      <c r="J63" s="163"/>
      <c r="K63" s="163"/>
      <c r="L63" s="163" t="s">
        <v>90</v>
      </c>
      <c r="M63" s="497">
        <f>M60-5</f>
        <v>0.5</v>
      </c>
      <c r="N63" s="501"/>
      <c r="O63" s="502"/>
      <c r="P63" s="162" t="s">
        <v>91</v>
      </c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  <c r="AB63" s="184" t="s">
        <v>26</v>
      </c>
      <c r="AC63" s="200"/>
      <c r="AD63" s="199">
        <v>-0.7</v>
      </c>
      <c r="AE63" s="188">
        <f t="shared" si="22"/>
        <v>0.6</v>
      </c>
      <c r="AF63" s="193">
        <f t="shared" si="7"/>
        <v>20</v>
      </c>
      <c r="AG63" s="193">
        <f t="shared" si="23"/>
        <v>10</v>
      </c>
      <c r="AH63" s="186">
        <f t="shared" si="8"/>
        <v>0.65</v>
      </c>
      <c r="AI63" s="186">
        <f t="shared" si="9"/>
        <v>0.30725852452246849</v>
      </c>
      <c r="AJ63" s="194">
        <f t="shared" si="10"/>
        <v>6</v>
      </c>
      <c r="AK63" s="194">
        <f t="shared" si="11"/>
        <v>62</v>
      </c>
      <c r="AL63" s="189"/>
      <c r="AM63" s="194">
        <f>AE63*AG63</f>
        <v>6</v>
      </c>
      <c r="AN63" s="194">
        <f t="shared" ref="AN63:AN72" si="25">(AE63*AG63)+AN62</f>
        <v>112</v>
      </c>
      <c r="AO63" s="195"/>
      <c r="AP63" s="196">
        <f t="shared" si="12"/>
        <v>12</v>
      </c>
      <c r="AQ63" s="194">
        <f t="shared" si="20"/>
        <v>124</v>
      </c>
      <c r="AR63" s="196"/>
      <c r="AS63" s="194">
        <f>AE63*AG63</f>
        <v>6</v>
      </c>
      <c r="AT63" s="194">
        <f t="shared" si="13"/>
        <v>62</v>
      </c>
      <c r="AU63" s="195"/>
      <c r="AV63" s="194">
        <f>AE63*AG63</f>
        <v>6</v>
      </c>
      <c r="AW63" s="194">
        <f t="shared" si="21"/>
        <v>77</v>
      </c>
      <c r="AX63" s="195"/>
      <c r="AY63" s="194">
        <f>AE63*AG63</f>
        <v>6</v>
      </c>
      <c r="AZ63" s="194">
        <f t="shared" ref="AZ63:AZ75" si="26">(AE63*AG63)+AZ62</f>
        <v>107</v>
      </c>
      <c r="BA63" s="195"/>
      <c r="BB63" s="196">
        <f t="shared" si="14"/>
        <v>30.875</v>
      </c>
      <c r="BC63" s="196">
        <f t="shared" si="15"/>
        <v>13</v>
      </c>
      <c r="BD63" s="90">
        <f t="shared" si="16"/>
        <v>1.229034098089874</v>
      </c>
      <c r="BF63" s="15">
        <f t="shared" si="17"/>
        <v>30.875</v>
      </c>
      <c r="BG63" s="198">
        <f t="shared" si="18"/>
        <v>14.594779914817254</v>
      </c>
      <c r="BH63" s="15">
        <f t="shared" si="19"/>
        <v>2.6</v>
      </c>
      <c r="BI63" s="15">
        <v>4</v>
      </c>
      <c r="BJ63" s="194">
        <f t="shared" si="24"/>
        <v>6</v>
      </c>
    </row>
    <row r="64" spans="1:62" ht="14.25" customHeight="1">
      <c r="A64" s="162"/>
      <c r="B64" s="162"/>
      <c r="C64" s="162"/>
      <c r="D64" s="162" t="s">
        <v>97</v>
      </c>
      <c r="E64" s="162"/>
      <c r="F64" s="163"/>
      <c r="G64" s="163"/>
      <c r="H64" s="163"/>
      <c r="I64" s="163"/>
      <c r="J64" s="163"/>
      <c r="K64" s="163"/>
      <c r="L64" s="163" t="s">
        <v>90</v>
      </c>
      <c r="M64" s="497">
        <f>M65+(AC23+AC21)</f>
        <v>-6.35</v>
      </c>
      <c r="N64" s="501"/>
      <c r="O64" s="502"/>
      <c r="P64" s="162" t="s">
        <v>91</v>
      </c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  <c r="AB64" s="184" t="s">
        <v>40</v>
      </c>
      <c r="AC64" s="201" t="s">
        <v>98</v>
      </c>
      <c r="AD64" s="186">
        <f>$M$64</f>
        <v>-6.35</v>
      </c>
      <c r="AE64" s="188">
        <f>AD63-AD64</f>
        <v>5.6499999999999995</v>
      </c>
      <c r="AF64" s="193">
        <f t="shared" si="7"/>
        <v>17</v>
      </c>
      <c r="AG64" s="193">
        <f t="shared" si="23"/>
        <v>7</v>
      </c>
      <c r="AH64" s="186">
        <f t="shared" si="8"/>
        <v>1</v>
      </c>
      <c r="AI64" s="186">
        <f t="shared" si="9"/>
        <v>0.45496173929297024</v>
      </c>
      <c r="AJ64" s="194">
        <f t="shared" si="10"/>
        <v>39.549999999999997</v>
      </c>
      <c r="AK64" s="194">
        <f t="shared" si="11"/>
        <v>101.55</v>
      </c>
      <c r="AL64" s="202"/>
      <c r="AM64" s="194">
        <f>AE64*AG64</f>
        <v>39.549999999999997</v>
      </c>
      <c r="AN64" s="194">
        <f t="shared" si="25"/>
        <v>151.55000000000001</v>
      </c>
      <c r="AO64" s="195"/>
      <c r="AP64" s="196">
        <f t="shared" si="12"/>
        <v>96.05</v>
      </c>
      <c r="AQ64" s="194">
        <f t="shared" si="20"/>
        <v>220.05</v>
      </c>
      <c r="AR64" s="196">
        <f>AQ64*AH64</f>
        <v>220.05</v>
      </c>
      <c r="AS64" s="194">
        <f>AE64*AG64</f>
        <v>39.549999999999997</v>
      </c>
      <c r="AT64" s="194">
        <f t="shared" si="13"/>
        <v>101.55</v>
      </c>
      <c r="AU64" s="195"/>
      <c r="AV64" s="194">
        <f>AE64*AG64</f>
        <v>39.549999999999997</v>
      </c>
      <c r="AW64" s="194">
        <f>(AE64*AG64)+AW63</f>
        <v>116.55</v>
      </c>
      <c r="AX64" s="195"/>
      <c r="AY64" s="194">
        <f>AE64*AG64</f>
        <v>39.549999999999997</v>
      </c>
      <c r="AZ64" s="194">
        <f t="shared" si="26"/>
        <v>146.55000000000001</v>
      </c>
      <c r="BA64" s="195"/>
      <c r="BB64" s="196">
        <f t="shared" si="14"/>
        <v>47.5</v>
      </c>
      <c r="BC64" s="196">
        <f t="shared" si="15"/>
        <v>20</v>
      </c>
      <c r="BD64" s="90">
        <f t="shared" si="16"/>
        <v>1.8198469571718809</v>
      </c>
      <c r="BF64" s="15">
        <f t="shared" si="17"/>
        <v>47.5</v>
      </c>
      <c r="BG64" s="198">
        <f t="shared" si="18"/>
        <v>21.610682616416085</v>
      </c>
      <c r="BH64" s="15">
        <f t="shared" si="19"/>
        <v>4</v>
      </c>
      <c r="BI64" s="15">
        <v>4</v>
      </c>
      <c r="BJ64" s="194">
        <f t="shared" si="24"/>
        <v>39.549999999999997</v>
      </c>
    </row>
    <row r="65" spans="1:62" ht="14.25" customHeight="1">
      <c r="A65" s="162"/>
      <c r="B65" s="162"/>
      <c r="C65" s="162"/>
      <c r="D65" s="162" t="s">
        <v>99</v>
      </c>
      <c r="E65" s="162"/>
      <c r="F65" s="163"/>
      <c r="G65" s="163"/>
      <c r="H65" s="163"/>
      <c r="I65" s="163"/>
      <c r="J65" s="163"/>
      <c r="K65" s="163"/>
      <c r="L65" s="163" t="s">
        <v>90</v>
      </c>
      <c r="M65" s="509">
        <v>-10.85</v>
      </c>
      <c r="N65" s="510"/>
      <c r="O65" s="511"/>
      <c r="P65" s="162" t="s">
        <v>91</v>
      </c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  <c r="AB65" s="184" t="s">
        <v>40</v>
      </c>
      <c r="AC65" s="201"/>
      <c r="AD65" s="186">
        <v>-1.45</v>
      </c>
      <c r="AE65" s="188">
        <f t="shared" si="22"/>
        <v>-4.8999999999999995</v>
      </c>
      <c r="AF65" s="193">
        <f t="shared" si="7"/>
        <v>17</v>
      </c>
      <c r="AG65" s="193">
        <f>AF65-10</f>
        <v>7</v>
      </c>
      <c r="AH65" s="186">
        <f t="shared" si="8"/>
        <v>1</v>
      </c>
      <c r="AI65" s="186">
        <f t="shared" si="9"/>
        <v>0.45496173929297024</v>
      </c>
      <c r="AJ65" s="194"/>
      <c r="AK65" s="194">
        <f t="shared" si="11"/>
        <v>67.25</v>
      </c>
      <c r="AL65" s="202">
        <f t="shared" ref="AL65:AL77" si="27">AK65*$AH65</f>
        <v>67.25</v>
      </c>
      <c r="AM65" s="194"/>
      <c r="AN65" s="194">
        <f t="shared" si="25"/>
        <v>117.25000000000001</v>
      </c>
      <c r="AO65" s="202">
        <f t="shared" ref="AO65:AO75" si="28">AN65*$AI65</f>
        <v>53.344263932100766</v>
      </c>
      <c r="AP65" s="203"/>
      <c r="AQ65" s="194">
        <f t="shared" si="20"/>
        <v>136.75</v>
      </c>
      <c r="AR65" s="203"/>
      <c r="AS65" s="194"/>
      <c r="AT65" s="194">
        <f>(AE65*AG65)+AT64</f>
        <v>67.25</v>
      </c>
      <c r="AU65" s="202">
        <f>AT65*$AH65</f>
        <v>67.25</v>
      </c>
      <c r="AV65" s="194"/>
      <c r="AW65" s="194">
        <f t="shared" si="21"/>
        <v>82.25</v>
      </c>
      <c r="AX65" s="202">
        <f>AW65*$AH65</f>
        <v>82.25</v>
      </c>
      <c r="AY65" s="194"/>
      <c r="AZ65" s="194">
        <f t="shared" si="26"/>
        <v>112.25000000000001</v>
      </c>
      <c r="BA65" s="202">
        <f>AZ65*$AI65</f>
        <v>51.069455235635914</v>
      </c>
      <c r="BB65" s="196">
        <f t="shared" si="14"/>
        <v>47.5</v>
      </c>
      <c r="BC65" s="196">
        <f t="shared" si="15"/>
        <v>20</v>
      </c>
      <c r="BD65" s="90">
        <f t="shared" si="16"/>
        <v>1.8198469571718809</v>
      </c>
      <c r="BF65" s="15">
        <f t="shared" si="17"/>
        <v>47.5</v>
      </c>
      <c r="BG65" s="198">
        <f t="shared" si="18"/>
        <v>21.610682616416085</v>
      </c>
      <c r="BH65" s="15">
        <f t="shared" si="19"/>
        <v>4</v>
      </c>
      <c r="BI65" s="15">
        <v>4</v>
      </c>
      <c r="BJ65" s="194"/>
    </row>
    <row r="66" spans="1:62" ht="14.25" customHeight="1">
      <c r="A66" s="162"/>
      <c r="B66" s="162"/>
      <c r="C66" s="162"/>
      <c r="D66" s="162"/>
      <c r="E66" s="162"/>
      <c r="F66" s="163"/>
      <c r="G66" s="163"/>
      <c r="H66" s="163"/>
      <c r="I66" s="163"/>
      <c r="J66" s="163"/>
      <c r="K66" s="163"/>
      <c r="L66" s="163"/>
      <c r="M66" s="163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84" t="s">
        <v>40</v>
      </c>
      <c r="AC66" s="201"/>
      <c r="AD66" s="186">
        <v>-1.6</v>
      </c>
      <c r="AE66" s="188">
        <f t="shared" si="22"/>
        <v>0.15000000000000013</v>
      </c>
      <c r="AF66" s="193">
        <f t="shared" si="7"/>
        <v>17</v>
      </c>
      <c r="AG66" s="204">
        <f t="shared" si="23"/>
        <v>7</v>
      </c>
      <c r="AH66" s="186">
        <f t="shared" si="8"/>
        <v>1</v>
      </c>
      <c r="AI66" s="186">
        <f t="shared" si="9"/>
        <v>0.45496173929297024</v>
      </c>
      <c r="AJ66" s="205"/>
      <c r="AK66" s="194">
        <f t="shared" si="11"/>
        <v>68.3</v>
      </c>
      <c r="AL66" s="202">
        <f t="shared" si="27"/>
        <v>68.3</v>
      </c>
      <c r="AM66" s="194"/>
      <c r="AN66" s="194">
        <f t="shared" si="25"/>
        <v>118.30000000000001</v>
      </c>
      <c r="AO66" s="202">
        <f t="shared" si="28"/>
        <v>53.821973758358382</v>
      </c>
      <c r="AP66" s="203"/>
      <c r="AQ66" s="194">
        <f t="shared" si="20"/>
        <v>139.30000000000001</v>
      </c>
      <c r="AR66" s="203"/>
      <c r="AS66" s="194"/>
      <c r="AT66" s="194">
        <f t="shared" ref="AT66:AT74" si="29">(AE66*AG66)+AT65</f>
        <v>68.3</v>
      </c>
      <c r="AU66" s="202">
        <f t="shared" ref="AU66:AU76" si="30">AT66*$AH66</f>
        <v>68.3</v>
      </c>
      <c r="AV66" s="194"/>
      <c r="AW66" s="194">
        <f t="shared" si="21"/>
        <v>83.3</v>
      </c>
      <c r="AX66" s="202">
        <f>AW66*$AH66</f>
        <v>83.3</v>
      </c>
      <c r="AY66" s="194"/>
      <c r="AZ66" s="194">
        <f t="shared" si="26"/>
        <v>113.30000000000001</v>
      </c>
      <c r="BA66" s="202">
        <f>AZ66*$AI66</f>
        <v>51.54716506189353</v>
      </c>
      <c r="BB66" s="196">
        <f t="shared" si="14"/>
        <v>47.5</v>
      </c>
      <c r="BC66" s="196">
        <f t="shared" si="15"/>
        <v>20</v>
      </c>
      <c r="BD66" s="90">
        <f t="shared" si="16"/>
        <v>1.8198469571718809</v>
      </c>
      <c r="BF66" s="15">
        <f t="shared" si="17"/>
        <v>47.5</v>
      </c>
      <c r="BG66" s="198">
        <f t="shared" si="18"/>
        <v>21.610682616416085</v>
      </c>
      <c r="BH66" s="15">
        <f t="shared" si="19"/>
        <v>4</v>
      </c>
      <c r="BI66" s="15">
        <v>4</v>
      </c>
      <c r="BJ66" s="194"/>
    </row>
    <row r="67" spans="1:62" ht="14.25" customHeight="1">
      <c r="A67" s="162"/>
      <c r="B67" s="162"/>
      <c r="C67" s="162"/>
      <c r="D67" s="162" t="s">
        <v>100</v>
      </c>
      <c r="E67" s="162"/>
      <c r="F67" s="163"/>
      <c r="G67" s="163"/>
      <c r="H67" s="163"/>
      <c r="I67" s="163"/>
      <c r="J67" s="163"/>
      <c r="K67" s="163"/>
      <c r="L67" s="163"/>
      <c r="M67" s="163"/>
      <c r="N67" s="162"/>
      <c r="O67" s="162"/>
      <c r="P67" s="162"/>
      <c r="Q67" s="162"/>
      <c r="R67" s="162"/>
      <c r="S67" s="162"/>
      <c r="T67" s="162" t="s">
        <v>90</v>
      </c>
      <c r="U67" s="494">
        <f>M60-M64</f>
        <v>11.85</v>
      </c>
      <c r="V67" s="495"/>
      <c r="W67" s="496"/>
      <c r="X67" s="162" t="s">
        <v>91</v>
      </c>
      <c r="Y67" s="162"/>
      <c r="Z67" s="162"/>
      <c r="AA67" s="162"/>
      <c r="AB67" s="184" t="s">
        <v>40</v>
      </c>
      <c r="AC67" s="206" t="s">
        <v>101</v>
      </c>
      <c r="AD67" s="207">
        <f>$M$60-$U$68</f>
        <v>-6.85</v>
      </c>
      <c r="AE67" s="208">
        <f>AD64-AD67</f>
        <v>0.5</v>
      </c>
      <c r="AF67" s="193">
        <f t="shared" si="7"/>
        <v>17</v>
      </c>
      <c r="AG67" s="204">
        <f t="shared" si="23"/>
        <v>7</v>
      </c>
      <c r="AH67" s="186">
        <f t="shared" si="8"/>
        <v>1</v>
      </c>
      <c r="AI67" s="186">
        <f t="shared" si="9"/>
        <v>0.45496173929297024</v>
      </c>
      <c r="AJ67" s="209"/>
      <c r="AK67" s="210">
        <f>(AE67*AG67)+AK64</f>
        <v>105.05</v>
      </c>
      <c r="AL67" s="202">
        <f t="shared" si="27"/>
        <v>105.05</v>
      </c>
      <c r="AM67" s="210"/>
      <c r="AN67" s="210">
        <f>(AE67*AG67)+AN64</f>
        <v>155.05000000000001</v>
      </c>
      <c r="AO67" s="211">
        <f>AN67*$AI67</f>
        <v>70.541817677375036</v>
      </c>
      <c r="AP67" s="212"/>
      <c r="AQ67" s="194">
        <f>AE67*AF67+AQ64</f>
        <v>228.55</v>
      </c>
      <c r="AR67" s="203">
        <f>AQ67*AH67</f>
        <v>228.55</v>
      </c>
      <c r="AS67" s="210"/>
      <c r="AT67" s="210">
        <f>(AE67*AG67)+AT64</f>
        <v>105.05</v>
      </c>
      <c r="AU67" s="202">
        <f t="shared" si="30"/>
        <v>105.05</v>
      </c>
      <c r="AV67" s="210"/>
      <c r="AW67" s="210">
        <f>(AE67*AG67)+AW64</f>
        <v>120.05</v>
      </c>
      <c r="AX67" s="211">
        <f>AW67*$AH67</f>
        <v>120.05</v>
      </c>
      <c r="AY67" s="210"/>
      <c r="AZ67" s="210">
        <f>(AE67*AG67)+AZ64</f>
        <v>150.05000000000001</v>
      </c>
      <c r="BA67" s="211">
        <f>AZ67*$AI67</f>
        <v>68.267008980910191</v>
      </c>
      <c r="BB67" s="196">
        <f t="shared" si="14"/>
        <v>47.5</v>
      </c>
      <c r="BC67" s="196">
        <f t="shared" si="15"/>
        <v>20</v>
      </c>
      <c r="BD67" s="90">
        <f t="shared" si="16"/>
        <v>1.8198469571718809</v>
      </c>
      <c r="BF67" s="15">
        <f t="shared" si="17"/>
        <v>47.5</v>
      </c>
      <c r="BG67" s="198">
        <f t="shared" si="18"/>
        <v>21.610682616416085</v>
      </c>
      <c r="BH67" s="15">
        <f t="shared" si="19"/>
        <v>4</v>
      </c>
      <c r="BJ67" s="210"/>
    </row>
    <row r="68" spans="1:62" ht="14.25" customHeight="1">
      <c r="A68" s="162"/>
      <c r="B68" s="162"/>
      <c r="C68" s="162"/>
      <c r="D68" s="162" t="s">
        <v>102</v>
      </c>
      <c r="E68" s="162"/>
      <c r="F68" s="163"/>
      <c r="G68" s="163"/>
      <c r="H68" s="163"/>
      <c r="I68" s="163"/>
      <c r="J68" s="163"/>
      <c r="K68" s="163"/>
      <c r="L68" s="163"/>
      <c r="M68" s="163"/>
      <c r="N68" s="162"/>
      <c r="O68" s="162"/>
      <c r="P68" s="162"/>
      <c r="Q68" s="162"/>
      <c r="R68" s="162"/>
      <c r="S68" s="162"/>
      <c r="T68" s="162" t="s">
        <v>90</v>
      </c>
      <c r="U68" s="497">
        <f>M60-M64+M73/2/1000</f>
        <v>12.35</v>
      </c>
      <c r="V68" s="498"/>
      <c r="W68" s="499"/>
      <c r="X68" s="162" t="s">
        <v>91</v>
      </c>
      <c r="Y68" s="162"/>
      <c r="Z68" s="162"/>
      <c r="AA68" s="162"/>
      <c r="AB68" s="184" t="s">
        <v>40</v>
      </c>
      <c r="AC68" s="193"/>
      <c r="AD68" s="186">
        <f>AD67-1.05</f>
        <v>-7.8999999999999995</v>
      </c>
      <c r="AE68" s="188">
        <f t="shared" si="22"/>
        <v>1.0499999999999998</v>
      </c>
      <c r="AF68" s="193">
        <f t="shared" si="7"/>
        <v>17</v>
      </c>
      <c r="AG68" s="193">
        <f t="shared" si="23"/>
        <v>7</v>
      </c>
      <c r="AH68" s="186">
        <f t="shared" si="8"/>
        <v>1</v>
      </c>
      <c r="AI68" s="186">
        <f t="shared" si="9"/>
        <v>0.45496173929297024</v>
      </c>
      <c r="AJ68" s="213"/>
      <c r="AK68" s="194">
        <f t="shared" si="11"/>
        <v>112.39999999999999</v>
      </c>
      <c r="AL68" s="202">
        <f t="shared" si="27"/>
        <v>112.39999999999999</v>
      </c>
      <c r="AM68" s="194"/>
      <c r="AN68" s="194">
        <f t="shared" si="25"/>
        <v>162.4</v>
      </c>
      <c r="AO68" s="202">
        <f t="shared" si="28"/>
        <v>73.88578646117837</v>
      </c>
      <c r="AP68" s="203"/>
      <c r="AQ68" s="194">
        <f t="shared" si="20"/>
        <v>246.4</v>
      </c>
      <c r="AR68" s="203">
        <f t="shared" ref="AR68:AR75" si="31">AQ68*AH68</f>
        <v>246.4</v>
      </c>
      <c r="AS68" s="194"/>
      <c r="AT68" s="194">
        <f t="shared" si="29"/>
        <v>112.39999999999999</v>
      </c>
      <c r="AU68" s="202">
        <f t="shared" si="30"/>
        <v>112.39999999999999</v>
      </c>
      <c r="AV68" s="194"/>
      <c r="AW68" s="194">
        <f t="shared" si="21"/>
        <v>127.39999999999999</v>
      </c>
      <c r="AX68" s="211">
        <f>AW68*$AH68</f>
        <v>127.39999999999999</v>
      </c>
      <c r="AY68" s="194"/>
      <c r="AZ68" s="194">
        <f t="shared" si="26"/>
        <v>157.4</v>
      </c>
      <c r="BA68" s="202">
        <f>AZ68*$AI68</f>
        <v>71.610977764713525</v>
      </c>
      <c r="BB68" s="196">
        <f t="shared" si="14"/>
        <v>47.5</v>
      </c>
      <c r="BC68" s="196">
        <f t="shared" si="15"/>
        <v>20</v>
      </c>
      <c r="BD68" s="90">
        <f t="shared" si="16"/>
        <v>1.8198469571718809</v>
      </c>
      <c r="BF68" s="15">
        <f t="shared" si="17"/>
        <v>47.5</v>
      </c>
      <c r="BG68" s="198">
        <f t="shared" si="18"/>
        <v>21.610682616416085</v>
      </c>
      <c r="BH68" s="15">
        <f t="shared" si="19"/>
        <v>4</v>
      </c>
      <c r="BJ68" s="194"/>
    </row>
    <row r="69" spans="1:62" ht="14.25" customHeight="1">
      <c r="A69" s="162"/>
      <c r="B69" s="162"/>
      <c r="C69" s="162"/>
      <c r="D69" s="162" t="s">
        <v>103</v>
      </c>
      <c r="E69" s="162"/>
      <c r="F69" s="163"/>
      <c r="G69" s="163"/>
      <c r="H69" s="163"/>
      <c r="I69" s="163"/>
      <c r="J69" s="163"/>
      <c r="K69" s="163"/>
      <c r="L69" s="163"/>
      <c r="M69" s="163"/>
      <c r="N69" s="162"/>
      <c r="O69" s="162"/>
      <c r="P69" s="162"/>
      <c r="Q69" s="162"/>
      <c r="R69" s="162"/>
      <c r="S69" s="162"/>
      <c r="T69" s="162" t="s">
        <v>104</v>
      </c>
      <c r="U69" s="500">
        <f>M64-M65-M73/2/1000+M74/2/1000</f>
        <v>4.5</v>
      </c>
      <c r="V69" s="501"/>
      <c r="W69" s="502"/>
      <c r="X69" s="162" t="s">
        <v>91</v>
      </c>
      <c r="Y69" s="162"/>
      <c r="Z69" s="162"/>
      <c r="AA69" s="162"/>
      <c r="AB69" s="184" t="s">
        <v>40</v>
      </c>
      <c r="AC69" s="193"/>
      <c r="AD69" s="186">
        <f t="shared" ref="AD69:AD75" si="32">AD68-1.05</f>
        <v>-8.9499999999999993</v>
      </c>
      <c r="AE69" s="188">
        <f t="shared" si="22"/>
        <v>1.0499999999999998</v>
      </c>
      <c r="AF69" s="193">
        <f t="shared" si="7"/>
        <v>17</v>
      </c>
      <c r="AG69" s="193">
        <f t="shared" si="23"/>
        <v>7</v>
      </c>
      <c r="AH69" s="186">
        <f t="shared" si="8"/>
        <v>1</v>
      </c>
      <c r="AI69" s="186">
        <f t="shared" si="9"/>
        <v>0.45496173929297024</v>
      </c>
      <c r="AJ69" s="213"/>
      <c r="AK69" s="194">
        <f t="shared" si="11"/>
        <v>119.74999999999999</v>
      </c>
      <c r="AL69" s="202">
        <f t="shared" si="27"/>
        <v>119.74999999999999</v>
      </c>
      <c r="AM69" s="194"/>
      <c r="AN69" s="194">
        <f t="shared" si="25"/>
        <v>169.75</v>
      </c>
      <c r="AO69" s="202">
        <f t="shared" si="28"/>
        <v>77.229755244981703</v>
      </c>
      <c r="AP69" s="203"/>
      <c r="AQ69" s="194">
        <f t="shared" si="20"/>
        <v>264.25</v>
      </c>
      <c r="AR69" s="203">
        <f t="shared" si="31"/>
        <v>264.25</v>
      </c>
      <c r="AS69" s="194"/>
      <c r="AT69" s="194">
        <f t="shared" si="29"/>
        <v>119.74999999999999</v>
      </c>
      <c r="AU69" s="202">
        <f t="shared" si="30"/>
        <v>119.74999999999999</v>
      </c>
      <c r="AV69" s="194"/>
      <c r="AW69" s="194">
        <f>(AE69*AG69)+AW68</f>
        <v>134.75</v>
      </c>
      <c r="AX69" s="211">
        <f>AW69*$AH69</f>
        <v>134.75</v>
      </c>
      <c r="AY69" s="194"/>
      <c r="AZ69" s="194">
        <f t="shared" si="26"/>
        <v>164.75</v>
      </c>
      <c r="BA69" s="202">
        <f>AZ69*$AI69</f>
        <v>74.954946548516844</v>
      </c>
      <c r="BB69" s="196">
        <f t="shared" si="14"/>
        <v>47.5</v>
      </c>
      <c r="BC69" s="196">
        <f t="shared" si="15"/>
        <v>20</v>
      </c>
      <c r="BD69" s="90">
        <f t="shared" si="16"/>
        <v>1.8198469571718809</v>
      </c>
      <c r="BF69" s="15">
        <f t="shared" si="17"/>
        <v>47.5</v>
      </c>
      <c r="BG69" s="198">
        <f t="shared" si="18"/>
        <v>21.610682616416085</v>
      </c>
      <c r="BH69" s="15">
        <f t="shared" si="19"/>
        <v>4</v>
      </c>
      <c r="BJ69" s="194"/>
    </row>
    <row r="70" spans="1:62" ht="14.25" customHeight="1">
      <c r="A70" s="162"/>
      <c r="B70" s="162"/>
      <c r="C70" s="162"/>
      <c r="D70" s="162"/>
      <c r="E70" s="162"/>
      <c r="F70" s="163"/>
      <c r="G70" s="163"/>
      <c r="H70" s="163"/>
      <c r="I70" s="163"/>
      <c r="J70" s="163"/>
      <c r="K70" s="163"/>
      <c r="L70" s="163"/>
      <c r="M70" s="163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  <c r="AB70" s="184" t="s">
        <v>40</v>
      </c>
      <c r="AC70" s="193"/>
      <c r="AD70" s="186">
        <f t="shared" si="32"/>
        <v>-10</v>
      </c>
      <c r="AE70" s="188">
        <f t="shared" si="22"/>
        <v>1.0500000000000007</v>
      </c>
      <c r="AF70" s="193">
        <f t="shared" si="7"/>
        <v>17</v>
      </c>
      <c r="AG70" s="193">
        <f t="shared" si="23"/>
        <v>7</v>
      </c>
      <c r="AH70" s="186">
        <f t="shared" si="8"/>
        <v>1</v>
      </c>
      <c r="AI70" s="186">
        <f t="shared" si="9"/>
        <v>0.45496173929297024</v>
      </c>
      <c r="AJ70" s="213"/>
      <c r="AK70" s="194">
        <f t="shared" si="11"/>
        <v>127.1</v>
      </c>
      <c r="AL70" s="202">
        <f t="shared" si="27"/>
        <v>127.1</v>
      </c>
      <c r="AM70" s="194"/>
      <c r="AN70" s="194">
        <f t="shared" si="25"/>
        <v>177.1</v>
      </c>
      <c r="AO70" s="202">
        <f t="shared" si="28"/>
        <v>80.573724028785023</v>
      </c>
      <c r="AP70" s="203"/>
      <c r="AQ70" s="194">
        <f t="shared" si="20"/>
        <v>282.10000000000002</v>
      </c>
      <c r="AR70" s="203">
        <f t="shared" si="31"/>
        <v>282.10000000000002</v>
      </c>
      <c r="AS70" s="194"/>
      <c r="AT70" s="194">
        <f t="shared" si="29"/>
        <v>127.1</v>
      </c>
      <c r="AU70" s="202">
        <f t="shared" si="30"/>
        <v>127.1</v>
      </c>
      <c r="AV70" s="194"/>
      <c r="AW70" s="194">
        <f t="shared" si="21"/>
        <v>142.1</v>
      </c>
      <c r="AX70" s="202">
        <f t="shared" ref="AX70:AX75" si="33">AW70*$AH70</f>
        <v>142.1</v>
      </c>
      <c r="AY70" s="194"/>
      <c r="AZ70" s="194">
        <f t="shared" si="26"/>
        <v>172.1</v>
      </c>
      <c r="BA70" s="202">
        <f t="shared" ref="BA70:BA76" si="34">AZ70*$AI70</f>
        <v>78.298915332320178</v>
      </c>
      <c r="BB70" s="196">
        <f t="shared" si="14"/>
        <v>47.5</v>
      </c>
      <c r="BC70" s="196">
        <f t="shared" si="15"/>
        <v>20</v>
      </c>
      <c r="BD70" s="90">
        <f t="shared" si="16"/>
        <v>1.8198469571718809</v>
      </c>
      <c r="BF70" s="15">
        <f t="shared" si="17"/>
        <v>47.5</v>
      </c>
      <c r="BG70" s="198">
        <f t="shared" si="18"/>
        <v>21.610682616416085</v>
      </c>
      <c r="BH70" s="15">
        <f t="shared" si="19"/>
        <v>4</v>
      </c>
      <c r="BJ70" s="194"/>
    </row>
    <row r="71" spans="1:62" ht="14.25" customHeight="1">
      <c r="A71" s="162"/>
      <c r="B71" s="214" t="s">
        <v>105</v>
      </c>
      <c r="C71" s="215"/>
      <c r="D71" s="215"/>
      <c r="E71" s="215"/>
      <c r="F71" s="216"/>
      <c r="G71" s="163"/>
      <c r="H71" s="163"/>
      <c r="I71" s="163"/>
      <c r="J71" s="163"/>
      <c r="K71" s="163"/>
      <c r="L71" s="163"/>
      <c r="M71" s="163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  <c r="AB71" s="184" t="s">
        <v>40</v>
      </c>
      <c r="AC71" s="217"/>
      <c r="AD71" s="186">
        <f t="shared" si="32"/>
        <v>-11.05</v>
      </c>
      <c r="AE71" s="218">
        <f t="shared" si="22"/>
        <v>1.0500000000000007</v>
      </c>
      <c r="AF71" s="193">
        <f t="shared" si="7"/>
        <v>17</v>
      </c>
      <c r="AG71" s="217">
        <f t="shared" si="23"/>
        <v>7</v>
      </c>
      <c r="AH71" s="186">
        <f>VLOOKUP(AB71,$C$42:$Z$51,6,FALSE)</f>
        <v>1</v>
      </c>
      <c r="AI71" s="186">
        <f t="shared" si="9"/>
        <v>0.45496173929297024</v>
      </c>
      <c r="AJ71" s="219"/>
      <c r="AK71" s="220">
        <f t="shared" si="11"/>
        <v>134.44999999999999</v>
      </c>
      <c r="AL71" s="202">
        <f t="shared" si="27"/>
        <v>134.44999999999999</v>
      </c>
      <c r="AM71" s="220"/>
      <c r="AN71" s="220">
        <f>(AE71*AG71)+AN70</f>
        <v>184.45</v>
      </c>
      <c r="AO71" s="221">
        <f t="shared" si="28"/>
        <v>83.917692812588356</v>
      </c>
      <c r="AP71" s="222"/>
      <c r="AQ71" s="194">
        <f t="shared" si="20"/>
        <v>299.95000000000005</v>
      </c>
      <c r="AR71" s="203">
        <f t="shared" si="31"/>
        <v>299.95000000000005</v>
      </c>
      <c r="AS71" s="220"/>
      <c r="AT71" s="220">
        <f t="shared" si="29"/>
        <v>134.44999999999999</v>
      </c>
      <c r="AU71" s="202">
        <f t="shared" si="30"/>
        <v>134.44999999999999</v>
      </c>
      <c r="AV71" s="220"/>
      <c r="AW71" s="220">
        <f t="shared" si="21"/>
        <v>149.44999999999999</v>
      </c>
      <c r="AX71" s="221">
        <f t="shared" si="33"/>
        <v>149.44999999999999</v>
      </c>
      <c r="AY71" s="220"/>
      <c r="AZ71" s="220">
        <f t="shared" si="26"/>
        <v>179.45</v>
      </c>
      <c r="BA71" s="221">
        <f t="shared" si="34"/>
        <v>81.642884116123497</v>
      </c>
      <c r="BB71" s="196">
        <f t="shared" si="14"/>
        <v>47.5</v>
      </c>
      <c r="BC71" s="196">
        <f t="shared" si="15"/>
        <v>20</v>
      </c>
      <c r="BD71" s="90">
        <f t="shared" si="16"/>
        <v>1.8198469571718809</v>
      </c>
      <c r="BF71" s="15">
        <f t="shared" si="17"/>
        <v>47.5</v>
      </c>
      <c r="BG71" s="198">
        <f t="shared" si="18"/>
        <v>21.610682616416085</v>
      </c>
      <c r="BH71" s="223">
        <f t="shared" si="19"/>
        <v>4</v>
      </c>
      <c r="BJ71" s="220"/>
    </row>
    <row r="72" spans="1:62" ht="14.25" customHeight="1">
      <c r="A72" s="162"/>
      <c r="B72" s="162"/>
      <c r="C72" s="162"/>
      <c r="D72" s="162" t="s">
        <v>106</v>
      </c>
      <c r="E72" s="162"/>
      <c r="F72" s="163"/>
      <c r="G72" s="163"/>
      <c r="H72" s="163"/>
      <c r="I72" s="163"/>
      <c r="J72" s="163"/>
      <c r="K72" s="163"/>
      <c r="L72" s="163" t="s">
        <v>104</v>
      </c>
      <c r="M72" s="497">
        <f>AC16*1000</f>
        <v>1000</v>
      </c>
      <c r="N72" s="501"/>
      <c r="O72" s="502"/>
      <c r="P72" s="162" t="s">
        <v>107</v>
      </c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  <c r="AB72" s="184" t="s">
        <v>40</v>
      </c>
      <c r="AC72" s="193"/>
      <c r="AD72" s="186">
        <f t="shared" si="32"/>
        <v>-12.100000000000001</v>
      </c>
      <c r="AE72" s="188">
        <f t="shared" si="22"/>
        <v>1.0500000000000007</v>
      </c>
      <c r="AF72" s="193">
        <f t="shared" si="7"/>
        <v>17</v>
      </c>
      <c r="AG72" s="193">
        <f t="shared" si="23"/>
        <v>7</v>
      </c>
      <c r="AH72" s="186">
        <f t="shared" si="8"/>
        <v>1</v>
      </c>
      <c r="AI72" s="186">
        <f t="shared" si="9"/>
        <v>0.45496173929297024</v>
      </c>
      <c r="AJ72" s="213"/>
      <c r="AK72" s="194">
        <f t="shared" si="11"/>
        <v>141.79999999999998</v>
      </c>
      <c r="AL72" s="202">
        <f t="shared" si="27"/>
        <v>141.79999999999998</v>
      </c>
      <c r="AM72" s="194"/>
      <c r="AN72" s="194">
        <f t="shared" si="25"/>
        <v>191.79999999999998</v>
      </c>
      <c r="AO72" s="202">
        <f t="shared" si="28"/>
        <v>87.26166159639169</v>
      </c>
      <c r="AP72" s="203"/>
      <c r="AQ72" s="194">
        <f t="shared" si="20"/>
        <v>317.80000000000007</v>
      </c>
      <c r="AR72" s="203">
        <f t="shared" si="31"/>
        <v>317.80000000000007</v>
      </c>
      <c r="AS72" s="194"/>
      <c r="AT72" s="194">
        <f t="shared" si="29"/>
        <v>141.79999999999998</v>
      </c>
      <c r="AU72" s="202">
        <f t="shared" si="30"/>
        <v>141.79999999999998</v>
      </c>
      <c r="AV72" s="194"/>
      <c r="AW72" s="194">
        <f t="shared" si="21"/>
        <v>156.79999999999998</v>
      </c>
      <c r="AX72" s="202">
        <f t="shared" si="33"/>
        <v>156.79999999999998</v>
      </c>
      <c r="AY72" s="194"/>
      <c r="AZ72" s="194">
        <f t="shared" si="26"/>
        <v>186.79999999999998</v>
      </c>
      <c r="BA72" s="202">
        <f t="shared" si="34"/>
        <v>84.986852899926831</v>
      </c>
      <c r="BB72" s="196">
        <f t="shared" si="14"/>
        <v>47.5</v>
      </c>
      <c r="BC72" s="196">
        <f t="shared" si="15"/>
        <v>20</v>
      </c>
      <c r="BD72" s="90">
        <f t="shared" si="16"/>
        <v>1.8198469571718809</v>
      </c>
      <c r="BF72" s="15">
        <f t="shared" si="17"/>
        <v>47.5</v>
      </c>
      <c r="BG72" s="198">
        <f t="shared" si="18"/>
        <v>21.610682616416085</v>
      </c>
      <c r="BH72" s="15">
        <f t="shared" si="19"/>
        <v>4</v>
      </c>
      <c r="BJ72" s="194"/>
    </row>
    <row r="73" spans="1:62" ht="14.25" customHeight="1">
      <c r="A73" s="162"/>
      <c r="B73" s="162"/>
      <c r="C73" s="162"/>
      <c r="D73" s="162" t="s">
        <v>108</v>
      </c>
      <c r="E73" s="162"/>
      <c r="F73" s="163"/>
      <c r="G73" s="163"/>
      <c r="H73" s="163"/>
      <c r="I73" s="163"/>
      <c r="J73" s="163"/>
      <c r="K73" s="163"/>
      <c r="L73" s="163" t="s">
        <v>104</v>
      </c>
      <c r="M73" s="497">
        <f>AC21*1000</f>
        <v>1000</v>
      </c>
      <c r="N73" s="501"/>
      <c r="O73" s="502"/>
      <c r="P73" s="162" t="s">
        <v>107</v>
      </c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184" t="s">
        <v>40</v>
      </c>
      <c r="AC73" s="193"/>
      <c r="AD73" s="186">
        <f t="shared" si="32"/>
        <v>-13.150000000000002</v>
      </c>
      <c r="AE73" s="188">
        <f t="shared" si="22"/>
        <v>1.0500000000000007</v>
      </c>
      <c r="AF73" s="193">
        <f t="shared" si="7"/>
        <v>17</v>
      </c>
      <c r="AG73" s="193">
        <f t="shared" si="23"/>
        <v>7</v>
      </c>
      <c r="AH73" s="186">
        <f t="shared" si="8"/>
        <v>1</v>
      </c>
      <c r="AI73" s="186">
        <f t="shared" si="9"/>
        <v>0.45496173929297024</v>
      </c>
      <c r="AJ73" s="213"/>
      <c r="AK73" s="194">
        <f t="shared" si="11"/>
        <v>149.14999999999998</v>
      </c>
      <c r="AL73" s="202">
        <f t="shared" si="27"/>
        <v>149.14999999999998</v>
      </c>
      <c r="AM73" s="194"/>
      <c r="AN73" s="194">
        <f>(AE73*AG73)+AN72</f>
        <v>199.14999999999998</v>
      </c>
      <c r="AO73" s="202">
        <f t="shared" si="28"/>
        <v>90.605630380195009</v>
      </c>
      <c r="AP73" s="203"/>
      <c r="AQ73" s="194">
        <f t="shared" si="20"/>
        <v>335.65000000000009</v>
      </c>
      <c r="AR73" s="203">
        <f t="shared" si="31"/>
        <v>335.65000000000009</v>
      </c>
      <c r="AS73" s="194"/>
      <c r="AT73" s="194">
        <f t="shared" si="29"/>
        <v>149.14999999999998</v>
      </c>
      <c r="AU73" s="202">
        <f t="shared" si="30"/>
        <v>149.14999999999998</v>
      </c>
      <c r="AV73" s="194"/>
      <c r="AW73" s="194">
        <f t="shared" si="21"/>
        <v>164.14999999999998</v>
      </c>
      <c r="AX73" s="202">
        <f t="shared" si="33"/>
        <v>164.14999999999998</v>
      </c>
      <c r="AY73" s="194"/>
      <c r="AZ73" s="194">
        <f t="shared" si="26"/>
        <v>194.14999999999998</v>
      </c>
      <c r="BA73" s="202">
        <f t="shared" si="34"/>
        <v>88.330821683730164</v>
      </c>
      <c r="BB73" s="196">
        <f t="shared" si="14"/>
        <v>47.5</v>
      </c>
      <c r="BC73" s="196">
        <f t="shared" si="15"/>
        <v>20</v>
      </c>
      <c r="BD73" s="90">
        <f t="shared" si="16"/>
        <v>1.8198469571718809</v>
      </c>
      <c r="BF73" s="15">
        <f t="shared" si="17"/>
        <v>47.5</v>
      </c>
      <c r="BG73" s="198">
        <f t="shared" si="18"/>
        <v>21.610682616416085</v>
      </c>
      <c r="BH73" s="15">
        <f t="shared" si="19"/>
        <v>4</v>
      </c>
      <c r="BJ73" s="194"/>
    </row>
    <row r="74" spans="1:62" ht="14.25" customHeight="1">
      <c r="A74" s="162"/>
      <c r="B74" s="162"/>
      <c r="C74" s="162"/>
      <c r="D74" s="503" t="s">
        <v>109</v>
      </c>
      <c r="E74" s="504"/>
      <c r="F74" s="504"/>
      <c r="G74" s="504"/>
      <c r="H74" s="504"/>
      <c r="I74" s="504"/>
      <c r="J74" s="505"/>
      <c r="K74" s="163"/>
      <c r="L74" s="163" t="s">
        <v>104</v>
      </c>
      <c r="M74" s="497">
        <f>AC22*1000</f>
        <v>1000</v>
      </c>
      <c r="N74" s="501"/>
      <c r="O74" s="502"/>
      <c r="P74" s="162" t="s">
        <v>107</v>
      </c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  <c r="AB74" s="184" t="s">
        <v>40</v>
      </c>
      <c r="AC74" s="193"/>
      <c r="AD74" s="186">
        <f t="shared" si="32"/>
        <v>-14.200000000000003</v>
      </c>
      <c r="AE74" s="188">
        <f t="shared" si="22"/>
        <v>1.0500000000000007</v>
      </c>
      <c r="AF74" s="193">
        <f t="shared" si="7"/>
        <v>17</v>
      </c>
      <c r="AG74" s="193">
        <f t="shared" si="23"/>
        <v>7</v>
      </c>
      <c r="AH74" s="186">
        <f t="shared" si="8"/>
        <v>1</v>
      </c>
      <c r="AI74" s="186">
        <f t="shared" si="9"/>
        <v>0.45496173929297024</v>
      </c>
      <c r="AJ74" s="213"/>
      <c r="AK74" s="194">
        <f t="shared" si="11"/>
        <v>156.49999999999997</v>
      </c>
      <c r="AL74" s="202">
        <f t="shared" si="27"/>
        <v>156.49999999999997</v>
      </c>
      <c r="AM74" s="194"/>
      <c r="AN74" s="194">
        <f>(AE74*AG74)+AN73</f>
        <v>206.49999999999997</v>
      </c>
      <c r="AO74" s="202">
        <f t="shared" si="28"/>
        <v>93.949599163998343</v>
      </c>
      <c r="AP74" s="203"/>
      <c r="AQ74" s="194">
        <f t="shared" si="20"/>
        <v>353.50000000000011</v>
      </c>
      <c r="AR74" s="203">
        <f t="shared" si="31"/>
        <v>353.50000000000011</v>
      </c>
      <c r="AS74" s="194"/>
      <c r="AT74" s="194">
        <f t="shared" si="29"/>
        <v>156.49999999999997</v>
      </c>
      <c r="AU74" s="202">
        <f t="shared" si="30"/>
        <v>156.49999999999997</v>
      </c>
      <c r="AV74" s="194"/>
      <c r="AW74" s="194">
        <f t="shared" si="21"/>
        <v>171.49999999999997</v>
      </c>
      <c r="AX74" s="202">
        <f t="shared" si="33"/>
        <v>171.49999999999997</v>
      </c>
      <c r="AY74" s="194"/>
      <c r="AZ74" s="194">
        <f t="shared" si="26"/>
        <v>201.49999999999997</v>
      </c>
      <c r="BA74" s="202">
        <f t="shared" si="34"/>
        <v>91.674790467533484</v>
      </c>
      <c r="BB74" s="196">
        <f t="shared" si="14"/>
        <v>47.5</v>
      </c>
      <c r="BC74" s="196">
        <f t="shared" si="15"/>
        <v>20</v>
      </c>
      <c r="BD74" s="90">
        <f t="shared" si="16"/>
        <v>1.8198469571718809</v>
      </c>
      <c r="BF74" s="15">
        <f t="shared" si="17"/>
        <v>47.5</v>
      </c>
      <c r="BG74" s="198">
        <f t="shared" si="18"/>
        <v>21.610682616416085</v>
      </c>
      <c r="BH74" s="15">
        <f t="shared" si="19"/>
        <v>4</v>
      </c>
      <c r="BJ74" s="194"/>
    </row>
    <row r="75" spans="1:62" ht="14.25" customHeight="1">
      <c r="A75" s="162"/>
      <c r="B75" s="162"/>
      <c r="C75" s="162"/>
      <c r="D75" s="162"/>
      <c r="E75" s="162"/>
      <c r="F75" s="163"/>
      <c r="G75" s="163"/>
      <c r="H75" s="163"/>
      <c r="I75" s="163"/>
      <c r="J75" s="163"/>
      <c r="K75" s="163"/>
      <c r="L75" s="163"/>
      <c r="M75" s="163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  <c r="AB75" s="184" t="s">
        <v>40</v>
      </c>
      <c r="AC75" s="193"/>
      <c r="AD75" s="186">
        <f t="shared" si="32"/>
        <v>-15.250000000000004</v>
      </c>
      <c r="AE75" s="188">
        <f t="shared" si="22"/>
        <v>1.0500000000000007</v>
      </c>
      <c r="AF75" s="193">
        <f t="shared" si="7"/>
        <v>17</v>
      </c>
      <c r="AG75" s="193">
        <f t="shared" si="23"/>
        <v>7</v>
      </c>
      <c r="AH75" s="186">
        <f t="shared" si="8"/>
        <v>1</v>
      </c>
      <c r="AI75" s="186">
        <f t="shared" si="9"/>
        <v>0.45496173929297024</v>
      </c>
      <c r="AJ75" s="213"/>
      <c r="AK75" s="194">
        <f t="shared" si="11"/>
        <v>163.84999999999997</v>
      </c>
      <c r="AL75" s="202">
        <f t="shared" si="27"/>
        <v>163.84999999999997</v>
      </c>
      <c r="AM75" s="194"/>
      <c r="AN75" s="194">
        <f>(AE75*AG75)+AN74</f>
        <v>213.84999999999997</v>
      </c>
      <c r="AO75" s="202">
        <f t="shared" si="28"/>
        <v>97.293567947801662</v>
      </c>
      <c r="AP75" s="203"/>
      <c r="AQ75" s="194">
        <f t="shared" si="20"/>
        <v>371.35000000000014</v>
      </c>
      <c r="AR75" s="203">
        <f t="shared" si="31"/>
        <v>371.35000000000014</v>
      </c>
      <c r="AS75" s="194"/>
      <c r="AT75" s="194">
        <f>(AE75*AG75)+AT74</f>
        <v>163.84999999999997</v>
      </c>
      <c r="AU75" s="202">
        <f t="shared" si="30"/>
        <v>163.84999999999997</v>
      </c>
      <c r="AV75" s="194"/>
      <c r="AW75" s="194">
        <f t="shared" si="21"/>
        <v>178.84999999999997</v>
      </c>
      <c r="AX75" s="202">
        <f t="shared" si="33"/>
        <v>178.84999999999997</v>
      </c>
      <c r="AY75" s="194"/>
      <c r="AZ75" s="194">
        <f t="shared" si="26"/>
        <v>208.84999999999997</v>
      </c>
      <c r="BA75" s="202">
        <f t="shared" si="34"/>
        <v>95.018759251336817</v>
      </c>
      <c r="BB75" s="196">
        <f t="shared" si="14"/>
        <v>47.5</v>
      </c>
      <c r="BC75" s="196">
        <f t="shared" si="15"/>
        <v>20</v>
      </c>
      <c r="BD75" s="90">
        <f t="shared" si="16"/>
        <v>1.8198469571718809</v>
      </c>
      <c r="BF75" s="15">
        <f t="shared" si="17"/>
        <v>47.5</v>
      </c>
      <c r="BG75" s="198">
        <f t="shared" si="18"/>
        <v>21.610682616416085</v>
      </c>
      <c r="BH75" s="15">
        <f t="shared" si="19"/>
        <v>4</v>
      </c>
      <c r="BJ75" s="194"/>
    </row>
    <row r="76" spans="1:62" ht="14.25" customHeight="1">
      <c r="A76" s="162"/>
      <c r="B76" s="214" t="s">
        <v>110</v>
      </c>
      <c r="C76" s="162"/>
      <c r="D76" s="162"/>
      <c r="E76" s="162"/>
      <c r="F76" s="163"/>
      <c r="G76" s="163"/>
      <c r="H76" s="163"/>
      <c r="I76" s="163"/>
      <c r="J76" s="163"/>
      <c r="K76" s="163"/>
      <c r="L76" s="163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84" t="s">
        <v>40</v>
      </c>
      <c r="AC76" s="201" t="s">
        <v>111</v>
      </c>
      <c r="AD76" s="186">
        <f>$AD$67-$U$69</f>
        <v>-11.35</v>
      </c>
      <c r="AE76" s="188">
        <f t="shared" si="22"/>
        <v>-3.9000000000000039</v>
      </c>
      <c r="AF76" s="193">
        <f t="shared" si="7"/>
        <v>17</v>
      </c>
      <c r="AG76" s="193">
        <f t="shared" si="23"/>
        <v>7</v>
      </c>
      <c r="AH76" s="186">
        <f t="shared" si="8"/>
        <v>1</v>
      </c>
      <c r="AI76" s="186">
        <f t="shared" si="9"/>
        <v>0.45496173929297024</v>
      </c>
      <c r="AJ76" s="213"/>
      <c r="AK76" s="194">
        <f t="shared" si="11"/>
        <v>136.54999999999995</v>
      </c>
      <c r="AL76" s="202">
        <f t="shared" si="27"/>
        <v>136.54999999999995</v>
      </c>
      <c r="AM76" s="194"/>
      <c r="AN76" s="194">
        <f>(AE76*AG76)+AN75</f>
        <v>186.54999999999995</v>
      </c>
      <c r="AO76" s="202">
        <f>AN76*AI76</f>
        <v>84.873112465103574</v>
      </c>
      <c r="AP76" s="203"/>
      <c r="AQ76" s="194">
        <f t="shared" si="20"/>
        <v>305.05000000000007</v>
      </c>
      <c r="AR76" s="203">
        <f>AQ76*AH76</f>
        <v>305.05000000000007</v>
      </c>
      <c r="AS76" s="194"/>
      <c r="AT76" s="194">
        <f>(AE76*AG76)+AT75</f>
        <v>136.54999999999995</v>
      </c>
      <c r="AU76" s="202">
        <f t="shared" si="30"/>
        <v>136.54999999999995</v>
      </c>
      <c r="AV76" s="194"/>
      <c r="AW76" s="194">
        <f t="shared" si="21"/>
        <v>151.54999999999995</v>
      </c>
      <c r="AX76" s="202">
        <f>AW76*$AH76</f>
        <v>151.54999999999995</v>
      </c>
      <c r="AY76" s="194"/>
      <c r="AZ76" s="194">
        <f>(AE76*AG76)+AZ75</f>
        <v>181.54999999999995</v>
      </c>
      <c r="BA76" s="202">
        <f t="shared" si="34"/>
        <v>82.598303768638729</v>
      </c>
      <c r="BB76" s="196">
        <f t="shared" si="14"/>
        <v>47.5</v>
      </c>
      <c r="BC76" s="196">
        <f t="shared" si="15"/>
        <v>20</v>
      </c>
      <c r="BD76" s="90">
        <f t="shared" si="16"/>
        <v>1.8198469571718809</v>
      </c>
      <c r="BF76" s="15">
        <f t="shared" si="17"/>
        <v>47.5</v>
      </c>
      <c r="BG76" s="198">
        <f t="shared" si="18"/>
        <v>21.610682616416085</v>
      </c>
      <c r="BH76" s="15">
        <f t="shared" si="19"/>
        <v>4</v>
      </c>
      <c r="BJ76" s="194"/>
    </row>
    <row r="77" spans="1:62" ht="14.25" customHeight="1">
      <c r="A77" s="162"/>
      <c r="B77" s="214"/>
      <c r="C77" s="162"/>
      <c r="D77" s="162"/>
      <c r="E77" s="162"/>
      <c r="F77" s="163"/>
      <c r="G77" s="163"/>
      <c r="H77" s="163"/>
      <c r="I77" s="163"/>
      <c r="J77" s="163"/>
      <c r="K77" s="163"/>
      <c r="L77" s="163"/>
      <c r="M77" s="163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  <c r="AB77" s="184" t="s">
        <v>40</v>
      </c>
      <c r="AC77" s="224" t="s">
        <v>112</v>
      </c>
      <c r="AD77" s="225">
        <f>$M$65-$M$74/1000</f>
        <v>-11.85</v>
      </c>
      <c r="AE77" s="226">
        <f t="shared" si="22"/>
        <v>0.5</v>
      </c>
      <c r="AF77" s="204">
        <f t="shared" si="7"/>
        <v>17</v>
      </c>
      <c r="AG77" s="204">
        <f t="shared" si="23"/>
        <v>7</v>
      </c>
      <c r="AH77" s="186">
        <f t="shared" si="8"/>
        <v>1</v>
      </c>
      <c r="AI77" s="186">
        <f t="shared" si="9"/>
        <v>0.45496173929297024</v>
      </c>
      <c r="AJ77" s="209"/>
      <c r="AK77" s="205">
        <f t="shared" si="11"/>
        <v>140.04999999999995</v>
      </c>
      <c r="AL77" s="202">
        <f t="shared" si="27"/>
        <v>140.04999999999995</v>
      </c>
      <c r="AM77" s="205"/>
      <c r="AN77" s="205">
        <f>(AE77*AG77)+AN76</f>
        <v>190.04999999999995</v>
      </c>
      <c r="AO77" s="227"/>
      <c r="AP77" s="228"/>
      <c r="AQ77" s="194">
        <f t="shared" si="20"/>
        <v>313.55000000000007</v>
      </c>
      <c r="AR77" s="203">
        <f>AQ77*AH77</f>
        <v>313.55000000000007</v>
      </c>
      <c r="AS77" s="205"/>
      <c r="AT77" s="205">
        <f>(AE77*AG77)+AT76</f>
        <v>140.04999999999995</v>
      </c>
      <c r="AU77" s="227"/>
      <c r="AV77" s="205"/>
      <c r="AW77" s="205">
        <f>(AE77*AG77)+AW76</f>
        <v>155.04999999999995</v>
      </c>
      <c r="AX77" s="227"/>
      <c r="AY77" s="205"/>
      <c r="AZ77" s="205">
        <f>(AE77*AG77)+AZ76</f>
        <v>185.04999999999995</v>
      </c>
      <c r="BA77" s="227"/>
      <c r="BB77" s="228"/>
      <c r="BD77" s="90">
        <f t="shared" si="16"/>
        <v>1.8198469571718809</v>
      </c>
      <c r="BF77" s="15">
        <f t="shared" si="17"/>
        <v>47.5</v>
      </c>
      <c r="BG77" s="198">
        <f t="shared" si="18"/>
        <v>21.610682616416085</v>
      </c>
      <c r="BH77" s="15">
        <f t="shared" si="19"/>
        <v>4</v>
      </c>
      <c r="BJ77" s="205"/>
    </row>
    <row r="78" spans="1:62" ht="14.25" customHeight="1">
      <c r="A78" s="162"/>
      <c r="B78" s="215" t="s">
        <v>113</v>
      </c>
      <c r="C78" s="215"/>
      <c r="D78" s="215"/>
      <c r="E78" s="215"/>
      <c r="F78" s="216"/>
      <c r="G78" s="163"/>
      <c r="H78" s="163"/>
      <c r="I78" s="163"/>
      <c r="J78" s="163"/>
      <c r="K78" s="163"/>
      <c r="L78" s="163"/>
      <c r="M78" s="163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C78" s="15" t="s">
        <v>114</v>
      </c>
      <c r="AE78" s="188"/>
      <c r="AF78" s="229"/>
      <c r="AG78" s="193"/>
      <c r="AH78" s="230"/>
      <c r="AI78" s="230"/>
      <c r="AJ78" s="231">
        <f>SUM(AJ58:AJ77)</f>
        <v>101.55</v>
      </c>
      <c r="AK78" s="194"/>
      <c r="AL78" s="189"/>
      <c r="AM78" s="231">
        <f>SUM(AM59:AM64)</f>
        <v>151.55000000000001</v>
      </c>
      <c r="AN78" s="194"/>
      <c r="AO78" s="195"/>
      <c r="AP78" s="231">
        <f>SUM(AP58:AP77)</f>
        <v>220.05</v>
      </c>
      <c r="AQ78" s="194"/>
      <c r="AR78" s="196"/>
      <c r="AS78" s="231">
        <f>SUM(AS59:AS64)</f>
        <v>86.55</v>
      </c>
      <c r="AT78" s="194"/>
      <c r="AU78" s="195"/>
      <c r="AV78" s="231">
        <f>SUM(AV58:AV77)</f>
        <v>116.55</v>
      </c>
      <c r="AW78" s="231"/>
      <c r="AX78" s="232"/>
      <c r="AY78" s="231">
        <f>SUM(AY58:AY77)</f>
        <v>146.55000000000001</v>
      </c>
      <c r="AZ78" s="194"/>
      <c r="BA78" s="195"/>
      <c r="BI78" s="231">
        <f>BI66</f>
        <v>4</v>
      </c>
      <c r="BJ78" s="231">
        <f>SUM(BJ59:BJ64)</f>
        <v>56.55</v>
      </c>
    </row>
    <row r="79" spans="1:62" ht="14.25" customHeight="1">
      <c r="A79" s="233"/>
      <c r="B79" s="162"/>
      <c r="C79" s="162"/>
      <c r="D79" s="162" t="s">
        <v>115</v>
      </c>
      <c r="E79" s="162"/>
      <c r="F79" s="163"/>
      <c r="G79" s="163"/>
      <c r="H79" s="163"/>
      <c r="I79" s="163"/>
      <c r="J79" s="163"/>
      <c r="K79" s="163"/>
      <c r="L79" s="163"/>
      <c r="M79" s="163"/>
      <c r="N79" s="162"/>
      <c r="O79" s="162"/>
      <c r="P79" s="162"/>
      <c r="Q79" s="162" t="s">
        <v>90</v>
      </c>
      <c r="R79" s="512">
        <v>25</v>
      </c>
      <c r="S79" s="513"/>
      <c r="T79" s="514"/>
      <c r="U79" s="162" t="s">
        <v>116</v>
      </c>
      <c r="V79" s="162"/>
      <c r="W79" s="162"/>
      <c r="X79" s="162"/>
      <c r="Y79" s="162"/>
      <c r="Z79" s="162"/>
      <c r="AA79" s="162"/>
      <c r="AC79" s="234"/>
      <c r="AD79" s="234"/>
      <c r="AE79" s="234"/>
      <c r="AF79" s="234"/>
      <c r="AG79" s="234"/>
      <c r="AH79" s="235"/>
      <c r="AI79" s="235"/>
      <c r="AJ79" s="234"/>
      <c r="AK79" s="234"/>
      <c r="AL79" s="236"/>
      <c r="AM79" s="234"/>
      <c r="AN79" s="234"/>
      <c r="AO79" s="237"/>
      <c r="AP79" s="234"/>
      <c r="AQ79" s="234"/>
      <c r="AR79" s="234"/>
      <c r="AS79" s="234"/>
      <c r="AT79" s="234"/>
      <c r="AU79" s="237"/>
      <c r="AV79" s="234"/>
      <c r="AW79" s="234"/>
      <c r="AX79" s="237"/>
      <c r="AY79" s="234"/>
      <c r="AZ79" s="234"/>
      <c r="BA79" s="237"/>
      <c r="BB79" s="234"/>
    </row>
    <row r="80" spans="1:62" ht="14.25" customHeight="1">
      <c r="A80" s="162"/>
      <c r="B80" s="191" t="s">
        <v>117</v>
      </c>
      <c r="C80" s="191"/>
      <c r="D80" s="191"/>
      <c r="E80" s="191"/>
      <c r="F80" s="192"/>
      <c r="G80" s="192"/>
      <c r="H80" s="192"/>
      <c r="I80" s="192"/>
      <c r="J80" s="192"/>
      <c r="K80" s="192"/>
      <c r="L80" s="163"/>
      <c r="M80" s="163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  <c r="AC80" s="238" t="s">
        <v>118</v>
      </c>
    </row>
    <row r="81" spans="1:59" ht="14.25" customHeight="1">
      <c r="A81" s="233"/>
      <c r="B81" s="178"/>
      <c r="C81" s="178"/>
      <c r="D81" s="178"/>
      <c r="E81" s="178"/>
      <c r="F81" s="179"/>
      <c r="G81" s="179"/>
      <c r="H81" s="179"/>
      <c r="I81" s="179"/>
      <c r="J81" s="179" t="s">
        <v>119</v>
      </c>
      <c r="K81" s="179"/>
      <c r="L81" s="163"/>
      <c r="M81" s="163"/>
      <c r="N81" s="162"/>
      <c r="O81" s="162"/>
      <c r="P81" s="162"/>
      <c r="Q81" s="162" t="s">
        <v>90</v>
      </c>
      <c r="R81" s="515">
        <v>10</v>
      </c>
      <c r="S81" s="516"/>
      <c r="T81" s="162" t="s">
        <v>120</v>
      </c>
      <c r="U81" s="162"/>
      <c r="V81" s="162" t="s">
        <v>121</v>
      </c>
      <c r="W81" s="162"/>
      <c r="X81" s="162"/>
      <c r="Y81" s="162"/>
      <c r="Z81" s="162"/>
      <c r="AA81" s="162"/>
      <c r="AV81" s="181" t="s">
        <v>52</v>
      </c>
      <c r="AX81" s="182" t="s">
        <v>52</v>
      </c>
      <c r="AY81" s="181" t="s">
        <v>51</v>
      </c>
      <c r="BA81" s="182" t="s">
        <v>51</v>
      </c>
    </row>
    <row r="82" spans="1:59" ht="14.25" customHeight="1">
      <c r="A82" s="162"/>
      <c r="B82" s="162"/>
      <c r="C82" s="162"/>
      <c r="D82" s="162"/>
      <c r="E82" s="162"/>
      <c r="F82" s="163"/>
      <c r="G82" s="163"/>
      <c r="H82" s="163"/>
      <c r="I82" s="163"/>
      <c r="J82" s="163" t="s">
        <v>122</v>
      </c>
      <c r="K82" s="239"/>
      <c r="L82" s="163"/>
      <c r="M82" s="163"/>
      <c r="N82" s="162"/>
      <c r="O82" s="162"/>
      <c r="P82" s="162"/>
      <c r="Q82" s="162" t="s">
        <v>90</v>
      </c>
      <c r="R82" s="515">
        <v>5</v>
      </c>
      <c r="S82" s="516"/>
      <c r="T82" s="162" t="s">
        <v>120</v>
      </c>
      <c r="U82" s="162"/>
      <c r="V82" s="162" t="s">
        <v>123</v>
      </c>
      <c r="W82" s="162"/>
      <c r="X82" s="162"/>
      <c r="Y82" s="162"/>
      <c r="Z82" s="162"/>
      <c r="AA82" s="162"/>
      <c r="AC82" s="459" t="s">
        <v>124</v>
      </c>
      <c r="AD82" s="517" t="s">
        <v>125</v>
      </c>
      <c r="AE82" s="463" t="s">
        <v>55</v>
      </c>
      <c r="AF82" s="465" t="s">
        <v>57</v>
      </c>
      <c r="AG82" s="465" t="s">
        <v>126</v>
      </c>
      <c r="AH82" s="485" t="s">
        <v>58</v>
      </c>
      <c r="AI82" s="485" t="s">
        <v>59</v>
      </c>
      <c r="AJ82" s="481" t="s">
        <v>60</v>
      </c>
      <c r="AK82" s="483" t="s">
        <v>61</v>
      </c>
      <c r="AL82" s="487" t="s">
        <v>62</v>
      </c>
      <c r="AM82" s="481" t="s">
        <v>63</v>
      </c>
      <c r="AN82" s="483" t="s">
        <v>64</v>
      </c>
      <c r="AO82" s="479" t="s">
        <v>65</v>
      </c>
      <c r="AP82" s="481" t="s">
        <v>66</v>
      </c>
      <c r="AQ82" s="483" t="s">
        <v>64</v>
      </c>
      <c r="AR82" s="481" t="s">
        <v>67</v>
      </c>
      <c r="AS82" s="481" t="s">
        <v>68</v>
      </c>
      <c r="AT82" s="483" t="s">
        <v>69</v>
      </c>
      <c r="AU82" s="479" t="s">
        <v>67</v>
      </c>
      <c r="AV82" s="481" t="s">
        <v>127</v>
      </c>
      <c r="AW82" s="483" t="s">
        <v>128</v>
      </c>
      <c r="AX82" s="479" t="s">
        <v>129</v>
      </c>
      <c r="AY82" s="481" t="s">
        <v>130</v>
      </c>
      <c r="AZ82" s="483" t="s">
        <v>131</v>
      </c>
      <c r="BA82" s="479" t="s">
        <v>132</v>
      </c>
      <c r="BB82" s="481" t="s">
        <v>133</v>
      </c>
      <c r="BC82" s="481" t="s">
        <v>134</v>
      </c>
      <c r="BD82" s="481" t="s">
        <v>78</v>
      </c>
      <c r="BE82" s="481" t="s">
        <v>82</v>
      </c>
      <c r="BF82" s="481" t="s">
        <v>76</v>
      </c>
      <c r="BG82" s="481" t="s">
        <v>77</v>
      </c>
    </row>
    <row r="83" spans="1:59" ht="14.25" customHeight="1">
      <c r="A83" s="162"/>
      <c r="B83" s="162"/>
      <c r="C83" s="240"/>
      <c r="D83" s="240"/>
      <c r="E83" s="162"/>
      <c r="F83" s="163"/>
      <c r="G83" s="163"/>
      <c r="H83" s="163"/>
      <c r="I83" s="163"/>
      <c r="J83" s="163"/>
      <c r="K83" s="239"/>
      <c r="L83" s="163"/>
      <c r="M83" s="163"/>
      <c r="N83" s="162"/>
      <c r="O83" s="241"/>
      <c r="P83" s="242"/>
      <c r="Q83" s="162"/>
      <c r="R83" s="162"/>
      <c r="S83" s="240"/>
      <c r="T83" s="243"/>
      <c r="U83" s="242"/>
      <c r="V83" s="162"/>
      <c r="W83" s="162"/>
      <c r="X83" s="162"/>
      <c r="Y83" s="240"/>
      <c r="Z83" s="162"/>
      <c r="AA83" s="162"/>
      <c r="AC83" s="459"/>
      <c r="AD83" s="517"/>
      <c r="AE83" s="463"/>
      <c r="AF83" s="466"/>
      <c r="AG83" s="466"/>
      <c r="AH83" s="485"/>
      <c r="AI83" s="485"/>
      <c r="AJ83" s="481"/>
      <c r="AK83" s="483"/>
      <c r="AL83" s="487"/>
      <c r="AM83" s="481"/>
      <c r="AN83" s="483"/>
      <c r="AO83" s="479"/>
      <c r="AP83" s="481"/>
      <c r="AQ83" s="483"/>
      <c r="AR83" s="481"/>
      <c r="AS83" s="481"/>
      <c r="AT83" s="483"/>
      <c r="AU83" s="479"/>
      <c r="AV83" s="481"/>
      <c r="AW83" s="483"/>
      <c r="AX83" s="479"/>
      <c r="AY83" s="481"/>
      <c r="AZ83" s="483"/>
      <c r="BA83" s="479"/>
      <c r="BB83" s="481"/>
      <c r="BC83" s="481"/>
      <c r="BD83" s="481"/>
      <c r="BE83" s="481"/>
      <c r="BF83" s="481"/>
      <c r="BG83" s="481"/>
    </row>
    <row r="84" spans="1:59" ht="14.25" customHeight="1">
      <c r="A84" s="162"/>
      <c r="B84" s="162"/>
      <c r="C84" s="240"/>
      <c r="D84" s="162"/>
      <c r="E84" s="162"/>
      <c r="F84" s="163"/>
      <c r="G84" s="163"/>
      <c r="H84" s="163"/>
      <c r="I84" s="163"/>
      <c r="J84" s="239"/>
      <c r="K84" s="163"/>
      <c r="L84" s="163"/>
      <c r="M84" s="163"/>
      <c r="N84" s="162"/>
      <c r="O84" s="162"/>
      <c r="P84" s="515"/>
      <c r="Q84" s="516"/>
      <c r="R84" s="162"/>
      <c r="S84" s="241"/>
      <c r="T84" s="242"/>
      <c r="U84" s="162" t="s">
        <v>135</v>
      </c>
      <c r="V84" s="162"/>
      <c r="W84" s="162"/>
      <c r="X84" s="240"/>
      <c r="Y84" s="162"/>
      <c r="Z84" s="162"/>
      <c r="AA84" s="162"/>
      <c r="AB84" s="184" t="s">
        <v>84</v>
      </c>
      <c r="AC84" s="460"/>
      <c r="AD84" s="518"/>
      <c r="AE84" s="464"/>
      <c r="AF84" s="467"/>
      <c r="AG84" s="467"/>
      <c r="AH84" s="486"/>
      <c r="AI84" s="486"/>
      <c r="AJ84" s="482"/>
      <c r="AK84" s="484"/>
      <c r="AL84" s="488"/>
      <c r="AM84" s="482"/>
      <c r="AN84" s="484"/>
      <c r="AO84" s="480"/>
      <c r="AP84" s="482"/>
      <c r="AQ84" s="484"/>
      <c r="AR84" s="482"/>
      <c r="AS84" s="482"/>
      <c r="AT84" s="484"/>
      <c r="AU84" s="480"/>
      <c r="AV84" s="482"/>
      <c r="AW84" s="484"/>
      <c r="AX84" s="480"/>
      <c r="AY84" s="482"/>
      <c r="AZ84" s="484"/>
      <c r="BA84" s="480"/>
      <c r="BB84" s="482"/>
      <c r="BC84" s="482"/>
      <c r="BD84" s="482"/>
      <c r="BE84" s="482"/>
      <c r="BF84" s="482"/>
      <c r="BG84" s="482"/>
    </row>
    <row r="85" spans="1:59" ht="14.25" customHeight="1">
      <c r="A85" s="162"/>
      <c r="B85" s="162"/>
      <c r="C85" s="240"/>
      <c r="D85" s="162"/>
      <c r="E85" s="162"/>
      <c r="F85" s="163"/>
      <c r="G85" s="163"/>
      <c r="H85" s="163"/>
      <c r="I85" s="163"/>
      <c r="J85" s="163"/>
      <c r="K85" s="163"/>
      <c r="L85" s="163"/>
      <c r="M85" s="163"/>
      <c r="N85" s="162"/>
      <c r="O85" s="162"/>
      <c r="P85" s="240"/>
      <c r="Q85" s="162"/>
      <c r="R85" s="240"/>
      <c r="S85" s="162"/>
      <c r="T85" s="162"/>
      <c r="U85" s="162" t="s">
        <v>136</v>
      </c>
      <c r="V85" s="162"/>
      <c r="W85" s="162"/>
      <c r="X85" s="162"/>
      <c r="Y85" s="162"/>
      <c r="Z85" s="162"/>
      <c r="AA85" s="162"/>
      <c r="AB85" s="184" t="s">
        <v>26</v>
      </c>
      <c r="AC85" s="185" t="s">
        <v>85</v>
      </c>
      <c r="AD85" s="244">
        <f>$M$60</f>
        <v>5.5</v>
      </c>
      <c r="AE85" s="245" t="s">
        <v>86</v>
      </c>
      <c r="AF85" s="245" t="s">
        <v>86</v>
      </c>
      <c r="AG85" s="245" t="s">
        <v>86</v>
      </c>
      <c r="AH85" s="218" t="s">
        <v>86</v>
      </c>
      <c r="AI85" s="218" t="s">
        <v>86</v>
      </c>
      <c r="AJ85" s="246"/>
      <c r="AK85" s="246"/>
      <c r="AL85" s="247"/>
      <c r="AM85" s="246"/>
      <c r="AN85" s="246"/>
      <c r="AO85" s="248"/>
      <c r="AP85" s="246"/>
      <c r="AQ85" s="246"/>
      <c r="AR85" s="246"/>
      <c r="AS85" s="246"/>
      <c r="AT85" s="246"/>
      <c r="AU85" s="248"/>
      <c r="AV85" s="246"/>
      <c r="AW85" s="246"/>
      <c r="AX85" s="248"/>
      <c r="AY85" s="246"/>
      <c r="AZ85" s="246"/>
      <c r="BA85" s="248"/>
    </row>
    <row r="86" spans="1:59" ht="14.25" customHeight="1">
      <c r="A86" s="162"/>
      <c r="B86" s="162"/>
      <c r="C86" s="162"/>
      <c r="D86" s="162"/>
      <c r="E86" s="162"/>
      <c r="F86" s="163"/>
      <c r="G86" s="163"/>
      <c r="H86" s="163"/>
      <c r="I86" s="163"/>
      <c r="J86" s="163"/>
      <c r="K86" s="163"/>
      <c r="L86" s="163"/>
      <c r="M86" s="163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84" t="s">
        <v>26</v>
      </c>
      <c r="AC86" s="185" t="s">
        <v>88</v>
      </c>
      <c r="AD86" s="186">
        <f>AD85-1.5</f>
        <v>4</v>
      </c>
      <c r="AE86" s="188">
        <f t="shared" ref="AE86:AE102" si="35">AD85-AD86</f>
        <v>1.5</v>
      </c>
      <c r="AF86" s="229">
        <f t="shared" ref="AF86:AF102" si="36">VLOOKUP(AB86,$C$42:$Z$51,4,FALSE)</f>
        <v>20</v>
      </c>
      <c r="AG86" s="193">
        <f>AF86-10</f>
        <v>10</v>
      </c>
      <c r="AH86" s="230">
        <f t="shared" ref="AH86:AH102" si="37">VLOOKUP(AB86,$C$42:$Z$51,6,FALSE)</f>
        <v>0.65</v>
      </c>
      <c r="AI86" s="230">
        <f t="shared" ref="AI86:AI102" si="38">VLOOKUP(AB86,$C$42:$Z$51,8,FALSE)</f>
        <v>0.30725852452246849</v>
      </c>
      <c r="AJ86" s="194">
        <f t="shared" ref="AJ86:AJ91" si="39">AG86*AE86</f>
        <v>15</v>
      </c>
      <c r="AK86" s="194">
        <f t="shared" ref="AK86:AK102" si="40">(AE86*AG86)+AK85</f>
        <v>15</v>
      </c>
      <c r="AL86" s="189"/>
      <c r="AM86" s="194">
        <f>AE86*AF86</f>
        <v>30</v>
      </c>
      <c r="AN86" s="194">
        <f>(AE86*AF86)+AN85</f>
        <v>30</v>
      </c>
      <c r="AO86" s="195"/>
      <c r="AP86" s="196">
        <f t="shared" ref="AP86:AP91" si="41">AF86*AE86</f>
        <v>30</v>
      </c>
      <c r="AQ86" s="194">
        <f>AE86*AF86+AQ85</f>
        <v>30</v>
      </c>
      <c r="AR86" s="196"/>
      <c r="AS86" s="197">
        <v>0</v>
      </c>
      <c r="AT86" s="194">
        <f>(AE86*AG86)+AT85</f>
        <v>15</v>
      </c>
      <c r="AU86" s="195"/>
      <c r="AV86" s="194">
        <f>AE86*AF86</f>
        <v>30</v>
      </c>
      <c r="AW86" s="194">
        <f>(AE86*AF86)+AW85</f>
        <v>30</v>
      </c>
      <c r="AX86" s="195"/>
      <c r="AY86" s="194">
        <f>AE86*AF86</f>
        <v>30</v>
      </c>
      <c r="AZ86" s="194">
        <f>(AE86*AF86)+AZ85</f>
        <v>30</v>
      </c>
      <c r="BA86" s="195"/>
      <c r="BB86" s="15">
        <f t="shared" ref="BB86:BB102" si="42">AH86*$AD$44</f>
        <v>30.875</v>
      </c>
      <c r="BC86" s="15">
        <f t="shared" ref="BC86:BC102" si="43">AI86*$AD$44</f>
        <v>14.594779914817254</v>
      </c>
      <c r="BD86" s="90">
        <f t="shared" ref="BD86:BD104" si="44">AI86*$AD$47</f>
        <v>1.229034098089874</v>
      </c>
      <c r="BE86" s="15">
        <f t="shared" ref="BE86:BE102" si="45">AH86*$AD$47</f>
        <v>2.6</v>
      </c>
      <c r="BF86" s="196">
        <f t="shared" ref="BF86:BF103" si="46">AH86*$AD$44</f>
        <v>30.875</v>
      </c>
      <c r="BG86" s="196">
        <f t="shared" ref="BG86:BG103" si="47">AH86*$AD$46</f>
        <v>13</v>
      </c>
    </row>
    <row r="87" spans="1:59" ht="14.25" customHeight="1">
      <c r="A87" s="162"/>
      <c r="B87" s="162"/>
      <c r="C87" s="162"/>
      <c r="D87" s="162"/>
      <c r="E87" s="162"/>
      <c r="F87" s="163"/>
      <c r="G87" s="163"/>
      <c r="H87" s="163"/>
      <c r="I87" s="163"/>
      <c r="J87" s="163"/>
      <c r="K87" s="163"/>
      <c r="L87" s="163"/>
      <c r="M87" s="163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  <c r="AB87" s="184" t="s">
        <v>26</v>
      </c>
      <c r="AC87" s="185" t="s">
        <v>92</v>
      </c>
      <c r="AD87" s="199">
        <f>AD85-4.5</f>
        <v>1</v>
      </c>
      <c r="AE87" s="188">
        <f t="shared" si="35"/>
        <v>3</v>
      </c>
      <c r="AF87" s="229">
        <f t="shared" si="36"/>
        <v>20</v>
      </c>
      <c r="AG87" s="193">
        <f>AF87-10</f>
        <v>10</v>
      </c>
      <c r="AH87" s="230">
        <f t="shared" si="37"/>
        <v>0.65</v>
      </c>
      <c r="AI87" s="230">
        <f t="shared" si="38"/>
        <v>0.30725852452246849</v>
      </c>
      <c r="AJ87" s="194">
        <f t="shared" si="39"/>
        <v>30</v>
      </c>
      <c r="AK87" s="194">
        <f t="shared" si="40"/>
        <v>45</v>
      </c>
      <c r="AL87" s="189"/>
      <c r="AM87" s="194">
        <f>AE87*AF87</f>
        <v>60</v>
      </c>
      <c r="AN87" s="194">
        <f>(AE87*AF87)+AN86</f>
        <v>90</v>
      </c>
      <c r="AO87" s="195"/>
      <c r="AP87" s="196">
        <f t="shared" si="41"/>
        <v>60</v>
      </c>
      <c r="AQ87" s="194">
        <f t="shared" ref="AQ87:AQ102" si="48">AE87*AF87+AQ86</f>
        <v>90</v>
      </c>
      <c r="AR87" s="196"/>
      <c r="AS87" s="194">
        <f>AE87*AG87</f>
        <v>30</v>
      </c>
      <c r="AT87" s="194">
        <f t="shared" ref="AT87:AT102" si="49">(AE87*AG87)+AT86</f>
        <v>45</v>
      </c>
      <c r="AU87" s="195"/>
      <c r="AV87" s="194">
        <f>AE87*AF87</f>
        <v>60</v>
      </c>
      <c r="AW87" s="194">
        <f>(AE87*AF87)+AW86</f>
        <v>90</v>
      </c>
      <c r="AX87" s="195"/>
      <c r="AY87" s="194">
        <f>AE87*AG87</f>
        <v>30</v>
      </c>
      <c r="AZ87" s="194">
        <f t="shared" ref="AZ87:AZ102" si="50">(AE87*AG87)+AZ86</f>
        <v>60</v>
      </c>
      <c r="BA87" s="195"/>
      <c r="BB87" s="15">
        <f t="shared" si="42"/>
        <v>30.875</v>
      </c>
      <c r="BC87" s="15">
        <f t="shared" si="43"/>
        <v>14.594779914817254</v>
      </c>
      <c r="BD87" s="90">
        <f t="shared" si="44"/>
        <v>1.229034098089874</v>
      </c>
      <c r="BE87" s="15">
        <f t="shared" si="45"/>
        <v>2.6</v>
      </c>
      <c r="BF87" s="196">
        <f t="shared" si="46"/>
        <v>30.875</v>
      </c>
      <c r="BG87" s="196">
        <f t="shared" si="47"/>
        <v>13</v>
      </c>
    </row>
    <row r="88" spans="1:59" ht="14.25" customHeight="1">
      <c r="A88" s="162"/>
      <c r="B88" s="162"/>
      <c r="C88" s="162"/>
      <c r="D88" s="162"/>
      <c r="E88" s="162"/>
      <c r="F88" s="163"/>
      <c r="G88" s="163"/>
      <c r="H88" s="163"/>
      <c r="I88" s="163"/>
      <c r="J88" s="163"/>
      <c r="K88" s="163"/>
      <c r="L88" s="163"/>
      <c r="M88" s="163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84" t="s">
        <v>26</v>
      </c>
      <c r="AC88" s="185" t="s">
        <v>94</v>
      </c>
      <c r="AD88" s="199">
        <f>AD85-5</f>
        <v>0.5</v>
      </c>
      <c r="AE88" s="188">
        <f t="shared" si="35"/>
        <v>0.5</v>
      </c>
      <c r="AF88" s="229">
        <f t="shared" si="36"/>
        <v>20</v>
      </c>
      <c r="AG88" s="193">
        <f t="shared" ref="AG88:AG102" si="51">AF88-10</f>
        <v>10</v>
      </c>
      <c r="AH88" s="230">
        <f t="shared" si="37"/>
        <v>0.65</v>
      </c>
      <c r="AI88" s="230">
        <f t="shared" si="38"/>
        <v>0.30725852452246849</v>
      </c>
      <c r="AJ88" s="194">
        <f t="shared" si="39"/>
        <v>5</v>
      </c>
      <c r="AK88" s="194">
        <f t="shared" si="40"/>
        <v>50</v>
      </c>
      <c r="AL88" s="189"/>
      <c r="AM88" s="194">
        <f>AE88*AF88</f>
        <v>10</v>
      </c>
      <c r="AN88" s="194">
        <f>(AE88*AF88)+AN87</f>
        <v>100</v>
      </c>
      <c r="AO88" s="195"/>
      <c r="AP88" s="196">
        <f t="shared" si="41"/>
        <v>10</v>
      </c>
      <c r="AQ88" s="194">
        <f t="shared" si="48"/>
        <v>100</v>
      </c>
      <c r="AR88" s="196"/>
      <c r="AS88" s="194">
        <f>AE88*AG88</f>
        <v>5</v>
      </c>
      <c r="AT88" s="194">
        <f t="shared" si="49"/>
        <v>50</v>
      </c>
      <c r="AU88" s="195"/>
      <c r="AV88" s="194">
        <f>AE88*AG88</f>
        <v>5</v>
      </c>
      <c r="AW88" s="194">
        <f t="shared" ref="AW88:AW97" si="52">(AE88*AG88)+AW87</f>
        <v>95</v>
      </c>
      <c r="AX88" s="195"/>
      <c r="AY88" s="194">
        <f>AE88*AG88</f>
        <v>5</v>
      </c>
      <c r="AZ88" s="194">
        <f t="shared" si="50"/>
        <v>65</v>
      </c>
      <c r="BA88" s="195"/>
      <c r="BB88" s="15">
        <f t="shared" si="42"/>
        <v>30.875</v>
      </c>
      <c r="BC88" s="15">
        <f t="shared" si="43"/>
        <v>14.594779914817254</v>
      </c>
      <c r="BD88" s="90">
        <f t="shared" si="44"/>
        <v>1.229034098089874</v>
      </c>
      <c r="BE88" s="15">
        <f t="shared" si="45"/>
        <v>2.6</v>
      </c>
      <c r="BF88" s="196">
        <f t="shared" si="46"/>
        <v>30.875</v>
      </c>
      <c r="BG88" s="196">
        <f t="shared" si="47"/>
        <v>13</v>
      </c>
    </row>
    <row r="89" spans="1:59" ht="14.25" customHeight="1">
      <c r="A89" s="162"/>
      <c r="B89" s="162"/>
      <c r="C89" s="162"/>
      <c r="D89" s="162"/>
      <c r="E89" s="162"/>
      <c r="F89" s="163"/>
      <c r="G89" s="163"/>
      <c r="H89" s="163"/>
      <c r="I89" s="163"/>
      <c r="J89" s="163"/>
      <c r="K89" s="163"/>
      <c r="L89" s="163"/>
      <c r="M89" s="163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84" t="s">
        <v>26</v>
      </c>
      <c r="AC89" s="200"/>
      <c r="AD89" s="199">
        <v>-0.1</v>
      </c>
      <c r="AE89" s="188">
        <f t="shared" si="35"/>
        <v>0.6</v>
      </c>
      <c r="AF89" s="229">
        <f t="shared" si="36"/>
        <v>20</v>
      </c>
      <c r="AG89" s="193">
        <f t="shared" si="51"/>
        <v>10</v>
      </c>
      <c r="AH89" s="230">
        <f t="shared" si="37"/>
        <v>0.65</v>
      </c>
      <c r="AI89" s="230">
        <f t="shared" si="38"/>
        <v>0.30725852452246849</v>
      </c>
      <c r="AJ89" s="194">
        <f t="shared" si="39"/>
        <v>6</v>
      </c>
      <c r="AK89" s="194">
        <f t="shared" si="40"/>
        <v>56</v>
      </c>
      <c r="AL89" s="189"/>
      <c r="AM89" s="194">
        <f>AE89*AG89</f>
        <v>6</v>
      </c>
      <c r="AN89" s="194">
        <f t="shared" ref="AN89:AN97" si="53">(AE89*AG89)+AN88</f>
        <v>106</v>
      </c>
      <c r="AO89" s="195"/>
      <c r="AP89" s="196">
        <f t="shared" si="41"/>
        <v>12</v>
      </c>
      <c r="AQ89" s="194">
        <f t="shared" si="48"/>
        <v>112</v>
      </c>
      <c r="AR89" s="196"/>
      <c r="AS89" s="194">
        <f>AE89*AG89</f>
        <v>6</v>
      </c>
      <c r="AT89" s="194">
        <f t="shared" si="49"/>
        <v>56</v>
      </c>
      <c r="AU89" s="195"/>
      <c r="AV89" s="194">
        <f>AE89*AG89</f>
        <v>6</v>
      </c>
      <c r="AW89" s="194">
        <f t="shared" si="52"/>
        <v>101</v>
      </c>
      <c r="AX89" s="195"/>
      <c r="AY89" s="194">
        <f>AE89*AG89</f>
        <v>6</v>
      </c>
      <c r="AZ89" s="194">
        <f t="shared" si="50"/>
        <v>71</v>
      </c>
      <c r="BA89" s="195"/>
      <c r="BB89" s="15">
        <f t="shared" si="42"/>
        <v>30.875</v>
      </c>
      <c r="BC89" s="15">
        <f t="shared" si="43"/>
        <v>14.594779914817254</v>
      </c>
      <c r="BD89" s="90">
        <f t="shared" si="44"/>
        <v>1.229034098089874</v>
      </c>
      <c r="BE89" s="15">
        <f t="shared" si="45"/>
        <v>2.6</v>
      </c>
      <c r="BF89" s="196">
        <f t="shared" si="46"/>
        <v>30.875</v>
      </c>
      <c r="BG89" s="196">
        <f t="shared" si="47"/>
        <v>13</v>
      </c>
    </row>
    <row r="90" spans="1:59" ht="14.25" customHeight="1">
      <c r="A90" s="162"/>
      <c r="B90" s="162"/>
      <c r="C90" s="162"/>
      <c r="D90" s="162"/>
      <c r="E90" s="162"/>
      <c r="F90" s="163"/>
      <c r="G90" s="163"/>
      <c r="H90" s="163"/>
      <c r="I90" s="163"/>
      <c r="J90" s="163"/>
      <c r="K90" s="163"/>
      <c r="L90" s="163"/>
      <c r="M90" s="163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84" t="s">
        <v>26</v>
      </c>
      <c r="AC90" s="200"/>
      <c r="AD90" s="199">
        <v>-0.7</v>
      </c>
      <c r="AE90" s="188">
        <f t="shared" si="35"/>
        <v>0.6</v>
      </c>
      <c r="AF90" s="229">
        <f t="shared" si="36"/>
        <v>20</v>
      </c>
      <c r="AG90" s="193">
        <f t="shared" si="51"/>
        <v>10</v>
      </c>
      <c r="AH90" s="230">
        <f t="shared" si="37"/>
        <v>0.65</v>
      </c>
      <c r="AI90" s="230">
        <f t="shared" si="38"/>
        <v>0.30725852452246849</v>
      </c>
      <c r="AJ90" s="194">
        <f t="shared" si="39"/>
        <v>6</v>
      </c>
      <c r="AK90" s="194">
        <f t="shared" si="40"/>
        <v>62</v>
      </c>
      <c r="AL90" s="189"/>
      <c r="AM90" s="194">
        <f>AE90*AG90</f>
        <v>6</v>
      </c>
      <c r="AN90" s="194">
        <f t="shared" si="53"/>
        <v>112</v>
      </c>
      <c r="AO90" s="195"/>
      <c r="AP90" s="196">
        <f t="shared" si="41"/>
        <v>12</v>
      </c>
      <c r="AQ90" s="194">
        <f t="shared" si="48"/>
        <v>124</v>
      </c>
      <c r="AR90" s="196"/>
      <c r="AS90" s="194">
        <f>AE90*AG90</f>
        <v>6</v>
      </c>
      <c r="AT90" s="194">
        <f t="shared" si="49"/>
        <v>62</v>
      </c>
      <c r="AU90" s="195"/>
      <c r="AV90" s="194">
        <f>AE90*AG90</f>
        <v>6</v>
      </c>
      <c r="AW90" s="194">
        <f t="shared" si="52"/>
        <v>107</v>
      </c>
      <c r="AX90" s="195"/>
      <c r="AY90" s="194">
        <f>AE90*AG90</f>
        <v>6</v>
      </c>
      <c r="AZ90" s="194">
        <f t="shared" si="50"/>
        <v>77</v>
      </c>
      <c r="BA90" s="195"/>
      <c r="BB90" s="15">
        <f t="shared" si="42"/>
        <v>30.875</v>
      </c>
      <c r="BC90" s="15">
        <f t="shared" si="43"/>
        <v>14.594779914817254</v>
      </c>
      <c r="BD90" s="90">
        <f t="shared" si="44"/>
        <v>1.229034098089874</v>
      </c>
      <c r="BE90" s="15">
        <f t="shared" si="45"/>
        <v>2.6</v>
      </c>
      <c r="BF90" s="196">
        <f t="shared" si="46"/>
        <v>30.875</v>
      </c>
      <c r="BG90" s="196">
        <f t="shared" si="47"/>
        <v>13</v>
      </c>
    </row>
    <row r="91" spans="1:59" ht="14.25" customHeight="1">
      <c r="A91" s="162"/>
      <c r="B91" s="162"/>
      <c r="C91" s="162"/>
      <c r="D91" s="162"/>
      <c r="E91" s="162"/>
      <c r="F91" s="163"/>
      <c r="G91" s="163"/>
      <c r="H91" s="163"/>
      <c r="I91" s="163"/>
      <c r="J91" s="163"/>
      <c r="K91" s="163"/>
      <c r="L91" s="163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84" t="s">
        <v>40</v>
      </c>
      <c r="AC91" s="201" t="s">
        <v>98</v>
      </c>
      <c r="AD91" s="186">
        <f>$M$64</f>
        <v>-6.35</v>
      </c>
      <c r="AE91" s="188">
        <f>AD90-AD91</f>
        <v>5.6499999999999995</v>
      </c>
      <c r="AF91" s="229">
        <f t="shared" si="36"/>
        <v>17</v>
      </c>
      <c r="AG91" s="193">
        <f t="shared" si="51"/>
        <v>7</v>
      </c>
      <c r="AH91" s="230">
        <f t="shared" si="37"/>
        <v>1</v>
      </c>
      <c r="AI91" s="230">
        <f t="shared" si="38"/>
        <v>0.45496173929297024</v>
      </c>
      <c r="AJ91" s="194">
        <f t="shared" si="39"/>
        <v>39.549999999999997</v>
      </c>
      <c r="AK91" s="194">
        <f>(AE91*AG91)+AK90</f>
        <v>101.55</v>
      </c>
      <c r="AL91" s="189"/>
      <c r="AM91" s="194">
        <f>AE91*AG91</f>
        <v>39.549999999999997</v>
      </c>
      <c r="AN91" s="194">
        <f t="shared" si="53"/>
        <v>151.55000000000001</v>
      </c>
      <c r="AO91" s="195"/>
      <c r="AP91" s="196">
        <f t="shared" si="41"/>
        <v>96.05</v>
      </c>
      <c r="AQ91" s="194">
        <f t="shared" si="48"/>
        <v>220.05</v>
      </c>
      <c r="AR91" s="211">
        <f>AQ91*AH91</f>
        <v>220.05</v>
      </c>
      <c r="AS91" s="194">
        <f>AE91*AG91</f>
        <v>39.549999999999997</v>
      </c>
      <c r="AT91" s="194">
        <f>(AE91*AG91)+AT90</f>
        <v>101.55</v>
      </c>
      <c r="AU91" s="195"/>
      <c r="AV91" s="194">
        <f>AE91*AG91</f>
        <v>39.549999999999997</v>
      </c>
      <c r="AW91" s="194">
        <f t="shared" si="52"/>
        <v>146.55000000000001</v>
      </c>
      <c r="AX91" s="195"/>
      <c r="AY91" s="194">
        <f>AE91*AG91</f>
        <v>39.549999999999997</v>
      </c>
      <c r="AZ91" s="194">
        <f t="shared" si="50"/>
        <v>116.55</v>
      </c>
      <c r="BA91" s="195"/>
      <c r="BB91" s="15">
        <f t="shared" si="42"/>
        <v>47.5</v>
      </c>
      <c r="BC91" s="15">
        <f t="shared" si="43"/>
        <v>21.610682616416085</v>
      </c>
      <c r="BD91" s="90">
        <f t="shared" si="44"/>
        <v>1.8198469571718809</v>
      </c>
      <c r="BE91" s="15">
        <f t="shared" si="45"/>
        <v>4</v>
      </c>
      <c r="BF91" s="196">
        <f t="shared" si="46"/>
        <v>47.5</v>
      </c>
      <c r="BG91" s="196">
        <f t="shared" si="47"/>
        <v>20</v>
      </c>
    </row>
    <row r="92" spans="1:59" ht="14.25" customHeight="1">
      <c r="A92" s="162"/>
      <c r="B92" s="215" t="s">
        <v>137</v>
      </c>
      <c r="C92" s="162"/>
      <c r="D92" s="162"/>
      <c r="E92" s="162"/>
      <c r="F92" s="163"/>
      <c r="G92" s="163"/>
      <c r="H92" s="163"/>
      <c r="I92" s="163"/>
      <c r="J92" s="163"/>
      <c r="K92" s="163"/>
      <c r="L92" s="163"/>
      <c r="M92" s="163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84" t="s">
        <v>40</v>
      </c>
      <c r="AC92" s="206" t="s">
        <v>101</v>
      </c>
      <c r="AD92" s="207">
        <f>$M$60-$U$68</f>
        <v>-6.85</v>
      </c>
      <c r="AE92" s="208">
        <f t="shared" si="35"/>
        <v>0.5</v>
      </c>
      <c r="AF92" s="229">
        <f t="shared" si="36"/>
        <v>17</v>
      </c>
      <c r="AG92" s="249">
        <f t="shared" si="51"/>
        <v>7</v>
      </c>
      <c r="AH92" s="230">
        <f t="shared" si="37"/>
        <v>1</v>
      </c>
      <c r="AI92" s="230">
        <f t="shared" si="38"/>
        <v>0.45496173929297024</v>
      </c>
      <c r="AJ92" s="210"/>
      <c r="AK92" s="210">
        <f t="shared" si="40"/>
        <v>105.05</v>
      </c>
      <c r="AL92" s="211">
        <f>AK92*$AH92</f>
        <v>105.05</v>
      </c>
      <c r="AM92" s="210"/>
      <c r="AN92" s="210">
        <f t="shared" si="53"/>
        <v>155.05000000000001</v>
      </c>
      <c r="AO92" s="211">
        <f t="shared" ref="AO92:AO98" si="54">AN92*$AI92</f>
        <v>70.541817677375036</v>
      </c>
      <c r="AP92" s="250"/>
      <c r="AQ92" s="194">
        <f t="shared" si="48"/>
        <v>228.55</v>
      </c>
      <c r="AR92" s="211">
        <f>AQ92*AH92</f>
        <v>228.55</v>
      </c>
      <c r="AS92" s="210"/>
      <c r="AT92" s="210">
        <f t="shared" si="49"/>
        <v>105.05</v>
      </c>
      <c r="AU92" s="211">
        <f>AT92*$AH92</f>
        <v>105.05</v>
      </c>
      <c r="AV92" s="210"/>
      <c r="AW92" s="210">
        <f t="shared" si="52"/>
        <v>150.05000000000001</v>
      </c>
      <c r="AX92" s="211">
        <f>AW92*$AI92</f>
        <v>68.267008980910191</v>
      </c>
      <c r="AY92" s="210"/>
      <c r="AZ92" s="210">
        <f t="shared" si="50"/>
        <v>120.05</v>
      </c>
      <c r="BA92" s="211">
        <f>AZ92*$AH92</f>
        <v>120.05</v>
      </c>
      <c r="BB92" s="15">
        <f t="shared" si="42"/>
        <v>47.5</v>
      </c>
      <c r="BC92" s="15">
        <f t="shared" si="43"/>
        <v>21.610682616416085</v>
      </c>
      <c r="BD92" s="90">
        <f t="shared" si="44"/>
        <v>1.8198469571718809</v>
      </c>
      <c r="BE92" s="15">
        <f t="shared" si="45"/>
        <v>4</v>
      </c>
      <c r="BF92" s="196">
        <f t="shared" si="46"/>
        <v>47.5</v>
      </c>
      <c r="BG92" s="196">
        <f t="shared" si="47"/>
        <v>20</v>
      </c>
    </row>
    <row r="93" spans="1:59" ht="14.25" customHeight="1">
      <c r="A93" s="162"/>
      <c r="B93" s="162"/>
      <c r="C93" s="162"/>
      <c r="D93" s="162"/>
      <c r="E93" s="162"/>
      <c r="F93" s="163"/>
      <c r="G93" s="163"/>
      <c r="H93" s="163"/>
      <c r="I93" s="163"/>
      <c r="J93" s="163"/>
      <c r="K93" s="163"/>
      <c r="L93" s="163"/>
      <c r="M93" s="163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84" t="s">
        <v>40</v>
      </c>
      <c r="AC93" s="193"/>
      <c r="AD93" s="186">
        <f>AD92-1.05</f>
        <v>-7.8999999999999995</v>
      </c>
      <c r="AE93" s="188">
        <f t="shared" si="35"/>
        <v>1.0499999999999998</v>
      </c>
      <c r="AF93" s="229">
        <f t="shared" si="36"/>
        <v>17</v>
      </c>
      <c r="AG93" s="193">
        <f t="shared" si="51"/>
        <v>7</v>
      </c>
      <c r="AH93" s="230">
        <f t="shared" si="37"/>
        <v>1</v>
      </c>
      <c r="AI93" s="230">
        <f t="shared" si="38"/>
        <v>0.45496173929297024</v>
      </c>
      <c r="AJ93" s="194"/>
      <c r="AK93" s="194">
        <f t="shared" si="40"/>
        <v>112.39999999999999</v>
      </c>
      <c r="AL93" s="211">
        <f t="shared" ref="AL93:AL101" si="55">AK93*$AH93</f>
        <v>112.39999999999999</v>
      </c>
      <c r="AM93" s="194"/>
      <c r="AN93" s="194">
        <f t="shared" si="53"/>
        <v>162.4</v>
      </c>
      <c r="AO93" s="202">
        <f t="shared" si="54"/>
        <v>73.88578646117837</v>
      </c>
      <c r="AP93" s="203"/>
      <c r="AQ93" s="194">
        <f t="shared" si="48"/>
        <v>246.4</v>
      </c>
      <c r="AR93" s="211">
        <f t="shared" ref="AR93:AR100" si="56">AQ93*AH93</f>
        <v>246.4</v>
      </c>
      <c r="AS93" s="194"/>
      <c r="AT93" s="194">
        <f t="shared" si="49"/>
        <v>112.39999999999999</v>
      </c>
      <c r="AU93" s="211">
        <f t="shared" ref="AU93:AU102" si="57">AT93*$AH93</f>
        <v>112.39999999999999</v>
      </c>
      <c r="AV93" s="194"/>
      <c r="AW93" s="194">
        <f t="shared" si="52"/>
        <v>157.4</v>
      </c>
      <c r="AX93" s="202">
        <f>AW93*$AI93</f>
        <v>71.610977764713525</v>
      </c>
      <c r="AY93" s="194"/>
      <c r="AZ93" s="194">
        <f t="shared" si="50"/>
        <v>127.39999999999999</v>
      </c>
      <c r="BA93" s="202">
        <f>AZ93*$AH93</f>
        <v>127.39999999999999</v>
      </c>
      <c r="BB93" s="15">
        <f t="shared" si="42"/>
        <v>47.5</v>
      </c>
      <c r="BC93" s="15">
        <f t="shared" si="43"/>
        <v>21.610682616416085</v>
      </c>
      <c r="BD93" s="90">
        <f t="shared" si="44"/>
        <v>1.8198469571718809</v>
      </c>
      <c r="BE93" s="15">
        <f t="shared" si="45"/>
        <v>4</v>
      </c>
      <c r="BF93" s="196">
        <f t="shared" si="46"/>
        <v>47.5</v>
      </c>
      <c r="BG93" s="196">
        <f t="shared" si="47"/>
        <v>20</v>
      </c>
    </row>
    <row r="94" spans="1:59" ht="14.25" customHeight="1">
      <c r="A94" s="162"/>
      <c r="B94" s="162"/>
      <c r="C94" s="162"/>
      <c r="D94" s="162"/>
      <c r="E94" s="162"/>
      <c r="F94" s="163"/>
      <c r="G94" s="163"/>
      <c r="H94" s="163"/>
      <c r="I94" s="163"/>
      <c r="J94" s="163"/>
      <c r="K94" s="163"/>
      <c r="L94" s="163"/>
      <c r="M94" s="163"/>
      <c r="N94" s="162"/>
      <c r="O94" s="251" t="s">
        <v>138</v>
      </c>
      <c r="P94" s="162"/>
      <c r="Q94" s="162" t="s">
        <v>90</v>
      </c>
      <c r="R94" s="497">
        <f>IF(AJ$78&gt;AJ$103,AJ$78,AJ$103)</f>
        <v>101.55</v>
      </c>
      <c r="S94" s="498"/>
      <c r="T94" s="162" t="s">
        <v>120</v>
      </c>
      <c r="U94" s="162" t="s">
        <v>120</v>
      </c>
      <c r="V94" s="162"/>
      <c r="W94" s="162"/>
      <c r="X94" s="162"/>
      <c r="Y94" s="162"/>
      <c r="Z94" s="162"/>
      <c r="AA94" s="162"/>
      <c r="AB94" s="184" t="s">
        <v>40</v>
      </c>
      <c r="AC94" s="193"/>
      <c r="AD94" s="186">
        <f t="shared" ref="AD94:AD100" si="58">AD93-1.05</f>
        <v>-8.9499999999999993</v>
      </c>
      <c r="AE94" s="188">
        <f t="shared" si="35"/>
        <v>1.0499999999999998</v>
      </c>
      <c r="AF94" s="229">
        <f t="shared" si="36"/>
        <v>17</v>
      </c>
      <c r="AG94" s="193">
        <f t="shared" si="51"/>
        <v>7</v>
      </c>
      <c r="AH94" s="230">
        <f t="shared" si="37"/>
        <v>1</v>
      </c>
      <c r="AI94" s="230">
        <f t="shared" si="38"/>
        <v>0.45496173929297024</v>
      </c>
      <c r="AJ94" s="194"/>
      <c r="AK94" s="194">
        <f t="shared" si="40"/>
        <v>119.74999999999999</v>
      </c>
      <c r="AL94" s="211">
        <f t="shared" si="55"/>
        <v>119.74999999999999</v>
      </c>
      <c r="AM94" s="194"/>
      <c r="AN94" s="194">
        <f t="shared" si="53"/>
        <v>169.75</v>
      </c>
      <c r="AO94" s="202">
        <f t="shared" si="54"/>
        <v>77.229755244981703</v>
      </c>
      <c r="AP94" s="203"/>
      <c r="AQ94" s="194">
        <f t="shared" si="48"/>
        <v>264.25</v>
      </c>
      <c r="AR94" s="211">
        <f t="shared" si="56"/>
        <v>264.25</v>
      </c>
      <c r="AS94" s="194"/>
      <c r="AT94" s="194">
        <f t="shared" si="49"/>
        <v>119.74999999999999</v>
      </c>
      <c r="AU94" s="211">
        <f t="shared" si="57"/>
        <v>119.74999999999999</v>
      </c>
      <c r="AV94" s="194"/>
      <c r="AW94" s="194">
        <f t="shared" si="52"/>
        <v>164.75</v>
      </c>
      <c r="AX94" s="202">
        <f t="shared" ref="AX94:AX102" si="59">AW94*$AI94</f>
        <v>74.954946548516844</v>
      </c>
      <c r="AY94" s="194"/>
      <c r="AZ94" s="194">
        <f t="shared" si="50"/>
        <v>134.75</v>
      </c>
      <c r="BA94" s="202">
        <f>AZ94*$AH94</f>
        <v>134.75</v>
      </c>
      <c r="BB94" s="15">
        <f t="shared" si="42"/>
        <v>47.5</v>
      </c>
      <c r="BC94" s="15">
        <f t="shared" si="43"/>
        <v>21.610682616416085</v>
      </c>
      <c r="BD94" s="90">
        <f t="shared" si="44"/>
        <v>1.8198469571718809</v>
      </c>
      <c r="BE94" s="15">
        <f t="shared" si="45"/>
        <v>4</v>
      </c>
      <c r="BF94" s="196">
        <f t="shared" si="46"/>
        <v>47.5</v>
      </c>
      <c r="BG94" s="196">
        <f t="shared" si="47"/>
        <v>20</v>
      </c>
    </row>
    <row r="95" spans="1:59" ht="14.25" customHeight="1">
      <c r="A95" s="162"/>
      <c r="B95" s="162"/>
      <c r="C95" s="162"/>
      <c r="D95" s="162"/>
      <c r="E95" s="162"/>
      <c r="F95" s="163"/>
      <c r="G95" s="163"/>
      <c r="H95" s="163"/>
      <c r="I95" s="163"/>
      <c r="J95" s="163"/>
      <c r="K95" s="163"/>
      <c r="L95" s="163"/>
      <c r="M95" s="163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84" t="s">
        <v>40</v>
      </c>
      <c r="AC95" s="193"/>
      <c r="AD95" s="186">
        <f t="shared" si="58"/>
        <v>-10</v>
      </c>
      <c r="AE95" s="188">
        <f t="shared" si="35"/>
        <v>1.0500000000000007</v>
      </c>
      <c r="AF95" s="229">
        <f t="shared" si="36"/>
        <v>17</v>
      </c>
      <c r="AG95" s="193">
        <f t="shared" si="51"/>
        <v>7</v>
      </c>
      <c r="AH95" s="230">
        <f t="shared" si="37"/>
        <v>1</v>
      </c>
      <c r="AI95" s="230">
        <f t="shared" si="38"/>
        <v>0.45496173929297024</v>
      </c>
      <c r="AJ95" s="194"/>
      <c r="AK95" s="194">
        <f t="shared" si="40"/>
        <v>127.1</v>
      </c>
      <c r="AL95" s="211">
        <f t="shared" si="55"/>
        <v>127.1</v>
      </c>
      <c r="AM95" s="194"/>
      <c r="AN95" s="194">
        <f t="shared" si="53"/>
        <v>177.1</v>
      </c>
      <c r="AO95" s="202">
        <f t="shared" si="54"/>
        <v>80.573724028785023</v>
      </c>
      <c r="AP95" s="203"/>
      <c r="AQ95" s="194">
        <f t="shared" si="48"/>
        <v>282.10000000000002</v>
      </c>
      <c r="AR95" s="211">
        <f t="shared" si="56"/>
        <v>282.10000000000002</v>
      </c>
      <c r="AS95" s="194"/>
      <c r="AT95" s="194">
        <f t="shared" si="49"/>
        <v>127.1</v>
      </c>
      <c r="AU95" s="211">
        <f t="shared" si="57"/>
        <v>127.1</v>
      </c>
      <c r="AV95" s="194"/>
      <c r="AW95" s="194">
        <f t="shared" si="52"/>
        <v>172.1</v>
      </c>
      <c r="AX95" s="202">
        <f t="shared" si="59"/>
        <v>78.298915332320178</v>
      </c>
      <c r="AY95" s="194"/>
      <c r="AZ95" s="194">
        <f>(AE95*AG95)+AZ94</f>
        <v>142.1</v>
      </c>
      <c r="BA95" s="202">
        <f>AZ95*$AH95</f>
        <v>142.1</v>
      </c>
      <c r="BB95" s="15">
        <f t="shared" si="42"/>
        <v>47.5</v>
      </c>
      <c r="BC95" s="15">
        <f t="shared" si="43"/>
        <v>21.610682616416085</v>
      </c>
      <c r="BD95" s="90">
        <f t="shared" si="44"/>
        <v>1.8198469571718809</v>
      </c>
      <c r="BE95" s="15">
        <f t="shared" si="45"/>
        <v>4</v>
      </c>
      <c r="BF95" s="196">
        <f t="shared" si="46"/>
        <v>47.5</v>
      </c>
      <c r="BG95" s="196">
        <f t="shared" si="47"/>
        <v>20</v>
      </c>
    </row>
    <row r="96" spans="1:59" ht="14.25" customHeight="1">
      <c r="A96" s="162"/>
      <c r="B96" s="162"/>
      <c r="C96" s="162"/>
      <c r="D96" s="162"/>
      <c r="E96" s="162"/>
      <c r="F96" s="163"/>
      <c r="G96" s="163"/>
      <c r="H96" s="163"/>
      <c r="I96" s="163"/>
      <c r="J96" s="163"/>
      <c r="K96" s="163"/>
      <c r="L96" s="163"/>
      <c r="M96" s="163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84" t="s">
        <v>40</v>
      </c>
      <c r="AC96" s="193"/>
      <c r="AD96" s="186">
        <f t="shared" si="58"/>
        <v>-11.05</v>
      </c>
      <c r="AE96" s="188">
        <f t="shared" si="35"/>
        <v>1.0500000000000007</v>
      </c>
      <c r="AF96" s="229">
        <f t="shared" si="36"/>
        <v>17</v>
      </c>
      <c r="AG96" s="193">
        <f t="shared" si="51"/>
        <v>7</v>
      </c>
      <c r="AH96" s="230">
        <f t="shared" si="37"/>
        <v>1</v>
      </c>
      <c r="AI96" s="230">
        <f t="shared" si="38"/>
        <v>0.45496173929297024</v>
      </c>
      <c r="AJ96" s="194"/>
      <c r="AK96" s="194">
        <f t="shared" si="40"/>
        <v>134.44999999999999</v>
      </c>
      <c r="AL96" s="211">
        <f t="shared" si="55"/>
        <v>134.44999999999999</v>
      </c>
      <c r="AM96" s="194"/>
      <c r="AN96" s="194">
        <f t="shared" si="53"/>
        <v>184.45</v>
      </c>
      <c r="AO96" s="202">
        <f t="shared" si="54"/>
        <v>83.917692812588356</v>
      </c>
      <c r="AP96" s="203"/>
      <c r="AQ96" s="194">
        <f t="shared" si="48"/>
        <v>299.95000000000005</v>
      </c>
      <c r="AR96" s="211">
        <f t="shared" si="56"/>
        <v>299.95000000000005</v>
      </c>
      <c r="AS96" s="194"/>
      <c r="AT96" s="194">
        <f t="shared" si="49"/>
        <v>134.44999999999999</v>
      </c>
      <c r="AU96" s="211">
        <f t="shared" si="57"/>
        <v>134.44999999999999</v>
      </c>
      <c r="AV96" s="194"/>
      <c r="AW96" s="194">
        <f t="shared" si="52"/>
        <v>179.45</v>
      </c>
      <c r="AX96" s="202">
        <f t="shared" si="59"/>
        <v>81.642884116123497</v>
      </c>
      <c r="AY96" s="194"/>
      <c r="AZ96" s="194">
        <f t="shared" si="50"/>
        <v>149.44999999999999</v>
      </c>
      <c r="BA96" s="202">
        <f t="shared" ref="BA96:BA102" si="60">AZ96*$AH96</f>
        <v>149.44999999999999</v>
      </c>
      <c r="BB96" s="15">
        <f t="shared" si="42"/>
        <v>47.5</v>
      </c>
      <c r="BC96" s="15">
        <f t="shared" si="43"/>
        <v>21.610682616416085</v>
      </c>
      <c r="BD96" s="90">
        <f t="shared" si="44"/>
        <v>1.8198469571718809</v>
      </c>
      <c r="BE96" s="15">
        <f t="shared" si="45"/>
        <v>4</v>
      </c>
      <c r="BF96" s="196">
        <f t="shared" si="46"/>
        <v>47.5</v>
      </c>
      <c r="BG96" s="196">
        <f t="shared" si="47"/>
        <v>20</v>
      </c>
    </row>
    <row r="97" spans="1:59" ht="14.25" customHeight="1">
      <c r="A97" s="162"/>
      <c r="B97" s="162"/>
      <c r="C97" s="162"/>
      <c r="D97" s="162"/>
      <c r="E97" s="162"/>
      <c r="F97" s="163"/>
      <c r="G97" s="163"/>
      <c r="H97" s="163"/>
      <c r="I97" s="163"/>
      <c r="J97" s="163"/>
      <c r="K97" s="163"/>
      <c r="L97" s="163"/>
      <c r="M97" s="163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84" t="s">
        <v>40</v>
      </c>
      <c r="AC97" s="193"/>
      <c r="AD97" s="186">
        <f t="shared" si="58"/>
        <v>-12.100000000000001</v>
      </c>
      <c r="AE97" s="188">
        <f t="shared" si="35"/>
        <v>1.0500000000000007</v>
      </c>
      <c r="AF97" s="229">
        <f t="shared" si="36"/>
        <v>17</v>
      </c>
      <c r="AG97" s="193">
        <f t="shared" si="51"/>
        <v>7</v>
      </c>
      <c r="AH97" s="230">
        <f t="shared" si="37"/>
        <v>1</v>
      </c>
      <c r="AI97" s="230">
        <f t="shared" si="38"/>
        <v>0.45496173929297024</v>
      </c>
      <c r="AJ97" s="194"/>
      <c r="AK97" s="194">
        <f t="shared" si="40"/>
        <v>141.79999999999998</v>
      </c>
      <c r="AL97" s="211">
        <f t="shared" si="55"/>
        <v>141.79999999999998</v>
      </c>
      <c r="AM97" s="194"/>
      <c r="AN97" s="194">
        <f t="shared" si="53"/>
        <v>191.79999999999998</v>
      </c>
      <c r="AO97" s="202">
        <f t="shared" si="54"/>
        <v>87.26166159639169</v>
      </c>
      <c r="AP97" s="203"/>
      <c r="AQ97" s="194">
        <f t="shared" si="48"/>
        <v>317.80000000000007</v>
      </c>
      <c r="AR97" s="211">
        <f t="shared" si="56"/>
        <v>317.80000000000007</v>
      </c>
      <c r="AS97" s="194"/>
      <c r="AT97" s="194">
        <f t="shared" si="49"/>
        <v>141.79999999999998</v>
      </c>
      <c r="AU97" s="211">
        <f t="shared" si="57"/>
        <v>141.79999999999998</v>
      </c>
      <c r="AV97" s="194"/>
      <c r="AW97" s="194">
        <f t="shared" si="52"/>
        <v>186.79999999999998</v>
      </c>
      <c r="AX97" s="202">
        <f t="shared" si="59"/>
        <v>84.986852899926831</v>
      </c>
      <c r="AY97" s="194"/>
      <c r="AZ97" s="194">
        <f t="shared" si="50"/>
        <v>156.79999999999998</v>
      </c>
      <c r="BA97" s="202">
        <f t="shared" si="60"/>
        <v>156.79999999999998</v>
      </c>
      <c r="BB97" s="15">
        <f t="shared" si="42"/>
        <v>47.5</v>
      </c>
      <c r="BC97" s="15">
        <f t="shared" si="43"/>
        <v>21.610682616416085</v>
      </c>
      <c r="BD97" s="90">
        <f t="shared" si="44"/>
        <v>1.8198469571718809</v>
      </c>
      <c r="BE97" s="15">
        <f t="shared" si="45"/>
        <v>4</v>
      </c>
      <c r="BF97" s="196">
        <f t="shared" si="46"/>
        <v>47.5</v>
      </c>
      <c r="BG97" s="196">
        <f t="shared" si="47"/>
        <v>20</v>
      </c>
    </row>
    <row r="98" spans="1:59" ht="14.25" customHeight="1">
      <c r="A98" s="162"/>
      <c r="B98" s="162"/>
      <c r="C98" s="162"/>
      <c r="D98" s="162"/>
      <c r="E98" s="162"/>
      <c r="F98" s="163"/>
      <c r="G98" s="163"/>
      <c r="H98" s="163"/>
      <c r="I98" s="163"/>
      <c r="J98" s="163"/>
      <c r="K98" s="163"/>
      <c r="L98" s="163"/>
      <c r="M98" s="163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84" t="s">
        <v>40</v>
      </c>
      <c r="AC98" s="217"/>
      <c r="AD98" s="186">
        <f t="shared" si="58"/>
        <v>-13.150000000000002</v>
      </c>
      <c r="AE98" s="218">
        <f t="shared" si="35"/>
        <v>1.0500000000000007</v>
      </c>
      <c r="AF98" s="229">
        <f t="shared" si="36"/>
        <v>17</v>
      </c>
      <c r="AG98" s="217">
        <f t="shared" si="51"/>
        <v>7</v>
      </c>
      <c r="AH98" s="230">
        <f t="shared" si="37"/>
        <v>1</v>
      </c>
      <c r="AI98" s="230">
        <f t="shared" si="38"/>
        <v>0.45496173929297024</v>
      </c>
      <c r="AJ98" s="220"/>
      <c r="AK98" s="220">
        <f t="shared" si="40"/>
        <v>149.14999999999998</v>
      </c>
      <c r="AL98" s="211">
        <f t="shared" si="55"/>
        <v>149.14999999999998</v>
      </c>
      <c r="AM98" s="220"/>
      <c r="AN98" s="220">
        <f>(AE98*AG98)+AN97</f>
        <v>199.14999999999998</v>
      </c>
      <c r="AO98" s="221">
        <f t="shared" si="54"/>
        <v>90.605630380195009</v>
      </c>
      <c r="AP98" s="222"/>
      <c r="AQ98" s="194">
        <f t="shared" si="48"/>
        <v>335.65000000000009</v>
      </c>
      <c r="AR98" s="211">
        <f t="shared" si="56"/>
        <v>335.65000000000009</v>
      </c>
      <c r="AS98" s="220"/>
      <c r="AT98" s="220">
        <f t="shared" si="49"/>
        <v>149.14999999999998</v>
      </c>
      <c r="AU98" s="211">
        <f t="shared" si="57"/>
        <v>149.14999999999998</v>
      </c>
      <c r="AV98" s="220"/>
      <c r="AW98" s="220">
        <f>(AE98*AG98)+AW97</f>
        <v>194.14999999999998</v>
      </c>
      <c r="AX98" s="221">
        <f t="shared" si="59"/>
        <v>88.330821683730164</v>
      </c>
      <c r="AY98" s="220"/>
      <c r="AZ98" s="220">
        <f t="shared" si="50"/>
        <v>164.14999999999998</v>
      </c>
      <c r="BA98" s="221">
        <f t="shared" si="60"/>
        <v>164.14999999999998</v>
      </c>
      <c r="BB98" s="15">
        <f t="shared" si="42"/>
        <v>47.5</v>
      </c>
      <c r="BC98" s="15">
        <f t="shared" si="43"/>
        <v>21.610682616416085</v>
      </c>
      <c r="BD98" s="90">
        <f t="shared" si="44"/>
        <v>1.8198469571718809</v>
      </c>
      <c r="BE98" s="15">
        <f t="shared" si="45"/>
        <v>4</v>
      </c>
      <c r="BF98" s="196">
        <f t="shared" si="46"/>
        <v>47.5</v>
      </c>
      <c r="BG98" s="196">
        <f t="shared" si="47"/>
        <v>20</v>
      </c>
    </row>
    <row r="99" spans="1:59" ht="14.25" customHeight="1">
      <c r="A99" s="162"/>
      <c r="B99" s="162"/>
      <c r="C99" s="162"/>
      <c r="D99" s="162"/>
      <c r="E99" s="162"/>
      <c r="F99" s="163"/>
      <c r="G99" s="163"/>
      <c r="H99" s="163"/>
      <c r="I99" s="163"/>
      <c r="J99" s="163"/>
      <c r="K99" s="163"/>
      <c r="L99" s="163"/>
      <c r="M99" s="163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84" t="s">
        <v>40</v>
      </c>
      <c r="AC99" s="193"/>
      <c r="AD99" s="186">
        <f>AD98-1.05</f>
        <v>-14.200000000000003</v>
      </c>
      <c r="AE99" s="188">
        <f>AD98-AD99</f>
        <v>1.0500000000000007</v>
      </c>
      <c r="AF99" s="229">
        <f t="shared" si="36"/>
        <v>17</v>
      </c>
      <c r="AG99" s="193">
        <f t="shared" si="51"/>
        <v>7</v>
      </c>
      <c r="AH99" s="230">
        <f t="shared" si="37"/>
        <v>1</v>
      </c>
      <c r="AI99" s="230">
        <f t="shared" si="38"/>
        <v>0.45496173929297024</v>
      </c>
      <c r="AJ99" s="194"/>
      <c r="AK99" s="194">
        <f t="shared" si="40"/>
        <v>156.49999999999997</v>
      </c>
      <c r="AL99" s="211">
        <f t="shared" si="55"/>
        <v>156.49999999999997</v>
      </c>
      <c r="AM99" s="194"/>
      <c r="AN99" s="194">
        <f>(AE99*AG99)+AN98</f>
        <v>206.49999999999997</v>
      </c>
      <c r="AO99" s="202">
        <f>AN99*AI99</f>
        <v>93.949599163998343</v>
      </c>
      <c r="AP99" s="203"/>
      <c r="AQ99" s="194">
        <f t="shared" si="48"/>
        <v>353.50000000000011</v>
      </c>
      <c r="AR99" s="211">
        <f t="shared" si="56"/>
        <v>353.50000000000011</v>
      </c>
      <c r="AS99" s="194"/>
      <c r="AT99" s="194">
        <f t="shared" si="49"/>
        <v>156.49999999999997</v>
      </c>
      <c r="AU99" s="211">
        <f t="shared" si="57"/>
        <v>156.49999999999997</v>
      </c>
      <c r="AV99" s="194"/>
      <c r="AW99" s="194">
        <f>(AE99*AG99)+AW98</f>
        <v>201.49999999999997</v>
      </c>
      <c r="AX99" s="202">
        <f t="shared" si="59"/>
        <v>91.674790467533484</v>
      </c>
      <c r="AY99" s="194"/>
      <c r="AZ99" s="194">
        <f t="shared" si="50"/>
        <v>171.49999999999997</v>
      </c>
      <c r="BA99" s="202">
        <f t="shared" si="60"/>
        <v>171.49999999999997</v>
      </c>
      <c r="BB99" s="15">
        <f t="shared" si="42"/>
        <v>47.5</v>
      </c>
      <c r="BC99" s="15">
        <f t="shared" si="43"/>
        <v>21.610682616416085</v>
      </c>
      <c r="BD99" s="90">
        <f t="shared" si="44"/>
        <v>1.8198469571718809</v>
      </c>
      <c r="BE99" s="15">
        <f t="shared" si="45"/>
        <v>4</v>
      </c>
      <c r="BF99" s="196">
        <f t="shared" si="46"/>
        <v>47.5</v>
      </c>
      <c r="BG99" s="196">
        <f t="shared" si="47"/>
        <v>20</v>
      </c>
    </row>
    <row r="100" spans="1:59" ht="14.25" customHeight="1">
      <c r="A100" s="162"/>
      <c r="B100" s="162"/>
      <c r="C100" s="162"/>
      <c r="D100" s="162"/>
      <c r="E100" s="162"/>
      <c r="F100" s="163"/>
      <c r="G100" s="163"/>
      <c r="H100" s="163"/>
      <c r="I100" s="163"/>
      <c r="J100" s="163"/>
      <c r="K100" s="163"/>
      <c r="L100" s="163"/>
      <c r="M100" s="163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84" t="s">
        <v>40</v>
      </c>
      <c r="AC100" s="193"/>
      <c r="AD100" s="186">
        <f t="shared" si="58"/>
        <v>-15.250000000000004</v>
      </c>
      <c r="AE100" s="188">
        <f t="shared" si="35"/>
        <v>1.0500000000000007</v>
      </c>
      <c r="AF100" s="229">
        <f t="shared" si="36"/>
        <v>17</v>
      </c>
      <c r="AG100" s="193">
        <f t="shared" si="51"/>
        <v>7</v>
      </c>
      <c r="AH100" s="230">
        <f t="shared" si="37"/>
        <v>1</v>
      </c>
      <c r="AI100" s="230">
        <f t="shared" si="38"/>
        <v>0.45496173929297024</v>
      </c>
      <c r="AJ100" s="194"/>
      <c r="AK100" s="194">
        <f t="shared" si="40"/>
        <v>163.84999999999997</v>
      </c>
      <c r="AL100" s="211">
        <f t="shared" si="55"/>
        <v>163.84999999999997</v>
      </c>
      <c r="AM100" s="194"/>
      <c r="AN100" s="194">
        <f>(AE100*AG100)+AN99</f>
        <v>213.84999999999997</v>
      </c>
      <c r="AO100" s="202">
        <f>AN100*AI100</f>
        <v>97.293567947801662</v>
      </c>
      <c r="AP100" s="203"/>
      <c r="AQ100" s="194">
        <f t="shared" si="48"/>
        <v>371.35000000000014</v>
      </c>
      <c r="AR100" s="211">
        <f t="shared" si="56"/>
        <v>371.35000000000014</v>
      </c>
      <c r="AS100" s="194"/>
      <c r="AT100" s="194">
        <f t="shared" si="49"/>
        <v>163.84999999999997</v>
      </c>
      <c r="AU100" s="211">
        <f t="shared" si="57"/>
        <v>163.84999999999997</v>
      </c>
      <c r="AV100" s="194"/>
      <c r="AW100" s="194">
        <f>(AE100*AG100)+AW99</f>
        <v>208.84999999999997</v>
      </c>
      <c r="AX100" s="202">
        <f t="shared" si="59"/>
        <v>95.018759251336817</v>
      </c>
      <c r="AY100" s="194"/>
      <c r="AZ100" s="194">
        <f>(AE100*AG100)+AZ99</f>
        <v>178.84999999999997</v>
      </c>
      <c r="BA100" s="202">
        <f t="shared" si="60"/>
        <v>178.84999999999997</v>
      </c>
      <c r="BB100" s="15">
        <f t="shared" si="42"/>
        <v>47.5</v>
      </c>
      <c r="BC100" s="15">
        <f t="shared" si="43"/>
        <v>21.610682616416085</v>
      </c>
      <c r="BD100" s="90">
        <f t="shared" si="44"/>
        <v>1.8198469571718809</v>
      </c>
      <c r="BE100" s="15">
        <f t="shared" si="45"/>
        <v>4</v>
      </c>
      <c r="BF100" s="196">
        <f t="shared" si="46"/>
        <v>47.5</v>
      </c>
      <c r="BG100" s="196">
        <f t="shared" si="47"/>
        <v>20</v>
      </c>
    </row>
    <row r="101" spans="1:59" ht="14.25" customHeight="1">
      <c r="A101" s="162"/>
      <c r="B101" s="162"/>
      <c r="C101" s="162"/>
      <c r="D101" s="162"/>
      <c r="E101" s="162"/>
      <c r="F101" s="163"/>
      <c r="G101" s="163"/>
      <c r="H101" s="163"/>
      <c r="I101" s="163"/>
      <c r="J101" s="163"/>
      <c r="K101" s="163"/>
      <c r="L101" s="163"/>
      <c r="M101" s="163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84" t="s">
        <v>40</v>
      </c>
      <c r="AC101" s="201" t="s">
        <v>111</v>
      </c>
      <c r="AD101" s="186">
        <f>$AD$92-$U$69</f>
        <v>-11.35</v>
      </c>
      <c r="AE101" s="188">
        <f t="shared" si="35"/>
        <v>-3.9000000000000039</v>
      </c>
      <c r="AF101" s="229">
        <f t="shared" si="36"/>
        <v>17</v>
      </c>
      <c r="AG101" s="193">
        <f t="shared" si="51"/>
        <v>7</v>
      </c>
      <c r="AH101" s="230">
        <f t="shared" si="37"/>
        <v>1</v>
      </c>
      <c r="AI101" s="230">
        <f t="shared" si="38"/>
        <v>0.45496173929297024</v>
      </c>
      <c r="AJ101" s="194"/>
      <c r="AK101" s="194">
        <f t="shared" si="40"/>
        <v>136.54999999999995</v>
      </c>
      <c r="AL101" s="211">
        <f t="shared" si="55"/>
        <v>136.54999999999995</v>
      </c>
      <c r="AM101" s="194"/>
      <c r="AN101" s="194">
        <f>(AE101*AG101)+AN100</f>
        <v>186.54999999999995</v>
      </c>
      <c r="AO101" s="202">
        <f>AN101*AI101</f>
        <v>84.873112465103574</v>
      </c>
      <c r="AP101" s="203"/>
      <c r="AQ101" s="194">
        <f t="shared" si="48"/>
        <v>305.05000000000007</v>
      </c>
      <c r="AR101" s="211">
        <f>AQ101*AH101</f>
        <v>305.05000000000007</v>
      </c>
      <c r="AS101" s="194"/>
      <c r="AT101" s="194">
        <f t="shared" si="49"/>
        <v>136.54999999999995</v>
      </c>
      <c r="AU101" s="211">
        <f t="shared" si="57"/>
        <v>136.54999999999995</v>
      </c>
      <c r="AV101" s="194"/>
      <c r="AW101" s="194">
        <f>(AE101*AG101)+AW100</f>
        <v>181.54999999999995</v>
      </c>
      <c r="AX101" s="202">
        <f t="shared" si="59"/>
        <v>82.598303768638729</v>
      </c>
      <c r="AY101" s="194"/>
      <c r="AZ101" s="194">
        <f t="shared" si="50"/>
        <v>151.54999999999995</v>
      </c>
      <c r="BA101" s="202">
        <f t="shared" si="60"/>
        <v>151.54999999999995</v>
      </c>
      <c r="BB101" s="15">
        <f t="shared" si="42"/>
        <v>47.5</v>
      </c>
      <c r="BC101" s="15">
        <f t="shared" si="43"/>
        <v>21.610682616416085</v>
      </c>
      <c r="BD101" s="90">
        <f t="shared" si="44"/>
        <v>1.8198469571718809</v>
      </c>
      <c r="BE101" s="15">
        <f t="shared" si="45"/>
        <v>4</v>
      </c>
      <c r="BF101" s="196">
        <f t="shared" si="46"/>
        <v>47.5</v>
      </c>
      <c r="BG101" s="196">
        <f t="shared" si="47"/>
        <v>20</v>
      </c>
    </row>
    <row r="102" spans="1:59" ht="14.25" customHeight="1">
      <c r="A102" s="162"/>
      <c r="B102" s="162"/>
      <c r="C102" s="162"/>
      <c r="D102" s="162"/>
      <c r="E102" s="162"/>
      <c r="F102" s="163"/>
      <c r="G102" s="163"/>
      <c r="H102" s="163"/>
      <c r="I102" s="163"/>
      <c r="J102" s="163"/>
      <c r="K102" s="163"/>
      <c r="L102" s="163"/>
      <c r="M102" s="163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84" t="s">
        <v>40</v>
      </c>
      <c r="AC102" s="224" t="s">
        <v>112</v>
      </c>
      <c r="AD102" s="225">
        <f>$M$65-$M$74/1000</f>
        <v>-11.85</v>
      </c>
      <c r="AE102" s="226">
        <f t="shared" si="35"/>
        <v>0.5</v>
      </c>
      <c r="AF102" s="229">
        <f t="shared" si="36"/>
        <v>17</v>
      </c>
      <c r="AG102" s="204">
        <f t="shared" si="51"/>
        <v>7</v>
      </c>
      <c r="AH102" s="230">
        <f t="shared" si="37"/>
        <v>1</v>
      </c>
      <c r="AI102" s="230">
        <f t="shared" si="38"/>
        <v>0.45496173929297024</v>
      </c>
      <c r="AJ102" s="205"/>
      <c r="AK102" s="205">
        <f t="shared" si="40"/>
        <v>140.04999999999995</v>
      </c>
      <c r="AL102" s="211">
        <f>AK102*$AH102</f>
        <v>140.04999999999995</v>
      </c>
      <c r="AM102" s="205"/>
      <c r="AN102" s="205">
        <f>(AE102*AG102)+AN101</f>
        <v>190.04999999999995</v>
      </c>
      <c r="AO102" s="252">
        <f>AN102*AI102</f>
        <v>86.465478552628966</v>
      </c>
      <c r="AP102" s="253"/>
      <c r="AQ102" s="194">
        <f t="shared" si="48"/>
        <v>313.55000000000007</v>
      </c>
      <c r="AR102" s="211">
        <f>AQ102*AH102</f>
        <v>313.55000000000007</v>
      </c>
      <c r="AS102" s="205"/>
      <c r="AT102" s="205">
        <f t="shared" si="49"/>
        <v>140.04999999999995</v>
      </c>
      <c r="AU102" s="211">
        <f t="shared" si="57"/>
        <v>140.04999999999995</v>
      </c>
      <c r="AV102" s="205"/>
      <c r="AW102" s="205">
        <f>(AE102*AG102)+AW101</f>
        <v>185.04999999999995</v>
      </c>
      <c r="AX102" s="252">
        <f t="shared" si="59"/>
        <v>84.190669856164121</v>
      </c>
      <c r="AY102" s="205"/>
      <c r="AZ102" s="205">
        <f t="shared" si="50"/>
        <v>155.04999999999995</v>
      </c>
      <c r="BA102" s="252">
        <f t="shared" si="60"/>
        <v>155.04999999999995</v>
      </c>
      <c r="BB102" s="15">
        <f t="shared" si="42"/>
        <v>47.5</v>
      </c>
      <c r="BC102" s="15">
        <f t="shared" si="43"/>
        <v>21.610682616416085</v>
      </c>
      <c r="BD102" s="90">
        <f t="shared" si="44"/>
        <v>1.8198469571718809</v>
      </c>
      <c r="BE102" s="15">
        <f t="shared" si="45"/>
        <v>4</v>
      </c>
      <c r="BF102" s="196">
        <f t="shared" si="46"/>
        <v>47.5</v>
      </c>
      <c r="BG102" s="196">
        <f t="shared" si="47"/>
        <v>20</v>
      </c>
    </row>
    <row r="103" spans="1:59" ht="14.25" customHeight="1">
      <c r="A103" s="162"/>
      <c r="B103" s="162"/>
      <c r="C103" s="162"/>
      <c r="D103" s="162"/>
      <c r="E103" s="162"/>
      <c r="F103" s="163"/>
      <c r="G103" s="163"/>
      <c r="H103" s="163"/>
      <c r="I103" s="163"/>
      <c r="J103" s="163"/>
      <c r="K103" s="163"/>
      <c r="L103" s="163"/>
      <c r="M103" s="163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254"/>
      <c r="AC103" s="15" t="s">
        <v>114</v>
      </c>
      <c r="AD103" s="255"/>
      <c r="AE103" s="188"/>
      <c r="AF103" s="229"/>
      <c r="AG103" s="193"/>
      <c r="AH103" s="230"/>
      <c r="AI103" s="230"/>
      <c r="AJ103" s="231">
        <f>SUM(AJ86:AJ91)</f>
        <v>101.55</v>
      </c>
      <c r="AK103" s="194"/>
      <c r="AL103" s="189"/>
      <c r="AM103" s="231">
        <f>SUM(AM86:AM91)</f>
        <v>151.55000000000001</v>
      </c>
      <c r="AN103" s="194"/>
      <c r="AO103" s="195"/>
      <c r="AP103" s="231">
        <f>SUM(AP86:AP91)</f>
        <v>220.05</v>
      </c>
      <c r="AQ103" s="194"/>
      <c r="AR103" s="196"/>
      <c r="AS103" s="231">
        <f>SUM(AS86:AS91)</f>
        <v>86.55</v>
      </c>
      <c r="AT103" s="194"/>
      <c r="AU103" s="195"/>
      <c r="AV103" s="231">
        <f>SUM(AV86:AV91)</f>
        <v>146.55000000000001</v>
      </c>
      <c r="AW103" s="194"/>
      <c r="AX103" s="195"/>
      <c r="AY103" s="194">
        <f>SUM(AY86:AY91)</f>
        <v>116.55</v>
      </c>
      <c r="AZ103" s="194"/>
      <c r="BA103" s="195"/>
      <c r="BD103" s="90">
        <f t="shared" si="44"/>
        <v>0</v>
      </c>
      <c r="BE103" s="15">
        <f>AE103*$AD$47</f>
        <v>0</v>
      </c>
      <c r="BF103" s="196">
        <f t="shared" si="46"/>
        <v>0</v>
      </c>
      <c r="BG103" s="196">
        <f t="shared" si="47"/>
        <v>0</v>
      </c>
    </row>
    <row r="104" spans="1:59" ht="14.25" customHeight="1">
      <c r="A104" s="162"/>
      <c r="B104" s="256"/>
      <c r="C104" s="256"/>
      <c r="D104" s="256"/>
      <c r="E104" s="256"/>
      <c r="F104" s="257"/>
      <c r="G104" s="257"/>
      <c r="H104" s="257"/>
      <c r="I104" s="257"/>
      <c r="J104" s="257"/>
      <c r="K104" s="257"/>
      <c r="L104" s="257"/>
      <c r="M104" s="257"/>
      <c r="N104" s="256"/>
      <c r="O104" s="256"/>
      <c r="P104" s="256"/>
      <c r="Q104" s="256"/>
      <c r="R104" s="256"/>
      <c r="S104" s="256"/>
      <c r="T104" s="256"/>
      <c r="U104" s="256"/>
      <c r="V104" s="256"/>
      <c r="W104" s="256"/>
      <c r="X104" s="256"/>
      <c r="Y104" s="256"/>
      <c r="Z104" s="256"/>
      <c r="AA104" s="256"/>
      <c r="AB104" s="254"/>
      <c r="AC104" s="229"/>
      <c r="AD104" s="230"/>
      <c r="AE104" s="188"/>
      <c r="AF104" s="229"/>
      <c r="AG104" s="193"/>
      <c r="AH104" s="230"/>
      <c r="AI104" s="230"/>
      <c r="AK104" s="194"/>
      <c r="AL104" s="189"/>
      <c r="AM104" s="231"/>
      <c r="AN104" s="194"/>
      <c r="AO104" s="195"/>
      <c r="AP104" s="196"/>
      <c r="AQ104" s="194"/>
      <c r="AR104" s="196"/>
      <c r="AT104" s="194"/>
      <c r="AU104" s="195"/>
      <c r="AV104" s="231"/>
      <c r="AW104" s="194"/>
      <c r="AX104" s="195"/>
      <c r="AY104" s="231"/>
      <c r="AZ104" s="194"/>
      <c r="BA104" s="232"/>
      <c r="BB104" s="196"/>
      <c r="BD104" s="90">
        <f t="shared" si="44"/>
        <v>0</v>
      </c>
      <c r="BE104" s="15">
        <f>AE104*$AD$47</f>
        <v>0</v>
      </c>
    </row>
    <row r="105" spans="1:59" ht="14.25" customHeight="1">
      <c r="A105" s="393" t="s">
        <v>0</v>
      </c>
      <c r="B105" s="394"/>
      <c r="C105" s="395"/>
      <c r="D105" s="412" t="str">
        <f>$D$1</f>
        <v xml:space="preserve">Megaspine </v>
      </c>
      <c r="E105" s="413"/>
      <c r="F105" s="413"/>
      <c r="G105" s="413"/>
      <c r="H105" s="413"/>
      <c r="I105" s="413"/>
      <c r="J105" s="413"/>
      <c r="K105" s="413"/>
      <c r="L105" s="413"/>
      <c r="M105" s="413"/>
      <c r="N105" s="413"/>
      <c r="O105" s="413"/>
      <c r="P105" s="413"/>
      <c r="Q105" s="414"/>
      <c r="R105" s="389" t="s">
        <v>2</v>
      </c>
      <c r="S105" s="389"/>
      <c r="T105" s="389"/>
      <c r="U105" s="390">
        <f>$U$1</f>
        <v>0</v>
      </c>
      <c r="V105" s="391"/>
      <c r="W105" s="391"/>
      <c r="X105" s="392"/>
      <c r="Y105" s="380"/>
      <c r="Z105" s="381"/>
      <c r="AA105" s="382"/>
    </row>
    <row r="106" spans="1:59" ht="14.25" customHeight="1">
      <c r="A106" s="399"/>
      <c r="B106" s="400"/>
      <c r="C106" s="401"/>
      <c r="D106" s="415"/>
      <c r="E106" s="416"/>
      <c r="F106" s="416"/>
      <c r="G106" s="416"/>
      <c r="H106" s="416"/>
      <c r="I106" s="416"/>
      <c r="J106" s="416"/>
      <c r="K106" s="416"/>
      <c r="L106" s="416"/>
      <c r="M106" s="416"/>
      <c r="N106" s="416"/>
      <c r="O106" s="416"/>
      <c r="P106" s="416"/>
      <c r="Q106" s="417"/>
      <c r="R106" s="389" t="s">
        <v>3</v>
      </c>
      <c r="S106" s="389"/>
      <c r="T106" s="389"/>
      <c r="U106" s="390" t="str">
        <f>$U$2</f>
        <v>PSM</v>
      </c>
      <c r="V106" s="391"/>
      <c r="W106" s="391"/>
      <c r="X106" s="392"/>
      <c r="Y106" s="383"/>
      <c r="Z106" s="384"/>
      <c r="AA106" s="385"/>
    </row>
    <row r="107" spans="1:59" ht="14.25" customHeight="1">
      <c r="A107" s="393" t="s">
        <v>5</v>
      </c>
      <c r="B107" s="394"/>
      <c r="C107" s="395"/>
      <c r="D107" s="380" t="str">
        <f>$D$3</f>
        <v>North of ATB (CST) - Section Test</v>
      </c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81"/>
      <c r="P107" s="381"/>
      <c r="Q107" s="382"/>
      <c r="R107" s="389" t="s">
        <v>6</v>
      </c>
      <c r="S107" s="389"/>
      <c r="T107" s="389"/>
      <c r="U107" s="390" t="str">
        <f>$U$3</f>
        <v>JRS</v>
      </c>
      <c r="V107" s="391"/>
      <c r="W107" s="391"/>
      <c r="X107" s="392"/>
      <c r="Y107" s="383"/>
      <c r="Z107" s="384"/>
      <c r="AA107" s="385"/>
    </row>
    <row r="108" spans="1:59" ht="14.25" customHeight="1">
      <c r="A108" s="396"/>
      <c r="B108" s="397"/>
      <c r="C108" s="398"/>
      <c r="D108" s="489" t="str">
        <f>$D$4</f>
        <v xml:space="preserve">Load Calculation </v>
      </c>
      <c r="E108" s="490"/>
      <c r="F108" s="490"/>
      <c r="G108" s="490"/>
      <c r="H108" s="490"/>
      <c r="I108" s="490"/>
      <c r="J108" s="490"/>
      <c r="K108" s="490"/>
      <c r="L108" s="490"/>
      <c r="M108" s="490"/>
      <c r="N108" s="490"/>
      <c r="O108" s="490"/>
      <c r="P108" s="490"/>
      <c r="Q108" s="491"/>
      <c r="R108" s="389" t="s">
        <v>9</v>
      </c>
      <c r="S108" s="389"/>
      <c r="T108" s="389"/>
      <c r="U108" s="390" t="str">
        <f>$U$4</f>
        <v>MYPQ</v>
      </c>
      <c r="V108" s="391"/>
      <c r="W108" s="391"/>
      <c r="X108" s="392"/>
      <c r="Y108" s="386"/>
      <c r="Z108" s="387"/>
      <c r="AA108" s="388"/>
      <c r="AC108" s="238"/>
    </row>
    <row r="109" spans="1:59" ht="14.25" customHeight="1">
      <c r="A109" s="399"/>
      <c r="B109" s="400"/>
      <c r="C109" s="401"/>
      <c r="D109" s="415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7"/>
      <c r="R109" s="389" t="s">
        <v>11</v>
      </c>
      <c r="S109" s="389"/>
      <c r="T109" s="389"/>
      <c r="U109" s="411">
        <f ca="1">$U$5</f>
        <v>45183</v>
      </c>
      <c r="V109" s="492"/>
      <c r="W109" s="492"/>
      <c r="X109" s="493"/>
      <c r="Y109" s="418" t="s">
        <v>12</v>
      </c>
      <c r="Z109" s="419"/>
      <c r="AA109" s="183" t="str">
        <f>3&amp;"/"&amp;AB5</f>
        <v>3/14</v>
      </c>
    </row>
    <row r="110" spans="1:59" ht="14.25" customHeight="1">
      <c r="A110" s="162"/>
      <c r="B110" s="162"/>
      <c r="C110" s="162"/>
      <c r="D110" s="162"/>
      <c r="E110" s="162"/>
      <c r="F110" s="163"/>
      <c r="G110" s="163"/>
      <c r="H110" s="163"/>
      <c r="I110" s="163"/>
      <c r="J110" s="163"/>
      <c r="K110" s="163"/>
      <c r="L110" s="163"/>
      <c r="M110" s="163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C110" s="258"/>
      <c r="AD110" s="193"/>
      <c r="AE110" s="259"/>
      <c r="AF110" s="260"/>
      <c r="AG110" s="261"/>
      <c r="AH110" s="262"/>
      <c r="AI110" s="262"/>
      <c r="AJ110" s="260"/>
      <c r="AK110" s="261"/>
      <c r="AL110" s="263"/>
      <c r="AM110" s="261"/>
      <c r="AN110" s="261"/>
      <c r="AO110" s="264"/>
      <c r="AP110" s="260"/>
      <c r="AQ110" s="261"/>
      <c r="AR110" s="260"/>
      <c r="AS110" s="261"/>
      <c r="AT110" s="261"/>
      <c r="AU110" s="265"/>
      <c r="AV110" s="260"/>
      <c r="AW110" s="261"/>
      <c r="AX110" s="264"/>
      <c r="AY110" s="261"/>
      <c r="AZ110" s="266"/>
      <c r="BA110" s="267"/>
      <c r="BB110" s="266"/>
    </row>
    <row r="111" spans="1:59" ht="14.25" customHeight="1">
      <c r="A111" s="162"/>
      <c r="B111" s="191" t="s">
        <v>139</v>
      </c>
      <c r="C111" s="191"/>
      <c r="D111" s="191"/>
      <c r="E111" s="191"/>
      <c r="F111" s="192"/>
      <c r="G111" s="192"/>
      <c r="H111" s="192"/>
      <c r="I111" s="192"/>
      <c r="J111" s="192"/>
      <c r="K111" s="192"/>
      <c r="L111" s="192"/>
      <c r="M111" s="192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62"/>
      <c r="AB111" s="162"/>
      <c r="AD111" s="193"/>
      <c r="AE111" s="268"/>
      <c r="AF111" s="259"/>
      <c r="AG111" s="260"/>
      <c r="AH111" s="262"/>
      <c r="AI111" s="262"/>
      <c r="AJ111" s="261"/>
      <c r="AK111" s="260"/>
      <c r="AL111" s="269"/>
      <c r="AM111" s="260"/>
      <c r="AN111" s="261"/>
      <c r="AO111" s="265"/>
      <c r="AP111" s="261"/>
      <c r="AQ111" s="261"/>
      <c r="AR111" s="261"/>
      <c r="AS111" s="260"/>
      <c r="AT111" s="261"/>
      <c r="AU111" s="265"/>
      <c r="AV111" s="261"/>
      <c r="AW111" s="260"/>
      <c r="AX111" s="265"/>
      <c r="AY111" s="260"/>
      <c r="AZ111" s="261"/>
      <c r="BA111" s="267"/>
      <c r="BB111" s="266"/>
    </row>
    <row r="112" spans="1:59" ht="14.25" customHeight="1">
      <c r="A112" s="162"/>
      <c r="B112" s="178"/>
      <c r="C112" s="178"/>
      <c r="D112" s="178"/>
      <c r="E112" s="178"/>
      <c r="F112" s="179"/>
      <c r="G112" s="179"/>
      <c r="H112" s="179"/>
      <c r="I112" s="179"/>
      <c r="J112" s="179"/>
      <c r="K112" s="179"/>
      <c r="L112" s="179"/>
      <c r="M112" s="179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62"/>
      <c r="AB112" s="162"/>
      <c r="AD112" s="193"/>
      <c r="AE112" s="268"/>
      <c r="AF112" s="259"/>
      <c r="AG112" s="260"/>
      <c r="AH112" s="262"/>
      <c r="AI112" s="262"/>
      <c r="AJ112" s="261"/>
      <c r="AK112" s="260"/>
      <c r="AL112" s="269"/>
      <c r="AM112" s="260"/>
      <c r="AN112" s="261"/>
      <c r="AO112" s="265"/>
      <c r="AP112" s="261"/>
      <c r="AQ112" s="261"/>
      <c r="AR112" s="261"/>
      <c r="AS112" s="260"/>
      <c r="AT112" s="261"/>
      <c r="AU112" s="265"/>
      <c r="AV112" s="261"/>
      <c r="AW112" s="260"/>
      <c r="AX112" s="265"/>
      <c r="AY112" s="260"/>
      <c r="AZ112" s="261"/>
      <c r="BA112" s="267"/>
      <c r="BB112" s="266"/>
    </row>
    <row r="113" spans="1:61" ht="14.25" customHeight="1">
      <c r="A113" s="162"/>
      <c r="B113" s="162"/>
      <c r="C113" s="162"/>
      <c r="D113" s="270" t="s">
        <v>140</v>
      </c>
      <c r="E113" s="215"/>
      <c r="F113" s="216"/>
      <c r="G113" s="216"/>
      <c r="H113" s="216"/>
      <c r="I113" s="216"/>
      <c r="J113" s="216"/>
      <c r="K113" s="163"/>
      <c r="L113" s="163"/>
      <c r="M113" s="163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  <c r="AB113" s="162"/>
      <c r="AD113" s="193"/>
      <c r="AE113" s="268"/>
      <c r="AF113" s="259"/>
      <c r="AG113" s="260"/>
      <c r="AH113" s="262"/>
      <c r="AI113" s="262"/>
      <c r="AJ113" s="261"/>
      <c r="AK113" s="260"/>
      <c r="AL113" s="269"/>
      <c r="AM113" s="260"/>
      <c r="AN113" s="261"/>
      <c r="AO113" s="265"/>
      <c r="AP113" s="261"/>
      <c r="AQ113" s="261"/>
      <c r="AR113" s="261"/>
      <c r="AS113" s="260"/>
      <c r="AT113" s="261"/>
      <c r="AU113" s="265"/>
      <c r="AV113" s="261"/>
      <c r="AW113" s="260"/>
      <c r="AX113" s="265"/>
      <c r="AY113" s="260"/>
      <c r="AZ113" s="261"/>
      <c r="BA113" s="267"/>
      <c r="BB113" s="266"/>
    </row>
    <row r="114" spans="1:61" ht="14.25" customHeight="1">
      <c r="A114" s="162"/>
      <c r="B114" s="162"/>
      <c r="C114" s="162"/>
      <c r="D114" s="162" t="s">
        <v>141</v>
      </c>
      <c r="E114" s="162"/>
      <c r="F114" s="163"/>
      <c r="G114" s="163"/>
      <c r="H114" s="163"/>
      <c r="I114" s="163"/>
      <c r="J114" s="163"/>
      <c r="K114" s="163"/>
      <c r="L114" s="163"/>
      <c r="M114" s="163"/>
      <c r="N114" s="162"/>
      <c r="O114" s="162"/>
      <c r="P114" s="162"/>
      <c r="Q114" s="162"/>
      <c r="R114" s="162"/>
      <c r="S114" s="271" t="s">
        <v>142</v>
      </c>
      <c r="T114" s="497">
        <f>AL92</f>
        <v>105.05</v>
      </c>
      <c r="U114" s="498"/>
      <c r="V114" s="499"/>
      <c r="W114" s="162" t="s">
        <v>120</v>
      </c>
      <c r="X114" s="162"/>
      <c r="Y114" s="162"/>
      <c r="Z114" s="162"/>
      <c r="AA114" s="162"/>
      <c r="AB114" s="162"/>
      <c r="AD114" s="193"/>
      <c r="AE114" s="268"/>
      <c r="AF114" s="259"/>
      <c r="AG114" s="260"/>
      <c r="AH114" s="262"/>
      <c r="AI114" s="262"/>
      <c r="AJ114" s="261"/>
      <c r="AK114" s="260"/>
      <c r="AL114" s="269"/>
      <c r="AM114" s="260"/>
      <c r="AN114" s="261"/>
      <c r="AO114" s="265"/>
      <c r="AP114" s="261"/>
      <c r="AQ114" s="261"/>
      <c r="AR114" s="261"/>
      <c r="AS114" s="260"/>
      <c r="AT114" s="261"/>
      <c r="AU114" s="265"/>
      <c r="AV114" s="261"/>
      <c r="AW114" s="260"/>
      <c r="AX114" s="265"/>
      <c r="AY114" s="260"/>
      <c r="AZ114" s="261"/>
      <c r="BA114" s="267"/>
      <c r="BB114" s="266"/>
    </row>
    <row r="115" spans="1:61" ht="14.25" hidden="1" customHeight="1">
      <c r="A115" s="162"/>
      <c r="B115" s="162"/>
      <c r="C115" s="162"/>
      <c r="D115" s="162" t="s">
        <v>143</v>
      </c>
      <c r="E115" s="162"/>
      <c r="F115" s="163"/>
      <c r="G115" s="163"/>
      <c r="H115" s="163"/>
      <c r="I115" s="163"/>
      <c r="J115" s="163"/>
      <c r="K115" s="163"/>
      <c r="L115" s="163"/>
      <c r="M115" s="163"/>
      <c r="N115" s="162"/>
      <c r="O115" s="162"/>
      <c r="P115" s="162"/>
      <c r="Q115" s="162"/>
      <c r="R115" s="162"/>
      <c r="S115" s="271" t="s">
        <v>142</v>
      </c>
      <c r="T115" s="497">
        <f>AL97</f>
        <v>141.79999999999998</v>
      </c>
      <c r="U115" s="498"/>
      <c r="V115" s="499"/>
      <c r="W115" s="162" t="s">
        <v>120</v>
      </c>
      <c r="X115" s="162"/>
      <c r="Y115" s="162"/>
      <c r="Z115" s="162"/>
      <c r="AA115" s="162"/>
      <c r="AC115" s="193"/>
      <c r="AD115" s="272"/>
      <c r="AE115" s="187"/>
      <c r="AF115" s="187"/>
      <c r="AJ115" s="273"/>
    </row>
    <row r="116" spans="1:61" ht="14.25" hidden="1" customHeight="1">
      <c r="A116" s="162"/>
      <c r="B116" s="162"/>
      <c r="C116" s="162"/>
      <c r="D116" s="162" t="s">
        <v>144</v>
      </c>
      <c r="E116" s="162"/>
      <c r="F116" s="163"/>
      <c r="G116" s="163"/>
      <c r="H116" s="163"/>
      <c r="I116" s="163"/>
      <c r="J116" s="163"/>
      <c r="K116" s="163"/>
      <c r="L116" s="163"/>
      <c r="M116" s="163"/>
      <c r="N116" s="162"/>
      <c r="O116" s="162"/>
      <c r="P116" s="162"/>
      <c r="Q116" s="162"/>
      <c r="R116" s="162"/>
      <c r="S116" s="271" t="s">
        <v>142</v>
      </c>
      <c r="T116" s="497">
        <f>AL98</f>
        <v>149.14999999999998</v>
      </c>
      <c r="U116" s="498"/>
      <c r="V116" s="499"/>
      <c r="W116" s="162" t="s">
        <v>120</v>
      </c>
      <c r="X116" s="162"/>
      <c r="Y116" s="162"/>
      <c r="Z116" s="162"/>
      <c r="AA116" s="162"/>
      <c r="AC116" s="229"/>
      <c r="AD116" s="194"/>
      <c r="AE116" s="187"/>
      <c r="AF116" s="187"/>
      <c r="AG116" s="194"/>
      <c r="AH116" s="186"/>
      <c r="AJ116" s="194"/>
      <c r="AK116" s="194"/>
      <c r="AL116" s="274"/>
      <c r="AM116" s="194"/>
      <c r="AN116" s="194"/>
      <c r="AQ116" s="194"/>
      <c r="AS116" s="194"/>
      <c r="AT116" s="194"/>
      <c r="AU116" s="275"/>
      <c r="AV116" s="194"/>
      <c r="AW116" s="194"/>
      <c r="AX116" s="275"/>
      <c r="AY116" s="194"/>
      <c r="AZ116" s="194"/>
      <c r="BA116" s="275"/>
      <c r="BB116" s="194"/>
      <c r="BC116" s="266"/>
    </row>
    <row r="117" spans="1:61" ht="14.25" customHeight="1">
      <c r="A117" s="162"/>
      <c r="B117" s="162"/>
      <c r="C117" s="162"/>
      <c r="D117" s="162" t="s">
        <v>145</v>
      </c>
      <c r="E117" s="162"/>
      <c r="F117" s="163"/>
      <c r="G117" s="163"/>
      <c r="H117" s="163"/>
      <c r="I117" s="163"/>
      <c r="J117" s="163"/>
      <c r="K117" s="163"/>
      <c r="L117" s="163"/>
      <c r="M117" s="163"/>
      <c r="N117" s="162"/>
      <c r="O117" s="162"/>
      <c r="P117" s="162"/>
      <c r="Q117" s="162"/>
      <c r="R117" s="162"/>
      <c r="S117" s="271" t="s">
        <v>142</v>
      </c>
      <c r="T117" s="497">
        <f>AL101</f>
        <v>136.54999999999995</v>
      </c>
      <c r="U117" s="498"/>
      <c r="V117" s="499"/>
      <c r="W117" s="162" t="s">
        <v>120</v>
      </c>
      <c r="X117" s="162"/>
      <c r="Y117" s="162"/>
      <c r="Z117" s="162"/>
      <c r="AA117" s="162"/>
      <c r="AB117" s="162"/>
      <c r="AD117" s="229"/>
      <c r="AE117" s="276"/>
      <c r="AF117" s="187"/>
      <c r="AG117" s="187"/>
      <c r="AH117" s="186"/>
      <c r="AI117" s="186"/>
      <c r="AK117" s="194"/>
      <c r="AL117" s="277"/>
      <c r="AM117" s="187"/>
      <c r="AN117" s="194"/>
      <c r="AO117" s="275"/>
      <c r="AP117" s="194"/>
      <c r="AQ117" s="194"/>
      <c r="AR117" s="194"/>
      <c r="AS117" s="194"/>
      <c r="AT117" s="194"/>
      <c r="AU117" s="275"/>
      <c r="AV117" s="194"/>
      <c r="AW117" s="194"/>
      <c r="AX117" s="275"/>
      <c r="AY117" s="194"/>
      <c r="AZ117" s="194"/>
      <c r="BA117" s="275"/>
      <c r="BB117" s="194"/>
      <c r="BC117" s="266"/>
    </row>
    <row r="118" spans="1:61" ht="14.25" customHeight="1">
      <c r="A118" s="162"/>
      <c r="B118" s="162"/>
      <c r="C118" s="162"/>
      <c r="D118" s="162"/>
      <c r="E118" s="162"/>
      <c r="F118" s="163"/>
      <c r="G118" s="163"/>
      <c r="H118" s="163"/>
      <c r="I118" s="163"/>
      <c r="J118" s="163"/>
      <c r="K118" s="163"/>
      <c r="L118" s="163"/>
      <c r="M118" s="163"/>
      <c r="N118" s="162"/>
      <c r="O118" s="162"/>
      <c r="P118" s="162"/>
      <c r="Q118" s="162"/>
      <c r="R118" s="162"/>
      <c r="S118" s="271"/>
      <c r="T118" s="162"/>
      <c r="U118" s="162"/>
      <c r="V118" s="162"/>
      <c r="W118" s="162"/>
      <c r="X118" s="162"/>
      <c r="Y118" s="162"/>
      <c r="Z118" s="162"/>
      <c r="AA118" s="162"/>
      <c r="AB118" s="162"/>
      <c r="AD118" s="229"/>
      <c r="AE118" s="276"/>
      <c r="AF118" s="187"/>
      <c r="AG118" s="187"/>
      <c r="AH118" s="186"/>
      <c r="AI118" s="186"/>
      <c r="AK118" s="194"/>
      <c r="AL118" s="277"/>
      <c r="AM118" s="194"/>
      <c r="AN118" s="194"/>
      <c r="AO118" s="275"/>
      <c r="AP118" s="194"/>
      <c r="AQ118" s="194"/>
      <c r="AR118" s="194"/>
      <c r="AS118" s="194"/>
      <c r="AT118" s="194"/>
      <c r="AU118" s="275"/>
      <c r="AV118" s="194"/>
      <c r="AW118" s="194"/>
      <c r="AX118" s="275"/>
      <c r="AY118" s="194"/>
      <c r="AZ118" s="194"/>
      <c r="BA118" s="275"/>
      <c r="BB118" s="194"/>
      <c r="BC118" s="266"/>
    </row>
    <row r="119" spans="1:61" ht="14.25" customHeight="1">
      <c r="A119" s="233"/>
      <c r="B119" s="162"/>
      <c r="C119" s="162"/>
      <c r="D119" s="270" t="s">
        <v>146</v>
      </c>
      <c r="E119" s="215"/>
      <c r="F119" s="216"/>
      <c r="G119" s="216"/>
      <c r="H119" s="216"/>
      <c r="I119" s="216"/>
      <c r="J119" s="216"/>
      <c r="K119" s="163"/>
      <c r="L119" s="163"/>
      <c r="M119" s="163"/>
      <c r="N119" s="162"/>
      <c r="O119" s="162"/>
      <c r="P119" s="162"/>
      <c r="Q119" s="162"/>
      <c r="R119" s="162"/>
      <c r="S119" s="271"/>
      <c r="T119" s="162"/>
      <c r="U119" s="162"/>
      <c r="V119" s="162"/>
      <c r="W119" s="162"/>
      <c r="X119" s="162"/>
      <c r="Y119" s="162"/>
      <c r="Z119" s="162"/>
      <c r="AA119" s="162"/>
      <c r="AC119" s="201"/>
      <c r="AD119" s="272"/>
      <c r="AE119" s="187"/>
      <c r="AF119" s="187"/>
      <c r="AG119" s="196"/>
      <c r="AH119" s="186"/>
      <c r="AJ119" s="194"/>
      <c r="AK119" s="196"/>
      <c r="AL119" s="277"/>
      <c r="AM119" s="196"/>
      <c r="AN119" s="194"/>
      <c r="AO119" s="275"/>
      <c r="AP119" s="194"/>
      <c r="AQ119" s="194"/>
      <c r="AR119" s="194"/>
      <c r="AS119" s="196"/>
      <c r="AT119" s="194"/>
      <c r="AU119" s="275"/>
      <c r="AV119" s="194"/>
      <c r="AW119" s="194"/>
      <c r="AX119" s="275"/>
      <c r="AY119" s="194"/>
      <c r="AZ119" s="194"/>
      <c r="BA119" s="275"/>
      <c r="BB119" s="194"/>
      <c r="BC119" s="266"/>
    </row>
    <row r="120" spans="1:61" ht="14.25" customHeight="1">
      <c r="A120" s="162"/>
      <c r="B120" s="162"/>
      <c r="C120" s="162"/>
      <c r="D120" s="162" t="s">
        <v>141</v>
      </c>
      <c r="E120" s="162"/>
      <c r="F120" s="163"/>
      <c r="G120" s="163"/>
      <c r="H120" s="163"/>
      <c r="I120" s="163"/>
      <c r="J120" s="163"/>
      <c r="K120" s="163"/>
      <c r="L120" s="163"/>
      <c r="M120" s="163"/>
      <c r="N120" s="162"/>
      <c r="O120" s="162"/>
      <c r="P120" s="162"/>
      <c r="Q120" s="162"/>
      <c r="R120" s="162"/>
      <c r="S120" s="271" t="s">
        <v>142</v>
      </c>
      <c r="T120" s="497">
        <f>AL67</f>
        <v>105.05</v>
      </c>
      <c r="U120" s="498"/>
      <c r="V120" s="499"/>
      <c r="W120" s="162" t="s">
        <v>120</v>
      </c>
      <c r="X120" s="162"/>
      <c r="Y120" s="162"/>
      <c r="Z120" s="162"/>
      <c r="AA120" s="162"/>
      <c r="AC120" s="201"/>
      <c r="AD120" s="64"/>
      <c r="AE120" s="187"/>
      <c r="AF120" s="187"/>
      <c r="AH120" s="278"/>
      <c r="AJ120" s="194"/>
      <c r="AK120" s="196"/>
      <c r="AL120" s="277"/>
      <c r="AM120" s="194"/>
      <c r="AN120" s="196"/>
      <c r="AO120" s="275"/>
      <c r="AP120" s="194"/>
      <c r="AQ120" s="196"/>
      <c r="AR120" s="194"/>
      <c r="AS120" s="194"/>
      <c r="AT120" s="194"/>
      <c r="AU120" s="275"/>
      <c r="AV120" s="194"/>
      <c r="AW120" s="196"/>
      <c r="AX120" s="275"/>
      <c r="AY120" s="196"/>
      <c r="AZ120" s="194"/>
      <c r="BA120" s="275"/>
      <c r="BB120" s="194"/>
    </row>
    <row r="121" spans="1:61" ht="14.25" hidden="1" customHeight="1">
      <c r="A121" s="162"/>
      <c r="B121" s="162"/>
      <c r="C121" s="162"/>
      <c r="D121" s="162" t="s">
        <v>143</v>
      </c>
      <c r="E121" s="162"/>
      <c r="F121" s="163"/>
      <c r="G121" s="163"/>
      <c r="H121" s="163"/>
      <c r="I121" s="163"/>
      <c r="J121" s="163"/>
      <c r="K121" s="163"/>
      <c r="L121" s="163"/>
      <c r="M121" s="163"/>
      <c r="N121" s="162"/>
      <c r="O121" s="162"/>
      <c r="P121" s="162"/>
      <c r="Q121" s="162"/>
      <c r="R121" s="162"/>
      <c r="S121" s="271" t="s">
        <v>142</v>
      </c>
      <c r="T121" s="497">
        <f>AL70</f>
        <v>127.1</v>
      </c>
      <c r="U121" s="498"/>
      <c r="V121" s="499"/>
      <c r="W121" s="162" t="s">
        <v>120</v>
      </c>
      <c r="X121" s="162"/>
      <c r="Y121" s="162"/>
      <c r="Z121" s="162"/>
      <c r="AA121" s="162"/>
      <c r="AC121" s="201"/>
      <c r="AD121" s="230"/>
      <c r="AE121" s="187"/>
      <c r="AF121" s="187"/>
      <c r="AH121" s="278"/>
      <c r="AJ121" s="194"/>
      <c r="AK121" s="196"/>
      <c r="AL121" s="277"/>
      <c r="AM121" s="194"/>
      <c r="AN121" s="196"/>
      <c r="AO121" s="275"/>
      <c r="AP121" s="194"/>
      <c r="AQ121" s="196"/>
      <c r="AR121" s="194"/>
      <c r="AS121" s="194"/>
      <c r="AT121" s="194"/>
      <c r="AU121" s="275"/>
      <c r="AV121" s="194"/>
      <c r="AW121" s="196"/>
      <c r="AX121" s="275"/>
      <c r="AY121" s="196"/>
      <c r="AZ121" s="194"/>
      <c r="BA121" s="275"/>
      <c r="BB121" s="194"/>
    </row>
    <row r="122" spans="1:61" ht="14.25" hidden="1" customHeight="1">
      <c r="A122" s="162"/>
      <c r="B122" s="162"/>
      <c r="C122" s="162"/>
      <c r="D122" s="162" t="s">
        <v>144</v>
      </c>
      <c r="E122" s="162"/>
      <c r="F122" s="163"/>
      <c r="G122" s="163"/>
      <c r="H122" s="163"/>
      <c r="I122" s="163"/>
      <c r="J122" s="163"/>
      <c r="K122" s="163"/>
      <c r="L122" s="163"/>
      <c r="M122" s="163"/>
      <c r="N122" s="162"/>
      <c r="O122" s="162"/>
      <c r="P122" s="162"/>
      <c r="Q122" s="162"/>
      <c r="R122" s="162"/>
      <c r="S122" s="271" t="s">
        <v>142</v>
      </c>
      <c r="T122" s="497">
        <f>AL71</f>
        <v>134.44999999999999</v>
      </c>
      <c r="U122" s="498"/>
      <c r="V122" s="499"/>
      <c r="W122" s="162" t="s">
        <v>120</v>
      </c>
      <c r="X122" s="162"/>
      <c r="Y122" s="162"/>
      <c r="Z122" s="162"/>
      <c r="AA122" s="162"/>
      <c r="AC122" s="201"/>
      <c r="AD122" s="230"/>
      <c r="AE122" s="187"/>
      <c r="AF122" s="187"/>
      <c r="AH122" s="278"/>
      <c r="AI122" s="278"/>
      <c r="AJ122" s="194"/>
      <c r="AK122" s="196"/>
      <c r="AL122" s="277"/>
      <c r="AM122" s="196"/>
      <c r="AN122" s="196"/>
      <c r="AO122" s="275"/>
      <c r="AP122" s="194"/>
      <c r="AQ122" s="196"/>
      <c r="AR122" s="194"/>
      <c r="AS122" s="196"/>
      <c r="AT122" s="194"/>
      <c r="AU122" s="275"/>
      <c r="AV122" s="194"/>
      <c r="AW122" s="196"/>
      <c r="AX122" s="275"/>
      <c r="AY122" s="196"/>
      <c r="AZ122" s="194"/>
      <c r="BA122" s="275"/>
      <c r="BB122" s="194"/>
      <c r="BC122" s="194"/>
    </row>
    <row r="123" spans="1:61" ht="14.25" customHeight="1">
      <c r="A123" s="162"/>
      <c r="B123" s="162"/>
      <c r="C123" s="162"/>
      <c r="D123" s="162" t="s">
        <v>145</v>
      </c>
      <c r="E123" s="162"/>
      <c r="F123" s="163"/>
      <c r="G123" s="163"/>
      <c r="H123" s="163"/>
      <c r="I123" s="163"/>
      <c r="J123" s="163"/>
      <c r="K123" s="163"/>
      <c r="L123" s="163"/>
      <c r="M123" s="163"/>
      <c r="N123" s="162"/>
      <c r="O123" s="162"/>
      <c r="P123" s="162"/>
      <c r="Q123" s="162"/>
      <c r="R123" s="162"/>
      <c r="S123" s="271" t="s">
        <v>142</v>
      </c>
      <c r="T123" s="497">
        <f>AL76</f>
        <v>136.54999999999995</v>
      </c>
      <c r="U123" s="498"/>
      <c r="V123" s="499"/>
      <c r="W123" s="162" t="s">
        <v>120</v>
      </c>
      <c r="X123" s="162"/>
      <c r="Y123" s="162"/>
      <c r="Z123" s="162"/>
      <c r="AA123" s="162"/>
      <c r="AC123" s="238" t="s">
        <v>147</v>
      </c>
      <c r="AT123" s="181" t="s">
        <v>52</v>
      </c>
      <c r="AU123" s="182" t="s">
        <v>51</v>
      </c>
      <c r="AW123" s="181" t="s">
        <v>52</v>
      </c>
      <c r="AY123" s="181" t="s">
        <v>51</v>
      </c>
      <c r="AZ123" s="181" t="s">
        <v>52</v>
      </c>
      <c r="BA123" s="182" t="s">
        <v>51</v>
      </c>
      <c r="BB123" s="181" t="s">
        <v>52</v>
      </c>
      <c r="BC123" s="181" t="s">
        <v>51</v>
      </c>
      <c r="BE123" s="181" t="s">
        <v>52</v>
      </c>
      <c r="BF123" s="181" t="s">
        <v>51</v>
      </c>
    </row>
    <row r="124" spans="1:61" ht="14.25" customHeight="1">
      <c r="A124" s="162"/>
      <c r="B124" s="162"/>
      <c r="C124" s="162"/>
      <c r="D124" s="162"/>
      <c r="E124" s="162"/>
      <c r="F124" s="163"/>
      <c r="G124" s="163"/>
      <c r="H124" s="163"/>
      <c r="I124" s="163"/>
      <c r="J124" s="163"/>
      <c r="K124" s="163"/>
      <c r="L124" s="163"/>
      <c r="M124" s="163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C124" s="517" t="s">
        <v>148</v>
      </c>
      <c r="AD124" s="517" t="s">
        <v>149</v>
      </c>
      <c r="AE124" s="461" t="s">
        <v>55</v>
      </c>
      <c r="AF124" s="519" t="s">
        <v>150</v>
      </c>
      <c r="AG124" s="521" t="s">
        <v>151</v>
      </c>
      <c r="AH124" s="523" t="s">
        <v>152</v>
      </c>
      <c r="AI124" s="523" t="s">
        <v>153</v>
      </c>
      <c r="AJ124" s="519" t="s">
        <v>154</v>
      </c>
      <c r="AK124" s="521" t="s">
        <v>155</v>
      </c>
      <c r="AL124" s="532" t="s">
        <v>156</v>
      </c>
      <c r="AM124" s="521" t="s">
        <v>157</v>
      </c>
      <c r="AN124" s="521" t="s">
        <v>158</v>
      </c>
      <c r="AO124" s="530" t="s">
        <v>159</v>
      </c>
      <c r="AP124" s="279"/>
      <c r="AQ124" s="521" t="s">
        <v>158</v>
      </c>
      <c r="AR124" s="279"/>
      <c r="AS124" s="521" t="s">
        <v>160</v>
      </c>
      <c r="AT124" s="521" t="s">
        <v>161</v>
      </c>
      <c r="AU124" s="528" t="s">
        <v>162</v>
      </c>
      <c r="AV124" s="519" t="s">
        <v>163</v>
      </c>
      <c r="AW124" s="521" t="s">
        <v>164</v>
      </c>
      <c r="AX124" s="530" t="s">
        <v>165</v>
      </c>
      <c r="AY124" s="521" t="s">
        <v>166</v>
      </c>
      <c r="AZ124" s="521" t="s">
        <v>167</v>
      </c>
      <c r="BA124" s="528" t="s">
        <v>168</v>
      </c>
      <c r="BB124" s="521" t="s">
        <v>169</v>
      </c>
      <c r="BC124" s="521" t="s">
        <v>170</v>
      </c>
      <c r="BD124" s="519" t="s">
        <v>165</v>
      </c>
      <c r="BE124" s="521" t="s">
        <v>171</v>
      </c>
      <c r="BF124" s="521" t="s">
        <v>172</v>
      </c>
      <c r="BG124" s="519" t="s">
        <v>150</v>
      </c>
      <c r="BH124" s="521" t="s">
        <v>456</v>
      </c>
    </row>
    <row r="125" spans="1:61" ht="14.25" customHeight="1">
      <c r="A125" s="162"/>
      <c r="B125" s="162"/>
      <c r="C125" s="162"/>
      <c r="D125" s="162"/>
      <c r="E125" s="162"/>
      <c r="F125" s="163"/>
      <c r="G125" s="163"/>
      <c r="H125" s="163"/>
      <c r="I125" s="163"/>
      <c r="J125" s="163"/>
      <c r="K125" s="163"/>
      <c r="L125" s="163"/>
      <c r="M125" s="16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C125" s="517"/>
      <c r="AD125" s="517"/>
      <c r="AE125" s="461"/>
      <c r="AF125" s="519"/>
      <c r="AG125" s="521"/>
      <c r="AH125" s="523"/>
      <c r="AI125" s="523"/>
      <c r="AJ125" s="519"/>
      <c r="AK125" s="521"/>
      <c r="AL125" s="532"/>
      <c r="AM125" s="521"/>
      <c r="AN125" s="521"/>
      <c r="AO125" s="530"/>
      <c r="AP125" s="279"/>
      <c r="AQ125" s="521"/>
      <c r="AR125" s="279"/>
      <c r="AS125" s="521"/>
      <c r="AT125" s="521"/>
      <c r="AU125" s="528"/>
      <c r="AV125" s="519"/>
      <c r="AW125" s="521"/>
      <c r="AX125" s="530"/>
      <c r="AY125" s="521"/>
      <c r="AZ125" s="521"/>
      <c r="BA125" s="528"/>
      <c r="BB125" s="521"/>
      <c r="BC125" s="521"/>
      <c r="BD125" s="519"/>
      <c r="BE125" s="521"/>
      <c r="BF125" s="521"/>
      <c r="BG125" s="519"/>
      <c r="BH125" s="521"/>
    </row>
    <row r="126" spans="1:61" ht="14.25" customHeight="1" thickBot="1">
      <c r="A126" s="162"/>
      <c r="B126" s="162"/>
      <c r="C126" s="162"/>
      <c r="D126" s="162"/>
      <c r="E126" s="162"/>
      <c r="F126" s="163"/>
      <c r="G126" s="163"/>
      <c r="H126" s="163"/>
      <c r="I126" s="163"/>
      <c r="J126" s="163"/>
      <c r="K126" s="163"/>
      <c r="L126" s="163"/>
      <c r="M126" s="163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C126" s="518"/>
      <c r="AD126" s="518"/>
      <c r="AE126" s="462"/>
      <c r="AF126" s="520"/>
      <c r="AG126" s="522"/>
      <c r="AH126" s="524"/>
      <c r="AI126" s="524"/>
      <c r="AJ126" s="520"/>
      <c r="AK126" s="522"/>
      <c r="AL126" s="533"/>
      <c r="AM126" s="522"/>
      <c r="AN126" s="522"/>
      <c r="AO126" s="531"/>
      <c r="AP126" s="280"/>
      <c r="AQ126" s="522"/>
      <c r="AR126" s="280"/>
      <c r="AS126" s="522"/>
      <c r="AT126" s="522"/>
      <c r="AU126" s="529"/>
      <c r="AV126" s="520"/>
      <c r="AW126" s="522"/>
      <c r="AX126" s="531"/>
      <c r="AY126" s="522"/>
      <c r="AZ126" s="522"/>
      <c r="BA126" s="529"/>
      <c r="BB126" s="522"/>
      <c r="BC126" s="522"/>
      <c r="BD126" s="520"/>
      <c r="BE126" s="522"/>
      <c r="BF126" s="522"/>
      <c r="BG126" s="543"/>
      <c r="BH126" s="522"/>
    </row>
    <row r="127" spans="1:61" ht="14.25" customHeight="1" thickTop="1" thickBot="1">
      <c r="A127" s="162"/>
      <c r="B127" s="162"/>
      <c r="C127" s="162"/>
      <c r="D127" s="162"/>
      <c r="E127" s="162"/>
      <c r="F127" s="163"/>
      <c r="G127" s="163"/>
      <c r="H127" s="163"/>
      <c r="I127" s="163"/>
      <c r="J127" s="163"/>
      <c r="K127" s="163"/>
      <c r="L127" s="163"/>
      <c r="M127" s="163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  <c r="AC127" s="193" t="s">
        <v>85</v>
      </c>
      <c r="AD127" s="230">
        <f>$M$60</f>
        <v>5.5</v>
      </c>
      <c r="AE127" s="194" t="s">
        <v>27</v>
      </c>
      <c r="AF127" s="194"/>
      <c r="AJ127" s="281">
        <v>10</v>
      </c>
      <c r="BD127" s="194"/>
      <c r="BG127" s="374"/>
      <c r="BI127" s="193" t="s">
        <v>85</v>
      </c>
    </row>
    <row r="128" spans="1:61" ht="14.25" customHeight="1" thickTop="1">
      <c r="A128" s="162"/>
      <c r="B128" s="162"/>
      <c r="C128" s="162"/>
      <c r="D128" s="162"/>
      <c r="E128" s="162"/>
      <c r="F128" s="163"/>
      <c r="G128" s="163"/>
      <c r="H128" s="163"/>
      <c r="I128" s="163"/>
      <c r="J128" s="163"/>
      <c r="K128" s="163"/>
      <c r="L128" s="163"/>
      <c r="M128" s="163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  <c r="AC128" s="193" t="s">
        <v>88</v>
      </c>
      <c r="AD128" s="272">
        <f>$AD$127-1.5</f>
        <v>4</v>
      </c>
      <c r="AE128" s="186">
        <f t="shared" ref="AE128:AE136" si="61">AD127-AD128</f>
        <v>1.5</v>
      </c>
      <c r="AF128" s="282">
        <f t="shared" ref="AF128:AF136" si="62">(10*AE128)+AF127</f>
        <v>15</v>
      </c>
      <c r="AG128" s="196"/>
      <c r="AH128" s="186"/>
      <c r="AJ128" s="194">
        <f t="shared" ref="AJ128:AJ136" si="63">(AE128*10)+AJ127</f>
        <v>25</v>
      </c>
      <c r="AK128" s="196"/>
      <c r="AL128" s="277">
        <v>0</v>
      </c>
      <c r="AM128" s="196"/>
      <c r="AN128" s="196"/>
      <c r="AQ128" s="196"/>
      <c r="AS128" s="196"/>
      <c r="AT128" s="194"/>
      <c r="AU128" s="275">
        <v>0</v>
      </c>
      <c r="AV128" s="194"/>
      <c r="AW128" s="196"/>
      <c r="AX128" s="275"/>
      <c r="AY128" s="196"/>
      <c r="AZ128" s="194"/>
      <c r="BA128" s="275"/>
      <c r="BB128" s="194"/>
      <c r="BC128" s="194"/>
      <c r="BD128" s="194">
        <f>(AE128*10)+BD127</f>
        <v>15</v>
      </c>
      <c r="BE128" s="194"/>
      <c r="BF128" s="194"/>
      <c r="BG128" s="374"/>
      <c r="BI128" s="193" t="s">
        <v>88</v>
      </c>
    </row>
    <row r="129" spans="1:61" ht="14.25" customHeight="1">
      <c r="A129" s="162"/>
      <c r="B129" s="162"/>
      <c r="C129" s="162"/>
      <c r="D129" s="162"/>
      <c r="E129" s="162"/>
      <c r="F129" s="163"/>
      <c r="G129" s="163"/>
      <c r="H129" s="163"/>
      <c r="I129" s="163"/>
      <c r="J129" s="163"/>
      <c r="K129" s="163"/>
      <c r="L129" s="163"/>
      <c r="M129" s="163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  <c r="AC129" s="193" t="s">
        <v>92</v>
      </c>
      <c r="AD129" s="230">
        <f>AD127-4.5</f>
        <v>1</v>
      </c>
      <c r="AE129" s="186">
        <f t="shared" si="61"/>
        <v>3</v>
      </c>
      <c r="AF129" s="194">
        <f t="shared" si="62"/>
        <v>45</v>
      </c>
      <c r="AG129" s="196"/>
      <c r="AH129" s="278"/>
      <c r="AJ129" s="194">
        <f t="shared" si="63"/>
        <v>55</v>
      </c>
      <c r="AK129" s="196"/>
      <c r="AL129" s="277">
        <v>0</v>
      </c>
      <c r="AM129" s="194"/>
      <c r="AN129" s="194"/>
      <c r="AO129" s="275">
        <f>(AE129*10)+AO128</f>
        <v>30</v>
      </c>
      <c r="AP129" s="194"/>
      <c r="AQ129" s="194"/>
      <c r="AR129" s="194"/>
      <c r="AS129" s="194"/>
      <c r="AT129" s="194"/>
      <c r="AU129" s="275">
        <f>(AE129*10)</f>
        <v>30</v>
      </c>
      <c r="AV129" s="194"/>
      <c r="AW129" s="194"/>
      <c r="AX129" s="275">
        <f t="shared" ref="AX129:AX136" si="64">(AE129*10)+AX128</f>
        <v>30</v>
      </c>
      <c r="AY129" s="194"/>
      <c r="AZ129" s="283"/>
      <c r="BA129" s="284"/>
      <c r="BB129" s="194"/>
      <c r="BC129" s="194">
        <f>AE129*10</f>
        <v>30</v>
      </c>
      <c r="BD129" s="194">
        <f t="shared" ref="BD129:BD136" si="65">(AE129*10)+BD128</f>
        <v>45</v>
      </c>
      <c r="BE129" s="194"/>
      <c r="BF129" s="194">
        <f>(AE129*10)+BF128</f>
        <v>30</v>
      </c>
      <c r="BG129" s="374"/>
      <c r="BI129" s="193" t="s">
        <v>92</v>
      </c>
    </row>
    <row r="130" spans="1:61" ht="14.25" customHeight="1">
      <c r="A130" s="162"/>
      <c r="B130" s="162"/>
      <c r="C130" s="162"/>
      <c r="D130" s="162"/>
      <c r="E130" s="162"/>
      <c r="F130" s="163"/>
      <c r="G130" s="163"/>
      <c r="H130" s="163"/>
      <c r="I130" s="163"/>
      <c r="J130" s="163"/>
      <c r="K130" s="163"/>
      <c r="L130" s="163"/>
      <c r="M130" s="163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  <c r="AC130" s="193" t="s">
        <v>94</v>
      </c>
      <c r="AD130" s="194">
        <f>AD127-5</f>
        <v>0.5</v>
      </c>
      <c r="AE130" s="186">
        <f t="shared" si="61"/>
        <v>0.5</v>
      </c>
      <c r="AF130" s="194">
        <f t="shared" si="62"/>
        <v>50</v>
      </c>
      <c r="AG130" s="196"/>
      <c r="AH130" s="186"/>
      <c r="AJ130" s="194">
        <f t="shared" si="63"/>
        <v>60</v>
      </c>
      <c r="AK130" s="194"/>
      <c r="AL130" s="277">
        <v>0</v>
      </c>
      <c r="AM130" s="194"/>
      <c r="AN130" s="194"/>
      <c r="AO130" s="275">
        <f t="shared" ref="AO130:AO136" si="66">(AE130*10)+AO129</f>
        <v>35</v>
      </c>
      <c r="AP130" s="194"/>
      <c r="AQ130" s="194"/>
      <c r="AR130" s="194"/>
      <c r="AS130" s="194"/>
      <c r="AT130" s="285">
        <f>(AE130*10)</f>
        <v>5</v>
      </c>
      <c r="AU130" s="275">
        <f>(AE130*10)</f>
        <v>5</v>
      </c>
      <c r="AV130" s="194">
        <f t="shared" ref="AV130:AV136" si="67">(AE130*10)+AV129</f>
        <v>5</v>
      </c>
      <c r="AW130" s="194"/>
      <c r="AX130" s="275">
        <f t="shared" si="64"/>
        <v>35</v>
      </c>
      <c r="AY130" s="194"/>
      <c r="AZ130" s="283"/>
      <c r="BA130" s="284"/>
      <c r="BB130" s="194">
        <f>AE130*10</f>
        <v>5</v>
      </c>
      <c r="BC130" s="194">
        <f>AE130*10</f>
        <v>5</v>
      </c>
      <c r="BD130" s="194">
        <f t="shared" si="65"/>
        <v>50</v>
      </c>
      <c r="BE130" s="194">
        <f t="shared" ref="BE130:BE135" si="68">(AE130*10)+BE129</f>
        <v>5</v>
      </c>
      <c r="BF130" s="194">
        <f t="shared" ref="BF130:BF136" si="69">(AE130*10)+BF129</f>
        <v>35</v>
      </c>
      <c r="BG130" s="374">
        <f t="shared" ref="BG130:BG136" si="70">(10*AE130)+BG129</f>
        <v>5</v>
      </c>
      <c r="BI130" s="193" t="s">
        <v>94</v>
      </c>
    </row>
    <row r="131" spans="1:61" ht="14.25" customHeight="1">
      <c r="A131" s="162"/>
      <c r="B131" s="162"/>
      <c r="C131" s="162"/>
      <c r="D131" s="162"/>
      <c r="E131" s="162"/>
      <c r="F131" s="163"/>
      <c r="G131" s="163"/>
      <c r="H131" s="163"/>
      <c r="I131" s="163"/>
      <c r="J131" s="163"/>
      <c r="K131" s="163"/>
      <c r="L131" s="163"/>
      <c r="M131" s="163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  <c r="AB131" s="11"/>
      <c r="AC131" s="286" t="s">
        <v>98</v>
      </c>
      <c r="AD131" s="230">
        <f>$AD$64</f>
        <v>-6.35</v>
      </c>
      <c r="AE131" s="287">
        <f>AD130-AD131</f>
        <v>6.85</v>
      </c>
      <c r="AF131" s="285">
        <f t="shared" si="62"/>
        <v>118.5</v>
      </c>
      <c r="AG131" s="288">
        <f>AF131</f>
        <v>118.5</v>
      </c>
      <c r="AH131" s="287"/>
      <c r="AI131" s="39"/>
      <c r="AJ131" s="285">
        <f>(AE131*10)+AJ130</f>
        <v>128.5</v>
      </c>
      <c r="AK131" s="288">
        <f>AJ131</f>
        <v>128.5</v>
      </c>
      <c r="AL131" s="277">
        <f t="shared" ref="AL131:AL136" si="71">(AE131*10)+AL130</f>
        <v>68.5</v>
      </c>
      <c r="AM131" s="288">
        <f t="shared" ref="AM131:AM136" si="72">AL131</f>
        <v>68.5</v>
      </c>
      <c r="AN131" s="285"/>
      <c r="AO131" s="289">
        <f>(AE131*10)+AO130</f>
        <v>103.5</v>
      </c>
      <c r="AP131" s="285"/>
      <c r="AQ131" s="285"/>
      <c r="AR131" s="285"/>
      <c r="AS131" s="288">
        <f>AO131</f>
        <v>103.5</v>
      </c>
      <c r="AT131" s="285">
        <f>(AE131*10)</f>
        <v>68.5</v>
      </c>
      <c r="AU131" s="290">
        <f>(AE131*10)</f>
        <v>68.5</v>
      </c>
      <c r="AV131" s="194">
        <f t="shared" si="67"/>
        <v>73.5</v>
      </c>
      <c r="AW131" s="285"/>
      <c r="AX131" s="289">
        <f>(AE131*10)+AX130</f>
        <v>103.5</v>
      </c>
      <c r="AY131" s="285"/>
      <c r="AZ131" s="283"/>
      <c r="BA131" s="284"/>
      <c r="BB131" s="285">
        <f>AE131*10</f>
        <v>68.5</v>
      </c>
      <c r="BC131" s="194">
        <f>AE131*10</f>
        <v>68.5</v>
      </c>
      <c r="BD131" s="194">
        <f t="shared" si="65"/>
        <v>118.5</v>
      </c>
      <c r="BE131" s="194">
        <f t="shared" si="68"/>
        <v>73.5</v>
      </c>
      <c r="BF131" s="194">
        <f t="shared" si="69"/>
        <v>103.5</v>
      </c>
      <c r="BG131" s="374">
        <f t="shared" si="70"/>
        <v>73.5</v>
      </c>
      <c r="BH131" s="288">
        <f>BG131</f>
        <v>73.5</v>
      </c>
      <c r="BI131" s="286" t="s">
        <v>98</v>
      </c>
    </row>
    <row r="132" spans="1:61" ht="14.25" customHeight="1">
      <c r="A132" s="233"/>
      <c r="B132" s="191" t="s">
        <v>173</v>
      </c>
      <c r="C132" s="191"/>
      <c r="D132" s="191"/>
      <c r="E132" s="191"/>
      <c r="F132" s="192"/>
      <c r="G132" s="192"/>
      <c r="H132" s="192"/>
      <c r="I132" s="192"/>
      <c r="J132" s="192"/>
      <c r="K132" s="192"/>
      <c r="L132" s="192"/>
      <c r="M132" s="192"/>
      <c r="N132" s="191"/>
      <c r="O132" s="191"/>
      <c r="P132" s="191"/>
      <c r="Q132" s="191"/>
      <c r="R132" s="191"/>
      <c r="S132" s="191"/>
      <c r="T132" s="191"/>
      <c r="U132" s="178"/>
      <c r="V132" s="178"/>
      <c r="W132" s="178"/>
      <c r="X132" s="178"/>
      <c r="Y132" s="178"/>
      <c r="Z132" s="178"/>
      <c r="AA132" s="178"/>
      <c r="AC132" s="201" t="s">
        <v>101</v>
      </c>
      <c r="AD132" s="230">
        <f>$AD$67</f>
        <v>-6.85</v>
      </c>
      <c r="AE132" s="186">
        <f t="shared" si="61"/>
        <v>0.5</v>
      </c>
      <c r="AF132" s="194">
        <f t="shared" si="62"/>
        <v>123.5</v>
      </c>
      <c r="AH132" s="291">
        <f>AF132</f>
        <v>123.5</v>
      </c>
      <c r="AJ132" s="194">
        <f t="shared" si="63"/>
        <v>133.5</v>
      </c>
      <c r="AK132" s="203">
        <f>AJ132</f>
        <v>133.5</v>
      </c>
      <c r="AL132" s="277">
        <f t="shared" si="71"/>
        <v>73.5</v>
      </c>
      <c r="AM132" s="288">
        <f t="shared" si="72"/>
        <v>73.5</v>
      </c>
      <c r="AN132" s="203">
        <f>AM132</f>
        <v>73.5</v>
      </c>
      <c r="AO132" s="275">
        <f t="shared" si="66"/>
        <v>108.5</v>
      </c>
      <c r="AP132" s="194"/>
      <c r="AQ132" s="203">
        <f>AP132</f>
        <v>0</v>
      </c>
      <c r="AR132" s="194"/>
      <c r="AS132" s="194"/>
      <c r="AT132" s="285"/>
      <c r="AU132" s="289"/>
      <c r="AV132" s="194">
        <f t="shared" si="67"/>
        <v>78.5</v>
      </c>
      <c r="AW132" s="203">
        <f>AV132</f>
        <v>78.5</v>
      </c>
      <c r="AX132" s="275">
        <f t="shared" si="64"/>
        <v>108.5</v>
      </c>
      <c r="AY132" s="203">
        <f>AX132</f>
        <v>108.5</v>
      </c>
      <c r="AZ132" s="283"/>
      <c r="BA132" s="284"/>
      <c r="BB132" s="285"/>
      <c r="BC132" s="194"/>
      <c r="BD132" s="194">
        <f t="shared" si="65"/>
        <v>123.5</v>
      </c>
      <c r="BE132" s="196">
        <f t="shared" si="68"/>
        <v>78.5</v>
      </c>
      <c r="BF132" s="196">
        <f t="shared" si="69"/>
        <v>108.5</v>
      </c>
      <c r="BG132" s="374">
        <f t="shared" si="70"/>
        <v>78.5</v>
      </c>
      <c r="BI132" s="201" t="s">
        <v>101</v>
      </c>
    </row>
    <row r="133" spans="1:61" ht="14.25" customHeight="1">
      <c r="A133" s="233"/>
      <c r="B133" s="292"/>
      <c r="C133" s="292"/>
      <c r="D133" s="292"/>
      <c r="E133" s="292"/>
      <c r="F133" s="293"/>
      <c r="G133" s="293"/>
      <c r="H133" s="293"/>
      <c r="I133" s="293"/>
      <c r="J133" s="293"/>
      <c r="K133" s="293"/>
      <c r="L133" s="293"/>
      <c r="M133" s="293"/>
      <c r="N133" s="292"/>
      <c r="O133" s="294"/>
      <c r="P133" s="11"/>
      <c r="Q133" s="295"/>
      <c r="R133" s="292"/>
      <c r="S133" s="292"/>
      <c r="T133" s="292"/>
      <c r="U133" s="178"/>
      <c r="V133" s="178"/>
      <c r="W133" s="178"/>
      <c r="X133" s="178"/>
      <c r="Y133" s="178"/>
      <c r="Z133" s="178"/>
      <c r="AA133" s="178"/>
      <c r="AC133" s="193"/>
      <c r="AD133" s="230">
        <f>$AD$68</f>
        <v>-7.8999999999999995</v>
      </c>
      <c r="AE133" s="186">
        <f t="shared" si="61"/>
        <v>1.0499999999999998</v>
      </c>
      <c r="AF133" s="194">
        <f t="shared" si="62"/>
        <v>134</v>
      </c>
      <c r="AH133" s="291"/>
      <c r="AJ133" s="194">
        <f t="shared" si="63"/>
        <v>144</v>
      </c>
      <c r="AK133" s="203"/>
      <c r="AL133" s="277">
        <f t="shared" si="71"/>
        <v>84</v>
      </c>
      <c r="AM133" s="288">
        <f t="shared" si="72"/>
        <v>84</v>
      </c>
      <c r="AN133" s="203"/>
      <c r="AO133" s="275">
        <f t="shared" si="66"/>
        <v>119</v>
      </c>
      <c r="AP133" s="194"/>
      <c r="AQ133" s="203"/>
      <c r="AR133" s="194"/>
      <c r="AS133" s="194"/>
      <c r="AT133" s="285"/>
      <c r="AU133" s="289"/>
      <c r="AV133" s="194">
        <f t="shared" si="67"/>
        <v>89</v>
      </c>
      <c r="AW133" s="203"/>
      <c r="AX133" s="275">
        <f t="shared" si="64"/>
        <v>119</v>
      </c>
      <c r="AY133" s="203"/>
      <c r="AZ133" s="283"/>
      <c r="BA133" s="284"/>
      <c r="BB133" s="285"/>
      <c r="BC133" s="194"/>
      <c r="BD133" s="194">
        <f t="shared" si="65"/>
        <v>134</v>
      </c>
      <c r="BE133" s="194">
        <f t="shared" si="68"/>
        <v>89</v>
      </c>
      <c r="BF133" s="194">
        <f t="shared" si="69"/>
        <v>119</v>
      </c>
      <c r="BG133" s="374">
        <f t="shared" si="70"/>
        <v>89</v>
      </c>
      <c r="BI133" s="193"/>
    </row>
    <row r="134" spans="1:61" ht="14.25" customHeight="1">
      <c r="A134" s="162"/>
      <c r="B134" s="178" t="s">
        <v>138</v>
      </c>
      <c r="C134" s="178"/>
      <c r="D134" s="178"/>
      <c r="E134" s="178"/>
      <c r="F134" s="179"/>
      <c r="G134" s="179"/>
      <c r="H134" s="179"/>
      <c r="I134" s="179"/>
      <c r="J134" s="179"/>
      <c r="K134" s="179"/>
      <c r="L134" s="179"/>
      <c r="M134" s="179"/>
      <c r="N134" s="178" t="s">
        <v>90</v>
      </c>
      <c r="O134" s="525">
        <f>IF(AM$78&gt;AM$103,AM$78,AM$103)</f>
        <v>151.55000000000001</v>
      </c>
      <c r="P134" s="526"/>
      <c r="Q134" s="527"/>
      <c r="R134" s="178" t="s">
        <v>120</v>
      </c>
      <c r="S134" s="178"/>
      <c r="T134" s="178"/>
      <c r="U134" s="162"/>
      <c r="V134" s="162"/>
      <c r="W134" s="162"/>
      <c r="X134" s="162"/>
      <c r="Y134" s="162"/>
      <c r="Z134" s="162"/>
      <c r="AA134" s="162"/>
      <c r="AC134" s="193"/>
      <c r="AD134" s="230">
        <f>$AD$69</f>
        <v>-8.9499999999999993</v>
      </c>
      <c r="AE134" s="186">
        <f t="shared" si="61"/>
        <v>1.0499999999999998</v>
      </c>
      <c r="AF134" s="194">
        <f t="shared" si="62"/>
        <v>144.5</v>
      </c>
      <c r="AH134" s="291"/>
      <c r="AJ134" s="194">
        <f t="shared" si="63"/>
        <v>154.5</v>
      </c>
      <c r="AK134" s="203"/>
      <c r="AL134" s="277">
        <f t="shared" si="71"/>
        <v>94.5</v>
      </c>
      <c r="AM134" s="288">
        <f t="shared" si="72"/>
        <v>94.5</v>
      </c>
      <c r="AN134" s="296"/>
      <c r="AO134" s="275">
        <f t="shared" si="66"/>
        <v>129.5</v>
      </c>
      <c r="AP134" s="194"/>
      <c r="AQ134" s="296"/>
      <c r="AR134" s="194"/>
      <c r="AS134" s="194"/>
      <c r="AT134" s="285"/>
      <c r="AU134" s="289"/>
      <c r="AV134" s="194">
        <f t="shared" si="67"/>
        <v>99.5</v>
      </c>
      <c r="AW134" s="203"/>
      <c r="AX134" s="275">
        <f t="shared" si="64"/>
        <v>129.5</v>
      </c>
      <c r="AY134" s="203"/>
      <c r="AZ134" s="283"/>
      <c r="BA134" s="284"/>
      <c r="BB134" s="194"/>
      <c r="BC134" s="194"/>
      <c r="BD134" s="194">
        <f t="shared" si="65"/>
        <v>144.5</v>
      </c>
      <c r="BE134" s="194">
        <f t="shared" si="68"/>
        <v>99.5</v>
      </c>
      <c r="BF134" s="194">
        <f t="shared" si="69"/>
        <v>129.5</v>
      </c>
      <c r="BG134" s="374">
        <f t="shared" si="70"/>
        <v>99.5</v>
      </c>
      <c r="BI134" s="193"/>
    </row>
    <row r="135" spans="1:61" ht="14.25" customHeight="1">
      <c r="A135" s="162"/>
      <c r="B135" s="162"/>
      <c r="C135" s="162"/>
      <c r="D135" s="162"/>
      <c r="E135" s="162"/>
      <c r="F135" s="163"/>
      <c r="G135" s="163"/>
      <c r="H135" s="163"/>
      <c r="I135" s="163"/>
      <c r="J135" s="163"/>
      <c r="K135" s="163"/>
      <c r="L135" s="163"/>
      <c r="M135" s="163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  <c r="AC135" s="201" t="s">
        <v>111</v>
      </c>
      <c r="AD135" s="230">
        <f>$AD$76</f>
        <v>-11.35</v>
      </c>
      <c r="AE135" s="186">
        <f>AD134-AD135</f>
        <v>2.4000000000000004</v>
      </c>
      <c r="AF135" s="194">
        <f t="shared" si="62"/>
        <v>168.5</v>
      </c>
      <c r="AH135" s="291">
        <f>AF135</f>
        <v>168.5</v>
      </c>
      <c r="AJ135" s="194">
        <f>(AE135*10)+AJ134</f>
        <v>178.5</v>
      </c>
      <c r="AK135" s="203">
        <f>AJ135</f>
        <v>178.5</v>
      </c>
      <c r="AL135" s="277">
        <f t="shared" si="71"/>
        <v>118.5</v>
      </c>
      <c r="AM135" s="288">
        <f t="shared" si="72"/>
        <v>118.5</v>
      </c>
      <c r="AN135" s="203">
        <f>AL135</f>
        <v>118.5</v>
      </c>
      <c r="AO135" s="275">
        <f>(AE135*10)+AO134</f>
        <v>153.5</v>
      </c>
      <c r="AP135" s="194"/>
      <c r="AQ135" s="203">
        <f>AO135</f>
        <v>153.5</v>
      </c>
      <c r="AR135" s="194"/>
      <c r="AS135" s="194"/>
      <c r="AT135" s="285"/>
      <c r="AU135" s="289"/>
      <c r="AV135" s="194">
        <f t="shared" si="67"/>
        <v>123.5</v>
      </c>
      <c r="AW135" s="203">
        <f>AV135</f>
        <v>123.5</v>
      </c>
      <c r="AX135" s="275">
        <f>(AE135*10)+AX134</f>
        <v>153.5</v>
      </c>
      <c r="AY135" s="203">
        <f>AX135</f>
        <v>153.5</v>
      </c>
      <c r="AZ135" s="283"/>
      <c r="BA135" s="284"/>
      <c r="BB135" s="194"/>
      <c r="BC135" s="194"/>
      <c r="BD135" s="194">
        <f t="shared" si="65"/>
        <v>168.5</v>
      </c>
      <c r="BE135" s="196">
        <f t="shared" si="68"/>
        <v>123.5</v>
      </c>
      <c r="BF135" s="196">
        <f t="shared" si="69"/>
        <v>153.5</v>
      </c>
      <c r="BG135" s="374">
        <f t="shared" si="70"/>
        <v>123.5</v>
      </c>
      <c r="BI135" s="201" t="s">
        <v>111</v>
      </c>
    </row>
    <row r="136" spans="1:61" ht="14.25" customHeight="1">
      <c r="A136" s="162"/>
      <c r="B136" s="162"/>
      <c r="C136" s="162"/>
      <c r="D136" s="162"/>
      <c r="E136" s="162"/>
      <c r="F136" s="163"/>
      <c r="G136" s="163"/>
      <c r="H136" s="163"/>
      <c r="I136" s="163"/>
      <c r="J136" s="163"/>
      <c r="K136" s="163"/>
      <c r="L136" s="163"/>
      <c r="M136" s="163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  <c r="AC136" s="224" t="s">
        <v>112</v>
      </c>
      <c r="AD136" s="297">
        <f>$AD$77</f>
        <v>-11.85</v>
      </c>
      <c r="AE136" s="225">
        <f t="shared" si="61"/>
        <v>0.5</v>
      </c>
      <c r="AF136" s="205">
        <f t="shared" si="62"/>
        <v>173.5</v>
      </c>
      <c r="AG136" s="298"/>
      <c r="AH136" s="299"/>
      <c r="AI136" s="300">
        <f>AF136</f>
        <v>173.5</v>
      </c>
      <c r="AJ136" s="205">
        <f t="shared" si="63"/>
        <v>183.5</v>
      </c>
      <c r="AK136" s="253">
        <f>AJ136</f>
        <v>183.5</v>
      </c>
      <c r="AL136" s="301">
        <f t="shared" si="71"/>
        <v>123.5</v>
      </c>
      <c r="AM136" s="253">
        <f t="shared" si="72"/>
        <v>123.5</v>
      </c>
      <c r="AN136" s="228"/>
      <c r="AO136" s="302">
        <f t="shared" si="66"/>
        <v>158.5</v>
      </c>
      <c r="AP136" s="205"/>
      <c r="AQ136" s="228"/>
      <c r="AR136" s="205"/>
      <c r="AS136" s="253">
        <f>AO136</f>
        <v>158.5</v>
      </c>
      <c r="AT136" s="303"/>
      <c r="AU136" s="304"/>
      <c r="AV136" s="205">
        <f t="shared" si="67"/>
        <v>128.5</v>
      </c>
      <c r="AW136" s="253">
        <f>AV136</f>
        <v>128.5</v>
      </c>
      <c r="AX136" s="302">
        <f t="shared" si="64"/>
        <v>158.5</v>
      </c>
      <c r="AY136" s="253">
        <f>AX136</f>
        <v>158.5</v>
      </c>
      <c r="AZ136" s="253">
        <f>AW136</f>
        <v>128.5</v>
      </c>
      <c r="BA136" s="252">
        <f>AY136</f>
        <v>158.5</v>
      </c>
      <c r="BB136" s="205"/>
      <c r="BC136" s="205"/>
      <c r="BD136" s="205">
        <f t="shared" si="65"/>
        <v>173.5</v>
      </c>
      <c r="BE136" s="205">
        <f>(AE136*10)+BE135</f>
        <v>128.5</v>
      </c>
      <c r="BF136" s="205">
        <f t="shared" si="69"/>
        <v>158.5</v>
      </c>
      <c r="BG136" s="374">
        <f t="shared" si="70"/>
        <v>128.5</v>
      </c>
      <c r="BH136" s="298"/>
      <c r="BI136" s="224" t="s">
        <v>112</v>
      </c>
    </row>
    <row r="137" spans="1:61" s="305" customFormat="1" ht="14.25" customHeight="1">
      <c r="A137" s="162"/>
      <c r="B137" s="162"/>
      <c r="C137" s="162"/>
      <c r="D137" s="162"/>
      <c r="E137" s="162"/>
      <c r="F137" s="163"/>
      <c r="G137" s="163"/>
      <c r="H137" s="163"/>
      <c r="I137" s="163"/>
      <c r="J137" s="163"/>
      <c r="K137" s="163"/>
      <c r="L137" s="163"/>
      <c r="M137" s="163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  <c r="AC137" s="224" t="s">
        <v>174</v>
      </c>
      <c r="AH137" s="306"/>
      <c r="AI137" s="306"/>
      <c r="AJ137" s="307"/>
      <c r="AK137" s="308"/>
      <c r="AL137" s="309"/>
      <c r="AM137" s="308"/>
      <c r="AN137" s="308"/>
      <c r="AO137" s="310"/>
      <c r="AP137" s="308"/>
      <c r="AQ137" s="308"/>
      <c r="AR137" s="308"/>
      <c r="AS137" s="308"/>
      <c r="AT137" s="311">
        <f>SUM(AT127:AT136)</f>
        <v>73.5</v>
      </c>
      <c r="AU137" s="312">
        <f>SUM(AU127:AU136)</f>
        <v>103.5</v>
      </c>
      <c r="AV137" s="308"/>
      <c r="AW137" s="308"/>
      <c r="AX137" s="310"/>
      <c r="AY137" s="308"/>
      <c r="AZ137" s="313"/>
      <c r="BA137" s="314"/>
      <c r="BB137" s="311">
        <f>SUM(BB127:BB136)</f>
        <v>73.5</v>
      </c>
      <c r="BC137" s="311">
        <f>SUM(BC127:BC136)</f>
        <v>103.5</v>
      </c>
      <c r="BE137" s="311"/>
      <c r="BF137" s="311"/>
    </row>
    <row r="138" spans="1:61" ht="14.25" customHeight="1">
      <c r="A138" s="162"/>
      <c r="B138" s="162"/>
      <c r="C138" s="162"/>
      <c r="D138" s="162"/>
      <c r="E138" s="162"/>
      <c r="F138" s="163"/>
      <c r="G138" s="163"/>
      <c r="H138" s="163"/>
      <c r="I138" s="163"/>
      <c r="J138" s="163"/>
      <c r="K138" s="163"/>
      <c r="L138" s="163"/>
      <c r="M138" s="163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  <c r="AC138" s="193" t="s">
        <v>85</v>
      </c>
      <c r="AD138" s="230">
        <f>$M$60</f>
        <v>5.5</v>
      </c>
    </row>
    <row r="139" spans="1:61" ht="14.25" customHeight="1">
      <c r="A139" s="162"/>
      <c r="B139" s="162"/>
      <c r="C139" s="162"/>
      <c r="D139" s="162"/>
      <c r="E139" s="162"/>
      <c r="F139" s="163"/>
      <c r="G139" s="163"/>
      <c r="H139" s="163"/>
      <c r="I139" s="163"/>
      <c r="J139" s="163"/>
      <c r="K139" s="163"/>
      <c r="L139" s="163"/>
      <c r="M139" s="163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  <c r="AC139" s="193" t="s">
        <v>88</v>
      </c>
      <c r="AD139" s="272">
        <f>$AD$127-1.5</f>
        <v>4</v>
      </c>
      <c r="AE139" s="186">
        <f>AD138-AD139</f>
        <v>1.5</v>
      </c>
      <c r="AF139" s="194"/>
      <c r="AH139" s="186">
        <f>(AE139*10)+AH138</f>
        <v>15</v>
      </c>
    </row>
    <row r="140" spans="1:61" ht="14.25" customHeight="1">
      <c r="A140" s="162"/>
      <c r="B140" s="162"/>
      <c r="C140" s="162"/>
      <c r="D140" s="162"/>
      <c r="E140" s="162"/>
      <c r="F140" s="163"/>
      <c r="G140" s="163"/>
      <c r="H140" s="163"/>
      <c r="I140" s="163"/>
      <c r="J140" s="163"/>
      <c r="K140" s="163"/>
      <c r="L140" s="163"/>
      <c r="M140" s="163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C140" s="193" t="s">
        <v>92</v>
      </c>
      <c r="AD140" s="230">
        <f>$AD$68</f>
        <v>-7.8999999999999995</v>
      </c>
      <c r="AE140" s="186">
        <f>AD139-AD140</f>
        <v>11.899999999999999</v>
      </c>
      <c r="AH140" s="186">
        <f>(AE140*10)+AH139</f>
        <v>134</v>
      </c>
      <c r="AL140" s="277"/>
      <c r="AM140" s="288"/>
      <c r="AO140" s="275"/>
      <c r="AP140" s="194"/>
      <c r="AR140" s="194"/>
      <c r="AS140" s="288"/>
      <c r="AZ140" s="194"/>
    </row>
    <row r="141" spans="1:61" ht="14.25" customHeight="1">
      <c r="A141" s="162"/>
      <c r="B141" s="162"/>
      <c r="C141" s="162"/>
      <c r="D141" s="162"/>
      <c r="E141" s="162"/>
      <c r="F141" s="163"/>
      <c r="G141" s="163"/>
      <c r="H141" s="163"/>
      <c r="I141" s="163"/>
      <c r="J141" s="163"/>
      <c r="K141" s="163"/>
      <c r="L141" s="163"/>
      <c r="M141" s="163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C141" s="193" t="s">
        <v>94</v>
      </c>
      <c r="AD141" s="230">
        <f>$AD$69</f>
        <v>-8.9499999999999993</v>
      </c>
      <c r="AE141" s="186">
        <f>AD140-AD141</f>
        <v>1.0499999999999998</v>
      </c>
      <c r="AH141" s="186">
        <f>(AE141*10)+AH140</f>
        <v>144.5</v>
      </c>
      <c r="AL141" s="277"/>
      <c r="AM141" s="288"/>
      <c r="AO141" s="275"/>
      <c r="AP141" s="194"/>
      <c r="AR141" s="194"/>
      <c r="AS141" s="288"/>
      <c r="AZ141" s="194"/>
    </row>
    <row r="142" spans="1:61" ht="14.25" customHeight="1">
      <c r="A142" s="162"/>
      <c r="B142" s="162"/>
      <c r="C142" s="162"/>
      <c r="D142" s="162"/>
      <c r="E142" s="162"/>
      <c r="F142" s="163"/>
      <c r="G142" s="163"/>
      <c r="H142" s="163"/>
      <c r="I142" s="163"/>
      <c r="J142" s="163"/>
      <c r="K142" s="163"/>
      <c r="L142" s="163"/>
      <c r="M142" s="163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  <c r="AC142" s="201" t="s">
        <v>111</v>
      </c>
      <c r="AD142" s="230">
        <f>AD135</f>
        <v>-11.35</v>
      </c>
      <c r="AE142" s="186">
        <f>AD141-AD142</f>
        <v>2.4000000000000004</v>
      </c>
      <c r="AH142" s="186">
        <f>(AE142*10)+AH141</f>
        <v>168.5</v>
      </c>
      <c r="AL142" s="277"/>
      <c r="AM142" s="288"/>
      <c r="AN142" s="203"/>
      <c r="AO142" s="275"/>
      <c r="AP142" s="194"/>
      <c r="AQ142" s="203"/>
      <c r="AR142" s="194"/>
      <c r="AS142" s="288"/>
      <c r="AT142" s="203"/>
      <c r="AZ142" s="196"/>
    </row>
    <row r="143" spans="1:61" ht="14.25" customHeight="1">
      <c r="A143" s="162"/>
      <c r="B143" s="162"/>
      <c r="C143" s="162"/>
      <c r="D143" s="162"/>
      <c r="E143" s="162"/>
      <c r="F143" s="163"/>
      <c r="G143" s="163"/>
      <c r="H143" s="163"/>
      <c r="I143" s="163"/>
      <c r="J143" s="163"/>
      <c r="K143" s="163"/>
      <c r="L143" s="163"/>
      <c r="M143" s="163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  <c r="AC143" s="201" t="s">
        <v>112</v>
      </c>
      <c r="AD143" s="230">
        <f>AD136</f>
        <v>-11.85</v>
      </c>
      <c r="AE143" s="186">
        <f>AD142-AD143</f>
        <v>0.5</v>
      </c>
      <c r="AH143" s="186">
        <f>(AE143*10)+AH142</f>
        <v>173.5</v>
      </c>
      <c r="AI143" s="315">
        <f>AH143</f>
        <v>173.5</v>
      </c>
      <c r="AL143" s="277"/>
      <c r="AM143" s="316"/>
      <c r="AO143" s="275"/>
      <c r="AP143" s="194"/>
      <c r="AR143" s="194"/>
      <c r="AS143" s="316"/>
      <c r="AZ143" s="196"/>
    </row>
    <row r="144" spans="1:61" ht="14.25" customHeight="1">
      <c r="A144" s="162"/>
      <c r="B144" s="167"/>
      <c r="C144" s="167"/>
      <c r="D144" s="167"/>
      <c r="E144" s="167"/>
      <c r="F144" s="168"/>
      <c r="G144" s="168"/>
      <c r="H144" s="168"/>
      <c r="I144" s="168"/>
      <c r="J144" s="168"/>
      <c r="K144" s="168"/>
      <c r="L144" s="168"/>
      <c r="M144" s="168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317"/>
      <c r="Y144" s="162"/>
      <c r="Z144" s="162"/>
      <c r="AA144" s="162"/>
      <c r="AC144" s="318"/>
      <c r="AD144" s="186"/>
      <c r="BD144" s="359"/>
      <c r="BE144" s="359"/>
      <c r="BF144" s="359"/>
    </row>
    <row r="145" spans="1:60" ht="14.25" customHeight="1">
      <c r="A145" s="233"/>
      <c r="B145" s="191" t="s">
        <v>175</v>
      </c>
      <c r="C145" s="191"/>
      <c r="D145" s="191"/>
      <c r="E145" s="191"/>
      <c r="F145" s="192"/>
      <c r="G145" s="192"/>
      <c r="H145" s="192"/>
      <c r="I145" s="192"/>
      <c r="J145" s="192"/>
      <c r="K145" s="192"/>
      <c r="L145" s="192"/>
      <c r="M145" s="192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319"/>
      <c r="Y145" s="162"/>
      <c r="Z145" s="162"/>
      <c r="AA145" s="162"/>
      <c r="AC145" s="359" t="s">
        <v>114</v>
      </c>
      <c r="AD145" s="360"/>
      <c r="AE145" s="359"/>
      <c r="AF145" s="359"/>
      <c r="AG145" s="361">
        <f>AG131</f>
        <v>118.5</v>
      </c>
      <c r="AH145" s="362"/>
      <c r="AI145" s="362"/>
      <c r="AJ145" s="359"/>
      <c r="AK145" s="361">
        <f>AK131</f>
        <v>128.5</v>
      </c>
      <c r="AL145" s="363"/>
      <c r="AM145" s="361">
        <f>AM131</f>
        <v>68.5</v>
      </c>
      <c r="AN145" s="359"/>
      <c r="AO145" s="361">
        <f>AO131</f>
        <v>103.5</v>
      </c>
      <c r="AP145" s="359"/>
      <c r="AQ145" s="359"/>
      <c r="AR145" s="359"/>
      <c r="AS145" s="361">
        <f>AS131</f>
        <v>103.5</v>
      </c>
      <c r="AT145" s="361">
        <f>AT137</f>
        <v>73.5</v>
      </c>
      <c r="AU145" s="361">
        <f>AU137</f>
        <v>103.5</v>
      </c>
      <c r="AV145" s="359"/>
      <c r="AW145" s="359"/>
      <c r="AX145" s="363"/>
      <c r="AY145" s="359"/>
      <c r="AZ145" s="359"/>
      <c r="BA145" s="363"/>
      <c r="BB145" s="361">
        <f>BB137</f>
        <v>73.5</v>
      </c>
      <c r="BC145" s="361">
        <f>BC137</f>
        <v>103.5</v>
      </c>
      <c r="BD145" s="359"/>
      <c r="BE145" s="359"/>
      <c r="BF145" s="359"/>
      <c r="BG145" s="361"/>
      <c r="BH145" s="361">
        <f>BH131</f>
        <v>73.5</v>
      </c>
    </row>
    <row r="146" spans="1:60" ht="14.25" customHeight="1">
      <c r="A146" s="162"/>
      <c r="B146" s="320" t="s">
        <v>176</v>
      </c>
      <c r="C146" s="320"/>
      <c r="D146" s="320"/>
      <c r="E146" s="320"/>
      <c r="F146" s="321"/>
      <c r="G146" s="321"/>
      <c r="H146" s="321"/>
      <c r="I146" s="179"/>
      <c r="J146" s="179"/>
      <c r="K146" s="179"/>
      <c r="L146" s="179"/>
      <c r="M146" s="179"/>
      <c r="N146" s="178"/>
      <c r="O146" s="178"/>
      <c r="P146" s="178"/>
      <c r="Q146" s="178"/>
      <c r="R146" s="178"/>
      <c r="S146" s="178"/>
      <c r="T146" s="178"/>
      <c r="U146" s="178"/>
      <c r="V146" s="178"/>
      <c r="W146" s="178"/>
      <c r="X146" s="178"/>
      <c r="Y146" s="162"/>
      <c r="Z146" s="162"/>
      <c r="AA146" s="162"/>
      <c r="AC146" s="359" t="s">
        <v>177</v>
      </c>
      <c r="AD146" s="360"/>
      <c r="AE146" s="359"/>
      <c r="AF146" s="359"/>
      <c r="AG146" s="359"/>
      <c r="AH146" s="362"/>
      <c r="AI146" s="362">
        <f>AI136</f>
        <v>173.5</v>
      </c>
      <c r="AJ146" s="359"/>
      <c r="AK146" s="361">
        <f>AK136</f>
        <v>183.5</v>
      </c>
      <c r="AL146" s="363"/>
      <c r="AM146" s="361">
        <f>AM136</f>
        <v>123.5</v>
      </c>
      <c r="AN146" s="359"/>
      <c r="AO146" s="361">
        <f>AO136</f>
        <v>158.5</v>
      </c>
      <c r="AP146" s="359"/>
      <c r="AQ146" s="359"/>
      <c r="AR146" s="359"/>
      <c r="AS146" s="361">
        <f>AS136</f>
        <v>158.5</v>
      </c>
      <c r="AT146" s="359"/>
      <c r="AU146" s="363"/>
      <c r="AV146" s="359"/>
      <c r="AW146" s="359"/>
      <c r="AX146" s="363"/>
      <c r="AY146" s="359"/>
      <c r="AZ146" s="361">
        <f>AZ136</f>
        <v>128.5</v>
      </c>
      <c r="BA146" s="361">
        <f>BA136</f>
        <v>158.5</v>
      </c>
      <c r="BB146" s="359"/>
      <c r="BC146" s="359"/>
      <c r="BD146" s="359"/>
      <c r="BE146" s="359">
        <f>BE136</f>
        <v>128.5</v>
      </c>
      <c r="BF146" s="359">
        <f>BF136</f>
        <v>158.5</v>
      </c>
      <c r="BG146" s="359"/>
    </row>
    <row r="147" spans="1:60" ht="14.25" customHeight="1">
      <c r="A147" s="162"/>
      <c r="B147" s="292"/>
      <c r="C147" s="292"/>
      <c r="D147" s="292"/>
      <c r="E147" s="292"/>
      <c r="F147" s="293"/>
      <c r="G147" s="293"/>
      <c r="H147" s="293"/>
      <c r="I147" s="179"/>
      <c r="J147" s="179"/>
      <c r="K147" s="179"/>
      <c r="L147" s="179"/>
      <c r="M147" s="179"/>
      <c r="N147" s="178"/>
      <c r="O147" s="178"/>
      <c r="P147" s="178"/>
      <c r="Q147" s="178"/>
      <c r="R147" s="178"/>
      <c r="S147" s="178"/>
      <c r="T147" s="178"/>
      <c r="U147" s="178"/>
      <c r="V147" s="178"/>
      <c r="W147" s="178"/>
      <c r="X147" s="178"/>
      <c r="Y147" s="178"/>
      <c r="Z147" s="178"/>
      <c r="AA147" s="178"/>
      <c r="AD147" s="230"/>
    </row>
    <row r="148" spans="1:60" ht="14.25" customHeight="1">
      <c r="A148" s="162"/>
      <c r="B148" s="215" t="s">
        <v>178</v>
      </c>
      <c r="C148" s="215"/>
      <c r="D148" s="215"/>
      <c r="E148" s="215"/>
      <c r="F148" s="216"/>
      <c r="G148" s="216"/>
      <c r="H148" s="216"/>
      <c r="I148" s="216"/>
      <c r="J148" s="163"/>
      <c r="K148" s="163"/>
      <c r="L148" s="163"/>
      <c r="M148" s="163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D148" s="322"/>
    </row>
    <row r="149" spans="1:60" ht="14.25" customHeight="1">
      <c r="A149" s="162"/>
      <c r="B149" s="162" t="s">
        <v>141</v>
      </c>
      <c r="C149" s="162"/>
      <c r="D149" s="162"/>
      <c r="E149" s="162"/>
      <c r="F149" s="163"/>
      <c r="G149" s="163"/>
      <c r="H149" s="163"/>
      <c r="I149" s="163"/>
      <c r="J149" s="163"/>
      <c r="K149" s="163"/>
      <c r="L149" s="163"/>
      <c r="M149" s="163"/>
      <c r="N149" s="162"/>
      <c r="O149" s="162"/>
      <c r="P149" s="162"/>
      <c r="Q149" s="271" t="s">
        <v>142</v>
      </c>
      <c r="R149" s="497">
        <f>AO$92</f>
        <v>70.541817677375036</v>
      </c>
      <c r="S149" s="498"/>
      <c r="T149" s="499"/>
      <c r="U149" s="162" t="s">
        <v>120</v>
      </c>
      <c r="V149" s="162"/>
      <c r="W149" s="162"/>
      <c r="X149" s="162"/>
      <c r="Y149" s="162"/>
      <c r="Z149" s="162"/>
      <c r="AA149" s="162"/>
      <c r="AC149" s="233">
        <v>33</v>
      </c>
      <c r="AD149" s="162" t="s">
        <v>179</v>
      </c>
      <c r="AE149" s="162"/>
      <c r="AF149" s="162"/>
      <c r="AG149" s="162"/>
      <c r="AH149" s="163"/>
      <c r="AI149" s="163" t="s">
        <v>90</v>
      </c>
      <c r="AJ149" s="497">
        <f>AI136</f>
        <v>173.5</v>
      </c>
      <c r="AK149" s="498"/>
      <c r="AL149" s="499"/>
      <c r="AM149" s="170" t="s">
        <v>120</v>
      </c>
      <c r="AN149" s="169"/>
      <c r="AO149" s="323"/>
      <c r="AP149" s="170"/>
      <c r="AQ149" s="162"/>
      <c r="AR149" s="162"/>
      <c r="AS149" s="162"/>
      <c r="AT149" s="169"/>
      <c r="AU149" s="323"/>
      <c r="AV149" s="170"/>
      <c r="AW149" s="169"/>
      <c r="AX149" s="323"/>
      <c r="AY149" s="170"/>
      <c r="AZ149" s="169"/>
      <c r="BA149" s="323"/>
      <c r="BB149" s="170"/>
    </row>
    <row r="150" spans="1:60" ht="14.25" hidden="1" customHeight="1">
      <c r="A150" s="162"/>
      <c r="B150" s="162" t="s">
        <v>143</v>
      </c>
      <c r="C150" s="162"/>
      <c r="D150" s="162"/>
      <c r="E150" s="162"/>
      <c r="F150" s="163"/>
      <c r="G150" s="163"/>
      <c r="H150" s="163"/>
      <c r="I150" s="163"/>
      <c r="J150" s="163"/>
      <c r="K150" s="163"/>
      <c r="L150" s="163"/>
      <c r="M150" s="163"/>
      <c r="N150" s="162"/>
      <c r="O150" s="162"/>
      <c r="P150" s="162"/>
      <c r="Q150" s="271" t="s">
        <v>142</v>
      </c>
      <c r="R150" s="497">
        <f>AO$97</f>
        <v>87.26166159639169</v>
      </c>
      <c r="S150" s="498"/>
      <c r="T150" s="499"/>
      <c r="U150" s="162" t="s">
        <v>120</v>
      </c>
      <c r="V150" s="162"/>
      <c r="W150" s="162"/>
      <c r="X150" s="162"/>
      <c r="Y150" s="162"/>
      <c r="Z150" s="162"/>
      <c r="AA150" s="162"/>
      <c r="AC150" s="162"/>
      <c r="AD150" s="162" t="s">
        <v>180</v>
      </c>
      <c r="AE150" s="162"/>
      <c r="AF150" s="162"/>
      <c r="AG150" s="162"/>
      <c r="AH150" s="163"/>
      <c r="AI150" s="163"/>
      <c r="AJ150" s="162"/>
      <c r="AK150" s="169"/>
      <c r="AL150" s="324"/>
      <c r="AM150" s="170"/>
      <c r="AN150" s="169"/>
      <c r="AO150" s="323"/>
      <c r="AP150" s="170"/>
      <c r="AQ150" s="162"/>
      <c r="AR150" s="162"/>
      <c r="AS150" s="162"/>
      <c r="AT150" s="169"/>
      <c r="AU150" s="323"/>
      <c r="AV150" s="170"/>
      <c r="AW150" s="169"/>
      <c r="AX150" s="323"/>
      <c r="AY150" s="170"/>
      <c r="AZ150" s="169"/>
      <c r="BA150" s="323"/>
      <c r="BB150" s="170"/>
    </row>
    <row r="151" spans="1:60" ht="14.25" hidden="1" customHeight="1">
      <c r="A151" s="162"/>
      <c r="B151" s="162" t="s">
        <v>144</v>
      </c>
      <c r="C151" s="162"/>
      <c r="D151" s="162"/>
      <c r="E151" s="162"/>
      <c r="F151" s="163"/>
      <c r="G151" s="163"/>
      <c r="H151" s="163"/>
      <c r="I151" s="163"/>
      <c r="J151" s="163"/>
      <c r="K151" s="163"/>
      <c r="L151" s="163"/>
      <c r="M151" s="163"/>
      <c r="N151" s="162"/>
      <c r="O151" s="162"/>
      <c r="P151" s="162"/>
      <c r="Q151" s="271" t="s">
        <v>142</v>
      </c>
      <c r="R151" s="497">
        <f>AO$98</f>
        <v>90.605630380195009</v>
      </c>
      <c r="S151" s="498"/>
      <c r="T151" s="499"/>
      <c r="U151" s="162" t="s">
        <v>120</v>
      </c>
      <c r="V151" s="162"/>
      <c r="W151" s="162"/>
      <c r="X151" s="162"/>
      <c r="Y151" s="162"/>
      <c r="Z151" s="162"/>
      <c r="AA151" s="162"/>
    </row>
    <row r="152" spans="1:60" ht="14.25" customHeight="1">
      <c r="A152" s="162"/>
      <c r="B152" s="162" t="s">
        <v>145</v>
      </c>
      <c r="C152" s="162"/>
      <c r="D152" s="162"/>
      <c r="E152" s="162"/>
      <c r="F152" s="163"/>
      <c r="G152" s="163"/>
      <c r="H152" s="163"/>
      <c r="I152" s="163"/>
      <c r="J152" s="163"/>
      <c r="K152" s="163"/>
      <c r="L152" s="163"/>
      <c r="M152" s="163"/>
      <c r="N152" s="162"/>
      <c r="O152" s="162"/>
      <c r="P152" s="162"/>
      <c r="Q152" s="271" t="s">
        <v>142</v>
      </c>
      <c r="R152" s="497">
        <f>AO$101</f>
        <v>84.873112465103574</v>
      </c>
      <c r="S152" s="498"/>
      <c r="T152" s="499"/>
      <c r="U152" s="162" t="s">
        <v>120</v>
      </c>
      <c r="V152" s="162"/>
      <c r="W152" s="162"/>
      <c r="X152" s="162"/>
      <c r="Y152" s="162"/>
      <c r="Z152" s="162"/>
      <c r="AA152" s="162"/>
      <c r="AC152" s="233">
        <v>34</v>
      </c>
      <c r="AD152" s="162" t="s">
        <v>181</v>
      </c>
      <c r="AE152" s="162"/>
      <c r="AF152" s="162"/>
      <c r="AG152" s="162"/>
      <c r="AH152" s="163"/>
      <c r="AI152" s="163"/>
      <c r="AJ152" s="162"/>
      <c r="AK152" s="169"/>
      <c r="AL152" s="324"/>
      <c r="AM152" s="170"/>
      <c r="AN152" s="169"/>
      <c r="AO152" s="323"/>
      <c r="AP152" s="170"/>
      <c r="AQ152" s="162"/>
      <c r="AR152" s="162"/>
      <c r="AS152" s="162"/>
      <c r="AT152" s="169"/>
      <c r="AU152" s="323"/>
      <c r="AV152" s="170"/>
      <c r="AW152" s="169"/>
      <c r="AX152" s="323"/>
      <c r="AY152" s="170"/>
      <c r="AZ152" s="169"/>
      <c r="BA152" s="323"/>
      <c r="BB152" s="170"/>
    </row>
    <row r="153" spans="1:60" ht="14.25" customHeight="1">
      <c r="A153" s="162"/>
      <c r="B153" s="162"/>
      <c r="C153" s="162"/>
      <c r="D153" s="162"/>
      <c r="E153" s="162"/>
      <c r="F153" s="163"/>
      <c r="G153" s="163"/>
      <c r="H153" s="163"/>
      <c r="I153" s="163"/>
      <c r="J153" s="163"/>
      <c r="K153" s="163"/>
      <c r="L153" s="163"/>
      <c r="M153" s="163"/>
      <c r="N153" s="162"/>
      <c r="O153" s="162"/>
      <c r="P153" s="162"/>
      <c r="Q153" s="271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  <c r="AC153" s="162"/>
      <c r="AD153" s="162" t="s">
        <v>182</v>
      </c>
      <c r="AE153" s="162"/>
      <c r="AF153" s="162"/>
      <c r="AG153" s="162"/>
      <c r="AH153" s="163"/>
      <c r="AI153" s="163"/>
      <c r="AJ153" s="162"/>
      <c r="AK153" s="169"/>
      <c r="AL153" s="324"/>
      <c r="AM153" s="170"/>
      <c r="AN153" s="169"/>
      <c r="AO153" s="323"/>
      <c r="AP153" s="170"/>
      <c r="AQ153" s="162"/>
      <c r="AR153" s="162"/>
      <c r="AS153" s="162"/>
      <c r="AT153" s="169"/>
      <c r="AU153" s="323"/>
      <c r="AV153" s="170"/>
      <c r="AW153" s="169"/>
      <c r="AX153" s="323"/>
      <c r="AY153" s="170"/>
      <c r="AZ153" s="169"/>
      <c r="BA153" s="323"/>
      <c r="BB153" s="170"/>
    </row>
    <row r="154" spans="1:60" ht="14.25" customHeight="1">
      <c r="A154" s="162"/>
      <c r="B154" s="162"/>
      <c r="C154" s="162"/>
      <c r="D154" s="162"/>
      <c r="E154" s="162"/>
      <c r="F154" s="163"/>
      <c r="G154" s="163"/>
      <c r="H154" s="163"/>
      <c r="I154" s="163"/>
      <c r="J154" s="163"/>
      <c r="K154" s="163"/>
      <c r="L154" s="163"/>
      <c r="M154" s="163"/>
      <c r="N154" s="162"/>
      <c r="O154" s="162"/>
      <c r="P154" s="162"/>
      <c r="Q154" s="271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  <c r="AC154" s="162"/>
      <c r="AD154" s="162"/>
      <c r="AE154" s="162"/>
      <c r="AF154" s="162"/>
      <c r="AG154" s="162"/>
      <c r="AH154" s="163"/>
      <c r="AI154" s="163"/>
      <c r="AJ154" s="162"/>
      <c r="AK154" s="169"/>
      <c r="AL154" s="324"/>
      <c r="AM154" s="170"/>
      <c r="AN154" s="169"/>
      <c r="AO154" s="323"/>
      <c r="AP154" s="170"/>
      <c r="AQ154" s="162"/>
      <c r="AR154" s="162"/>
      <c r="AS154" s="162"/>
      <c r="AT154" s="169"/>
      <c r="AU154" s="323"/>
      <c r="AV154" s="170"/>
      <c r="AW154" s="169"/>
      <c r="AX154" s="323"/>
      <c r="AY154" s="170"/>
      <c r="AZ154" s="169"/>
      <c r="BA154" s="323"/>
      <c r="BB154" s="170"/>
    </row>
    <row r="155" spans="1:60" ht="14.25" customHeight="1">
      <c r="A155" s="162"/>
      <c r="B155" s="162"/>
      <c r="C155" s="162"/>
      <c r="D155" s="162"/>
      <c r="E155" s="162"/>
      <c r="F155" s="163"/>
      <c r="G155" s="163"/>
      <c r="H155" s="163"/>
      <c r="I155" s="163"/>
      <c r="J155" s="163"/>
      <c r="K155" s="163"/>
      <c r="L155" s="163"/>
      <c r="M155" s="163"/>
      <c r="N155" s="162"/>
      <c r="O155" s="162"/>
      <c r="P155" s="162"/>
      <c r="Q155" s="271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  <c r="AC155" s="162"/>
      <c r="AD155" s="162" t="s">
        <v>183</v>
      </c>
      <c r="AE155" s="162"/>
      <c r="AF155" s="162"/>
      <c r="AG155" s="162"/>
      <c r="AH155" s="163"/>
      <c r="AI155" s="163"/>
      <c r="AJ155" s="162"/>
      <c r="AK155" s="169"/>
      <c r="AL155" s="324"/>
      <c r="AM155" s="170"/>
      <c r="AN155" s="169" t="s">
        <v>90</v>
      </c>
      <c r="AO155" s="497">
        <f>AK131</f>
        <v>128.5</v>
      </c>
      <c r="AP155" s="498"/>
      <c r="AQ155" s="498"/>
      <c r="AR155" s="498"/>
      <c r="AS155" s="498"/>
      <c r="AT155" s="499"/>
      <c r="AU155" s="323" t="s">
        <v>120</v>
      </c>
      <c r="AV155" s="170"/>
      <c r="AW155" s="169"/>
      <c r="AX155" s="323"/>
      <c r="AY155" s="170"/>
      <c r="AZ155" s="169"/>
      <c r="BA155" s="323"/>
      <c r="BB155" s="170"/>
    </row>
    <row r="156" spans="1:60" ht="14.25" customHeight="1">
      <c r="A156" s="162"/>
      <c r="B156" s="162"/>
      <c r="C156" s="162"/>
      <c r="D156" s="162"/>
      <c r="E156" s="162"/>
      <c r="F156" s="163"/>
      <c r="G156" s="163"/>
      <c r="H156" s="163"/>
      <c r="I156" s="163"/>
      <c r="J156" s="163"/>
      <c r="K156" s="163"/>
      <c r="L156" s="163"/>
      <c r="M156" s="163"/>
      <c r="N156" s="162"/>
      <c r="O156" s="162"/>
      <c r="P156" s="162"/>
      <c r="Q156" s="271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  <c r="AC156" s="162"/>
      <c r="AD156" s="162"/>
      <c r="AE156" s="162"/>
      <c r="AF156" s="162"/>
      <c r="AG156" s="162"/>
      <c r="AH156" s="163"/>
      <c r="AI156" s="163"/>
      <c r="AJ156" s="162"/>
      <c r="AK156" s="169"/>
      <c r="AL156" s="324"/>
      <c r="AM156" s="170"/>
      <c r="AN156" s="169"/>
      <c r="AO156" s="325"/>
      <c r="AP156" s="326"/>
      <c r="AQ156" s="162"/>
      <c r="AR156" s="326"/>
      <c r="AS156" s="326"/>
      <c r="AT156" s="326"/>
      <c r="AU156" s="323"/>
      <c r="AV156" s="170"/>
      <c r="AW156" s="169"/>
      <c r="AX156" s="323"/>
      <c r="AY156" s="170"/>
      <c r="AZ156" s="169"/>
      <c r="BA156" s="323"/>
      <c r="BB156" s="170"/>
    </row>
    <row r="157" spans="1:60" ht="14.25" customHeight="1">
      <c r="A157" s="393" t="s">
        <v>0</v>
      </c>
      <c r="B157" s="394"/>
      <c r="C157" s="395"/>
      <c r="D157" s="412" t="str">
        <f>$D$1</f>
        <v xml:space="preserve">Megaspine </v>
      </c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3"/>
      <c r="P157" s="413"/>
      <c r="Q157" s="414"/>
      <c r="R157" s="389" t="s">
        <v>2</v>
      </c>
      <c r="S157" s="389"/>
      <c r="T157" s="389"/>
      <c r="U157" s="390">
        <f>$U$1</f>
        <v>0</v>
      </c>
      <c r="V157" s="391"/>
      <c r="W157" s="391"/>
      <c r="X157" s="392"/>
      <c r="Y157" s="380"/>
      <c r="Z157" s="381"/>
      <c r="AA157" s="382"/>
      <c r="AC157" s="162"/>
      <c r="AD157" s="162"/>
      <c r="AE157" s="162"/>
      <c r="AF157" s="162"/>
      <c r="AG157" s="162"/>
      <c r="AH157" s="163"/>
      <c r="AI157" s="163"/>
      <c r="AJ157" s="162"/>
      <c r="AK157" s="169"/>
      <c r="AL157" s="324"/>
      <c r="AM157" s="170"/>
      <c r="AN157" s="169"/>
      <c r="AO157" s="325"/>
      <c r="AP157" s="326"/>
      <c r="AQ157" s="162"/>
      <c r="AR157" s="326"/>
      <c r="AS157" s="326"/>
      <c r="AT157" s="326"/>
      <c r="AU157" s="323"/>
      <c r="AV157" s="170"/>
      <c r="AW157" s="169"/>
      <c r="AX157" s="323"/>
      <c r="AY157" s="170"/>
      <c r="AZ157" s="169"/>
      <c r="BA157" s="323"/>
      <c r="BB157" s="170"/>
    </row>
    <row r="158" spans="1:60" ht="14.25" customHeight="1">
      <c r="A158" s="399"/>
      <c r="B158" s="400"/>
      <c r="C158" s="401"/>
      <c r="D158" s="415"/>
      <c r="E158" s="416"/>
      <c r="F158" s="416"/>
      <c r="G158" s="416"/>
      <c r="H158" s="416"/>
      <c r="I158" s="416"/>
      <c r="J158" s="416"/>
      <c r="K158" s="416"/>
      <c r="L158" s="416"/>
      <c r="M158" s="416"/>
      <c r="N158" s="416"/>
      <c r="O158" s="416"/>
      <c r="P158" s="416"/>
      <c r="Q158" s="417"/>
      <c r="R158" s="389" t="s">
        <v>3</v>
      </c>
      <c r="S158" s="389"/>
      <c r="T158" s="389"/>
      <c r="U158" s="390" t="str">
        <f>$U$2</f>
        <v>PSM</v>
      </c>
      <c r="V158" s="391"/>
      <c r="W158" s="391"/>
      <c r="X158" s="392"/>
      <c r="Y158" s="383"/>
      <c r="Z158" s="384"/>
      <c r="AA158" s="385"/>
      <c r="AC158" s="162"/>
      <c r="AD158" s="162"/>
      <c r="AE158" s="162"/>
      <c r="AF158" s="162"/>
      <c r="AG158" s="162"/>
      <c r="AH158" s="163"/>
      <c r="AI158" s="163"/>
      <c r="AJ158" s="162"/>
      <c r="AK158" s="169"/>
      <c r="AL158" s="324"/>
      <c r="AM158" s="170"/>
      <c r="AN158" s="169"/>
      <c r="AO158" s="325"/>
      <c r="AP158" s="326"/>
      <c r="AQ158" s="162"/>
      <c r="AR158" s="326"/>
      <c r="AS158" s="326"/>
      <c r="AT158" s="326"/>
      <c r="AU158" s="323"/>
      <c r="AV158" s="170"/>
      <c r="AW158" s="169"/>
      <c r="AX158" s="323"/>
      <c r="AY158" s="170"/>
      <c r="AZ158" s="169"/>
      <c r="BA158" s="323"/>
      <c r="BB158" s="170"/>
    </row>
    <row r="159" spans="1:60" ht="14.25" customHeight="1">
      <c r="A159" s="393" t="s">
        <v>5</v>
      </c>
      <c r="B159" s="394"/>
      <c r="C159" s="395"/>
      <c r="D159" s="380" t="str">
        <f>$D$3</f>
        <v>North of ATB (CST) - Section Test</v>
      </c>
      <c r="E159" s="381"/>
      <c r="F159" s="381"/>
      <c r="G159" s="381"/>
      <c r="H159" s="381"/>
      <c r="I159" s="381"/>
      <c r="J159" s="381"/>
      <c r="K159" s="381"/>
      <c r="L159" s="381"/>
      <c r="M159" s="381"/>
      <c r="N159" s="381"/>
      <c r="O159" s="381"/>
      <c r="P159" s="381"/>
      <c r="Q159" s="382"/>
      <c r="R159" s="389" t="s">
        <v>6</v>
      </c>
      <c r="S159" s="389"/>
      <c r="T159" s="389"/>
      <c r="U159" s="390" t="s">
        <v>7</v>
      </c>
      <c r="V159" s="391"/>
      <c r="W159" s="391"/>
      <c r="X159" s="392"/>
      <c r="Y159" s="383"/>
      <c r="Z159" s="384"/>
      <c r="AA159" s="385"/>
      <c r="AC159" s="162"/>
      <c r="AD159" s="162"/>
      <c r="AE159" s="162"/>
      <c r="AF159" s="162"/>
      <c r="AG159" s="162"/>
      <c r="AH159" s="163"/>
      <c r="AI159" s="163"/>
      <c r="AJ159" s="162"/>
      <c r="AK159" s="169"/>
      <c r="AL159" s="324"/>
      <c r="AM159" s="170"/>
      <c r="AN159" s="169"/>
      <c r="AO159" s="325"/>
      <c r="AP159" s="326"/>
      <c r="AQ159" s="162"/>
      <c r="AR159" s="326"/>
      <c r="AS159" s="326"/>
      <c r="AT159" s="326"/>
      <c r="AU159" s="323"/>
      <c r="AV159" s="170"/>
      <c r="AW159" s="169"/>
      <c r="AX159" s="323"/>
      <c r="AY159" s="170"/>
      <c r="AZ159" s="169"/>
      <c r="BA159" s="323"/>
      <c r="BB159" s="170"/>
    </row>
    <row r="160" spans="1:60" ht="14.25" customHeight="1">
      <c r="A160" s="396"/>
      <c r="B160" s="397"/>
      <c r="C160" s="398"/>
      <c r="D160" s="489" t="str">
        <f>$D$4</f>
        <v xml:space="preserve">Load Calculation </v>
      </c>
      <c r="E160" s="490"/>
      <c r="F160" s="490"/>
      <c r="G160" s="490"/>
      <c r="H160" s="490"/>
      <c r="I160" s="490"/>
      <c r="J160" s="490"/>
      <c r="K160" s="490"/>
      <c r="L160" s="490"/>
      <c r="M160" s="490"/>
      <c r="N160" s="490"/>
      <c r="O160" s="490"/>
      <c r="P160" s="490"/>
      <c r="Q160" s="491"/>
      <c r="R160" s="389" t="s">
        <v>9</v>
      </c>
      <c r="S160" s="389"/>
      <c r="T160" s="389"/>
      <c r="U160" s="390" t="str">
        <f>$U$4</f>
        <v>MYPQ</v>
      </c>
      <c r="V160" s="391"/>
      <c r="W160" s="391"/>
      <c r="X160" s="392"/>
      <c r="Y160" s="386"/>
      <c r="Z160" s="387"/>
      <c r="AA160" s="388"/>
      <c r="AC160" s="162"/>
      <c r="AD160" s="162"/>
      <c r="AE160" s="162"/>
      <c r="AF160" s="162"/>
      <c r="AG160" s="162"/>
      <c r="AH160" s="163"/>
      <c r="AI160" s="163"/>
      <c r="AJ160" s="162"/>
      <c r="AK160" s="169"/>
      <c r="AL160" s="324"/>
      <c r="AM160" s="170"/>
      <c r="AN160" s="169"/>
      <c r="AO160" s="325"/>
      <c r="AP160" s="326"/>
      <c r="AQ160" s="162"/>
      <c r="AR160" s="326"/>
      <c r="AS160" s="326"/>
      <c r="AT160" s="326"/>
      <c r="AU160" s="323"/>
      <c r="AV160" s="170"/>
      <c r="AW160" s="169"/>
      <c r="AX160" s="323"/>
      <c r="AY160" s="170"/>
      <c r="AZ160" s="169"/>
      <c r="BA160" s="323"/>
      <c r="BB160" s="170"/>
    </row>
    <row r="161" spans="1:54" ht="14.25" customHeight="1">
      <c r="A161" s="399"/>
      <c r="B161" s="400"/>
      <c r="C161" s="401"/>
      <c r="D161" s="415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7"/>
      <c r="R161" s="389" t="s">
        <v>11</v>
      </c>
      <c r="S161" s="389"/>
      <c r="T161" s="389"/>
      <c r="U161" s="411">
        <f ca="1">$U$5</f>
        <v>45183</v>
      </c>
      <c r="V161" s="492"/>
      <c r="W161" s="492"/>
      <c r="X161" s="493"/>
      <c r="Y161" s="418" t="s">
        <v>12</v>
      </c>
      <c r="Z161" s="419"/>
      <c r="AA161" s="161" t="str">
        <f>4&amp;"/"&amp;AB5</f>
        <v>4/14</v>
      </c>
      <c r="AC161" s="162"/>
      <c r="AD161" s="162"/>
      <c r="AE161" s="162"/>
      <c r="AF161" s="162"/>
      <c r="AG161" s="162"/>
      <c r="AH161" s="163"/>
      <c r="AI161" s="163"/>
      <c r="AJ161" s="162"/>
      <c r="AK161" s="169"/>
      <c r="AL161" s="324"/>
      <c r="AM161" s="170"/>
      <c r="AN161" s="169"/>
      <c r="AO161" s="323"/>
      <c r="AP161" s="170"/>
      <c r="AQ161" s="162"/>
      <c r="AR161" s="162"/>
      <c r="AS161" s="162"/>
      <c r="AT161" s="169"/>
      <c r="AU161" s="323"/>
      <c r="AV161" s="170"/>
      <c r="AW161" s="169"/>
      <c r="AX161" s="323"/>
      <c r="AY161" s="170"/>
      <c r="AZ161" s="169"/>
      <c r="BA161" s="323"/>
      <c r="BB161" s="170"/>
    </row>
    <row r="162" spans="1:54" ht="14.25" customHeight="1">
      <c r="A162" s="162"/>
      <c r="B162" s="162"/>
      <c r="C162" s="162"/>
      <c r="D162" s="162"/>
      <c r="E162" s="162"/>
      <c r="F162" s="163"/>
      <c r="G162" s="163"/>
      <c r="H162" s="163"/>
      <c r="I162" s="163"/>
      <c r="J162" s="163"/>
      <c r="K162" s="163"/>
      <c r="L162" s="163"/>
      <c r="M162" s="163"/>
      <c r="N162" s="162"/>
      <c r="O162" s="162"/>
      <c r="P162" s="162"/>
      <c r="Q162" s="271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  <c r="AC162" s="162"/>
      <c r="AD162" s="162"/>
      <c r="AE162" s="162"/>
      <c r="AF162" s="162"/>
      <c r="AG162" s="162"/>
      <c r="AH162" s="163"/>
      <c r="AI162" s="163"/>
      <c r="AJ162" s="162"/>
      <c r="AK162" s="169"/>
      <c r="AL162" s="324"/>
      <c r="AM162" s="170"/>
      <c r="AN162" s="169"/>
      <c r="AO162" s="327" t="s">
        <v>184</v>
      </c>
      <c r="AP162" s="328"/>
      <c r="AQ162" s="162"/>
      <c r="AR162" s="251"/>
      <c r="AS162" s="162" t="s">
        <v>104</v>
      </c>
      <c r="AT162" s="497">
        <f>AK80</f>
        <v>0</v>
      </c>
      <c r="AU162" s="501"/>
      <c r="AV162" s="502"/>
      <c r="AW162" s="169" t="s">
        <v>120</v>
      </c>
      <c r="AX162" s="323"/>
      <c r="AY162" s="170"/>
      <c r="AZ162" s="169"/>
      <c r="BA162" s="323"/>
      <c r="BB162" s="170"/>
    </row>
    <row r="163" spans="1:54" ht="14.25" customHeight="1">
      <c r="A163" s="162"/>
      <c r="B163" s="215" t="s">
        <v>185</v>
      </c>
      <c r="C163" s="215"/>
      <c r="D163" s="215"/>
      <c r="E163" s="215"/>
      <c r="F163" s="216"/>
      <c r="G163" s="216"/>
      <c r="H163" s="216"/>
      <c r="I163" s="163"/>
      <c r="J163" s="163"/>
      <c r="K163" s="163"/>
      <c r="L163" s="163"/>
      <c r="M163" s="163"/>
      <c r="N163" s="162"/>
      <c r="O163" s="162"/>
      <c r="P163" s="162"/>
      <c r="Q163" s="271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  <c r="AC163" s="162"/>
      <c r="AD163" s="162"/>
      <c r="AE163" s="162"/>
      <c r="AF163" s="162"/>
      <c r="AG163" s="162"/>
      <c r="AH163" s="163"/>
      <c r="AI163" s="163"/>
      <c r="AJ163" s="162"/>
      <c r="AK163" s="169"/>
      <c r="AL163" s="324"/>
      <c r="AM163" s="170"/>
      <c r="AN163" s="169"/>
      <c r="AO163" s="327" t="s">
        <v>186</v>
      </c>
      <c r="AP163" s="328"/>
      <c r="AQ163" s="162"/>
      <c r="AR163" s="251"/>
      <c r="AS163" s="162" t="s">
        <v>104</v>
      </c>
      <c r="AT163" s="497">
        <f>AK83</f>
        <v>0</v>
      </c>
      <c r="AU163" s="501"/>
      <c r="AV163" s="502"/>
      <c r="AW163" s="169" t="s">
        <v>120</v>
      </c>
      <c r="AX163" s="323"/>
      <c r="AY163" s="170"/>
      <c r="AZ163" s="169"/>
      <c r="BA163" s="323"/>
      <c r="BB163" s="170"/>
    </row>
    <row r="164" spans="1:54" ht="14.25" customHeight="1">
      <c r="A164" s="162"/>
      <c r="B164" s="162" t="s">
        <v>141</v>
      </c>
      <c r="C164" s="162"/>
      <c r="D164" s="162"/>
      <c r="E164" s="162"/>
      <c r="F164" s="163"/>
      <c r="G164" s="163"/>
      <c r="H164" s="163"/>
      <c r="I164" s="163"/>
      <c r="J164" s="163"/>
      <c r="K164" s="163"/>
      <c r="L164" s="163"/>
      <c r="M164" s="163"/>
      <c r="N164" s="162"/>
      <c r="O164" s="162"/>
      <c r="P164" s="162"/>
      <c r="Q164" s="271" t="s">
        <v>142</v>
      </c>
      <c r="R164" s="497">
        <f>AO$67</f>
        <v>70.541817677375036</v>
      </c>
      <c r="S164" s="498"/>
      <c r="T164" s="499"/>
      <c r="U164" s="162" t="s">
        <v>120</v>
      </c>
      <c r="V164" s="162"/>
      <c r="W164" s="162"/>
      <c r="X164" s="162"/>
      <c r="Y164" s="162"/>
      <c r="Z164" s="162"/>
      <c r="AA164" s="162"/>
      <c r="AC164" s="162"/>
      <c r="AD164" s="162"/>
      <c r="AE164" s="162"/>
      <c r="AF164" s="162"/>
      <c r="AG164" s="162"/>
      <c r="AH164" s="163"/>
      <c r="AI164" s="163"/>
      <c r="AJ164" s="162"/>
      <c r="AK164" s="169"/>
      <c r="AL164" s="324"/>
      <c r="AM164" s="170"/>
      <c r="AN164" s="169"/>
      <c r="AO164" s="323"/>
      <c r="AP164" s="170"/>
      <c r="AQ164" s="162"/>
      <c r="AR164" s="162"/>
      <c r="AS164" s="162"/>
      <c r="AT164" s="169"/>
      <c r="AU164" s="323"/>
      <c r="AV164" s="170"/>
      <c r="AW164" s="169"/>
      <c r="AX164" s="323"/>
      <c r="AY164" s="170"/>
      <c r="AZ164" s="169"/>
      <c r="BA164" s="323"/>
      <c r="BB164" s="170"/>
    </row>
    <row r="165" spans="1:54" ht="14.25" hidden="1" customHeight="1">
      <c r="A165" s="162"/>
      <c r="B165" s="162" t="s">
        <v>143</v>
      </c>
      <c r="C165" s="162"/>
      <c r="D165" s="162"/>
      <c r="E165" s="162"/>
      <c r="F165" s="163"/>
      <c r="G165" s="163"/>
      <c r="H165" s="163"/>
      <c r="I165" s="163"/>
      <c r="J165" s="163"/>
      <c r="K165" s="163"/>
      <c r="L165" s="163"/>
      <c r="M165" s="163"/>
      <c r="N165" s="162"/>
      <c r="O165" s="162"/>
      <c r="P165" s="162"/>
      <c r="Q165" s="271" t="s">
        <v>142</v>
      </c>
      <c r="R165" s="497">
        <f>AO$70</f>
        <v>80.573724028785023</v>
      </c>
      <c r="S165" s="498"/>
      <c r="T165" s="499"/>
      <c r="U165" s="162" t="s">
        <v>187</v>
      </c>
      <c r="V165" s="162"/>
      <c r="W165" s="162"/>
      <c r="X165" s="162"/>
      <c r="Y165" s="162"/>
      <c r="Z165" s="162"/>
      <c r="AA165" s="162"/>
      <c r="AC165" s="162"/>
      <c r="AD165" s="162" t="s">
        <v>188</v>
      </c>
      <c r="AE165" s="162"/>
      <c r="AF165" s="162"/>
      <c r="AG165" s="162"/>
      <c r="AH165" s="163"/>
      <c r="AI165" s="163" t="s">
        <v>90</v>
      </c>
      <c r="AJ165" s="497">
        <f>AK84</f>
        <v>0</v>
      </c>
      <c r="AK165" s="498"/>
      <c r="AL165" s="499"/>
      <c r="AM165" s="170" t="s">
        <v>120</v>
      </c>
      <c r="AN165" s="169"/>
      <c r="AO165" s="323"/>
      <c r="AP165" s="170"/>
      <c r="AQ165" s="162"/>
      <c r="AR165" s="162"/>
      <c r="AS165" s="162"/>
      <c r="AT165" s="169"/>
      <c r="AU165" s="323"/>
      <c r="AV165" s="170"/>
      <c r="AW165" s="169"/>
      <c r="AX165" s="323"/>
      <c r="AY165" s="170"/>
      <c r="AZ165" s="169"/>
      <c r="BA165" s="323"/>
      <c r="BB165" s="170"/>
    </row>
    <row r="166" spans="1:54" ht="14.25" hidden="1" customHeight="1">
      <c r="A166" s="162"/>
      <c r="B166" s="162" t="s">
        <v>144</v>
      </c>
      <c r="C166" s="162"/>
      <c r="D166" s="162"/>
      <c r="E166" s="162"/>
      <c r="F166" s="163"/>
      <c r="G166" s="163"/>
      <c r="H166" s="163"/>
      <c r="I166" s="163"/>
      <c r="J166" s="163"/>
      <c r="K166" s="163"/>
      <c r="L166" s="163"/>
      <c r="M166" s="163"/>
      <c r="N166" s="162"/>
      <c r="O166" s="162"/>
      <c r="P166" s="162"/>
      <c r="Q166" s="271" t="s">
        <v>142</v>
      </c>
      <c r="R166" s="497">
        <f>AO$71</f>
        <v>83.917692812588356</v>
      </c>
      <c r="S166" s="498"/>
      <c r="T166" s="499"/>
      <c r="U166" s="162" t="s">
        <v>187</v>
      </c>
      <c r="V166" s="162"/>
      <c r="W166" s="162"/>
      <c r="X166" s="162"/>
      <c r="Y166" s="162"/>
      <c r="Z166" s="162"/>
      <c r="AA166" s="162"/>
      <c r="AC166" s="162"/>
      <c r="AD166" s="162"/>
      <c r="AE166" s="162"/>
      <c r="AF166" s="162"/>
      <c r="AG166" s="162"/>
      <c r="AH166" s="163"/>
      <c r="AI166" s="163"/>
      <c r="AJ166" s="162"/>
      <c r="AK166" s="169"/>
      <c r="AL166" s="324"/>
      <c r="AM166" s="170"/>
      <c r="AN166" s="169"/>
      <c r="AO166" s="323"/>
      <c r="AP166" s="170"/>
      <c r="AQ166" s="162"/>
      <c r="AR166" s="162"/>
      <c r="AS166" s="162"/>
      <c r="AT166" s="169"/>
      <c r="AU166" s="323"/>
      <c r="AV166" s="170"/>
      <c r="AW166" s="169"/>
      <c r="AX166" s="323"/>
      <c r="AY166" s="170"/>
      <c r="AZ166" s="169"/>
      <c r="BA166" s="323"/>
      <c r="BB166" s="170"/>
    </row>
    <row r="167" spans="1:54" ht="14.25" customHeight="1">
      <c r="A167" s="162"/>
      <c r="B167" s="162" t="s">
        <v>145</v>
      </c>
      <c r="C167" s="162"/>
      <c r="D167" s="162"/>
      <c r="E167" s="162"/>
      <c r="F167" s="163"/>
      <c r="G167" s="163"/>
      <c r="H167" s="163"/>
      <c r="I167" s="163"/>
      <c r="J167" s="163"/>
      <c r="K167" s="163"/>
      <c r="L167" s="163"/>
      <c r="M167" s="163"/>
      <c r="N167" s="162"/>
      <c r="O167" s="162"/>
      <c r="P167" s="162"/>
      <c r="Q167" s="271" t="s">
        <v>142</v>
      </c>
      <c r="R167" s="497">
        <f>AO$76</f>
        <v>84.873112465103574</v>
      </c>
      <c r="S167" s="498"/>
      <c r="T167" s="499"/>
      <c r="U167" s="162" t="s">
        <v>120</v>
      </c>
      <c r="V167" s="162"/>
      <c r="W167" s="162"/>
      <c r="X167" s="162"/>
      <c r="Y167" s="162"/>
      <c r="Z167" s="162"/>
      <c r="AA167" s="162"/>
    </row>
    <row r="168" spans="1:54" ht="14.25" customHeight="1">
      <c r="A168" s="162"/>
      <c r="B168" s="162"/>
      <c r="C168" s="162"/>
      <c r="D168" s="162"/>
      <c r="E168" s="162"/>
      <c r="F168" s="163"/>
      <c r="G168" s="163"/>
      <c r="H168" s="163"/>
      <c r="I168" s="163"/>
      <c r="J168" s="163"/>
      <c r="K168" s="163"/>
      <c r="L168" s="163"/>
      <c r="M168" s="163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</row>
    <row r="169" spans="1:54" ht="14.25" customHeight="1">
      <c r="A169" s="162"/>
      <c r="B169" s="162"/>
      <c r="C169" s="162"/>
      <c r="D169" s="162"/>
      <c r="E169" s="162"/>
      <c r="F169" s="163"/>
      <c r="G169" s="163"/>
      <c r="H169" s="163"/>
      <c r="I169" s="163"/>
      <c r="J169" s="163"/>
      <c r="K169" s="163"/>
      <c r="L169" s="163"/>
      <c r="M169" s="163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</row>
    <row r="170" spans="1:54" ht="14.25" customHeight="1">
      <c r="A170" s="162"/>
      <c r="B170" s="162"/>
      <c r="C170" s="162"/>
      <c r="D170" s="162"/>
      <c r="E170" s="162"/>
      <c r="F170" s="163"/>
      <c r="G170" s="163"/>
      <c r="H170" s="163"/>
      <c r="I170" s="163"/>
      <c r="J170" s="163"/>
      <c r="K170" s="163"/>
      <c r="L170" s="163"/>
      <c r="M170" s="163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</row>
    <row r="171" spans="1:54" ht="14.25" customHeight="1">
      <c r="A171" s="162"/>
      <c r="B171" s="162"/>
      <c r="C171" s="162"/>
      <c r="D171" s="162"/>
      <c r="E171" s="162"/>
      <c r="F171" s="163"/>
      <c r="G171" s="163"/>
      <c r="H171" s="163"/>
      <c r="I171" s="163"/>
      <c r="J171" s="163"/>
      <c r="K171" s="163"/>
      <c r="L171" s="163"/>
      <c r="M171" s="163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</row>
    <row r="172" spans="1:54" ht="14.25" customHeight="1">
      <c r="A172" s="162"/>
      <c r="B172" s="162"/>
      <c r="C172" s="162"/>
      <c r="D172" s="162"/>
      <c r="E172" s="162"/>
      <c r="F172" s="163"/>
      <c r="G172" s="163"/>
      <c r="H172" s="163"/>
      <c r="I172" s="163"/>
      <c r="J172" s="163"/>
      <c r="K172" s="163"/>
      <c r="L172" s="163"/>
      <c r="M172" s="163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  <c r="AC172" s="233">
        <v>42</v>
      </c>
      <c r="AD172" s="162" t="s">
        <v>189</v>
      </c>
      <c r="AE172" s="162"/>
      <c r="AF172" s="162"/>
      <c r="AG172" s="162"/>
      <c r="AH172" s="163"/>
      <c r="AI172" s="163"/>
      <c r="AJ172" s="162"/>
      <c r="AK172" s="169"/>
      <c r="AL172" s="324"/>
      <c r="AM172" s="170"/>
      <c r="AN172" s="169"/>
      <c r="AO172" s="323"/>
      <c r="AP172" s="170"/>
      <c r="AQ172" s="162"/>
      <c r="AR172" s="162"/>
      <c r="AS172" s="162"/>
      <c r="AT172" s="169"/>
      <c r="AU172" s="323"/>
      <c r="AV172" s="170"/>
      <c r="AW172" s="169"/>
      <c r="AX172" s="323"/>
      <c r="AY172" s="170"/>
      <c r="AZ172" s="169"/>
      <c r="BA172" s="323"/>
      <c r="BB172" s="170"/>
    </row>
    <row r="173" spans="1:54" ht="14.25" customHeight="1">
      <c r="A173" s="162"/>
      <c r="B173" s="162"/>
      <c r="C173" s="162"/>
      <c r="D173" s="162"/>
      <c r="E173" s="162"/>
      <c r="F173" s="163"/>
      <c r="G173" s="163"/>
      <c r="H173" s="163"/>
      <c r="I173" s="163"/>
      <c r="J173" s="163"/>
      <c r="K173" s="163"/>
      <c r="L173" s="163"/>
      <c r="M173" s="163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  <c r="AC173" s="162"/>
      <c r="AD173" s="162" t="s">
        <v>190</v>
      </c>
      <c r="AE173" s="162"/>
      <c r="AF173" s="162"/>
      <c r="AG173" s="162"/>
      <c r="AH173" s="163"/>
      <c r="AI173" s="163"/>
      <c r="AJ173" s="162"/>
      <c r="AK173" s="169"/>
      <c r="AL173" s="324"/>
      <c r="AM173" s="170"/>
      <c r="AN173" s="169"/>
      <c r="AO173" s="323"/>
      <c r="AP173" s="170"/>
      <c r="AQ173" s="162"/>
      <c r="AR173" s="162"/>
      <c r="AS173" s="162"/>
      <c r="AT173" s="169"/>
      <c r="AU173" s="323"/>
      <c r="AV173" s="170"/>
      <c r="AW173" s="169"/>
      <c r="AX173" s="323"/>
      <c r="AY173" s="170"/>
      <c r="AZ173" s="169"/>
      <c r="BA173" s="323"/>
      <c r="BB173" s="170"/>
    </row>
    <row r="174" spans="1:54" ht="14.25" customHeight="1">
      <c r="A174" s="162"/>
      <c r="B174" s="162"/>
      <c r="C174" s="162"/>
      <c r="D174" s="162"/>
      <c r="E174" s="162"/>
      <c r="F174" s="163"/>
      <c r="G174" s="163"/>
      <c r="H174" s="163"/>
      <c r="I174" s="163"/>
      <c r="J174" s="163"/>
      <c r="K174" s="163"/>
      <c r="L174" s="163"/>
      <c r="M174" s="163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C174" s="162"/>
      <c r="AD174" s="162"/>
      <c r="AE174" s="162"/>
      <c r="AF174" s="162"/>
      <c r="AG174" s="162"/>
      <c r="AH174" s="163"/>
      <c r="AI174" s="163"/>
      <c r="AJ174" s="162"/>
      <c r="AK174" s="169"/>
      <c r="AL174" s="324"/>
      <c r="AM174" s="170"/>
      <c r="AN174" s="169"/>
      <c r="AO174" s="323"/>
      <c r="AP174" s="170"/>
      <c r="AQ174" s="162"/>
      <c r="AR174" s="162"/>
      <c r="AS174" s="162"/>
      <c r="AT174" s="169"/>
      <c r="AU174" s="323"/>
      <c r="AV174" s="170"/>
      <c r="AW174" s="169"/>
      <c r="AX174" s="323"/>
      <c r="AY174" s="170"/>
      <c r="AZ174" s="169"/>
      <c r="BA174" s="323"/>
      <c r="BB174" s="170"/>
    </row>
    <row r="175" spans="1:54" ht="14.25" customHeight="1">
      <c r="A175" s="162"/>
      <c r="B175" s="162"/>
      <c r="C175" s="162"/>
      <c r="D175" s="162"/>
      <c r="E175" s="162"/>
      <c r="F175" s="163"/>
      <c r="G175" s="163"/>
      <c r="H175" s="163"/>
      <c r="I175" s="163"/>
      <c r="J175" s="163"/>
      <c r="K175" s="163"/>
      <c r="L175" s="163"/>
      <c r="M175" s="163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  <c r="AC175" s="162"/>
      <c r="AD175" s="329" t="s">
        <v>140</v>
      </c>
      <c r="AE175" s="162"/>
      <c r="AF175" s="162"/>
      <c r="AG175" s="162"/>
      <c r="AH175" s="163"/>
      <c r="AI175" s="163"/>
      <c r="AJ175" s="162"/>
      <c r="AK175" s="169"/>
      <c r="AL175" s="324"/>
      <c r="AM175" s="170"/>
      <c r="AN175" s="169"/>
      <c r="AO175" s="323"/>
      <c r="AP175" s="170"/>
      <c r="AQ175" s="162"/>
      <c r="AR175" s="162"/>
      <c r="AS175" s="162"/>
      <c r="AT175" s="169"/>
      <c r="AU175" s="323"/>
      <c r="AV175" s="170"/>
      <c r="AW175" s="169"/>
      <c r="AX175" s="323"/>
      <c r="AY175" s="170"/>
      <c r="AZ175" s="169"/>
      <c r="BA175" s="323"/>
      <c r="BB175" s="170"/>
    </row>
    <row r="176" spans="1:54" ht="14.25" customHeight="1">
      <c r="A176" s="162"/>
      <c r="B176" s="215" t="s">
        <v>191</v>
      </c>
      <c r="C176" s="162"/>
      <c r="D176" s="162"/>
      <c r="E176" s="162"/>
      <c r="F176" s="163"/>
      <c r="G176" s="163"/>
      <c r="H176" s="163"/>
      <c r="I176" s="163"/>
      <c r="J176" s="163"/>
      <c r="K176" s="163"/>
      <c r="L176" s="163"/>
      <c r="M176" s="163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  <c r="AC176" s="162"/>
      <c r="AD176" s="162"/>
      <c r="AE176" s="162"/>
      <c r="AF176" s="162"/>
      <c r="AG176" s="162"/>
      <c r="AH176" s="163"/>
      <c r="AI176" s="163"/>
      <c r="AJ176" s="162"/>
      <c r="AK176" s="169"/>
      <c r="AL176" s="324"/>
      <c r="AM176" s="170"/>
      <c r="AN176" s="169"/>
      <c r="AO176" s="327" t="s">
        <v>184</v>
      </c>
      <c r="AP176" s="328"/>
      <c r="AQ176" s="162"/>
      <c r="AR176" s="251"/>
      <c r="AS176" s="162" t="s">
        <v>104</v>
      </c>
      <c r="AT176" s="497">
        <f>AY80</f>
        <v>0</v>
      </c>
      <c r="AU176" s="501"/>
      <c r="AV176" s="502"/>
      <c r="AW176" s="169" t="s">
        <v>120</v>
      </c>
      <c r="AX176" s="323"/>
      <c r="AY176" s="170"/>
      <c r="AZ176" s="169"/>
      <c r="BA176" s="323"/>
      <c r="BB176" s="170"/>
    </row>
    <row r="177" spans="1:61" ht="14.25" customHeight="1">
      <c r="A177" s="162"/>
      <c r="B177" s="162"/>
      <c r="C177" s="162"/>
      <c r="D177" s="162"/>
      <c r="E177" s="162"/>
      <c r="F177" s="163"/>
      <c r="G177" s="163"/>
      <c r="H177" s="163"/>
      <c r="I177" s="163"/>
      <c r="J177" s="163"/>
      <c r="K177" s="163"/>
      <c r="L177" s="163"/>
      <c r="M177" s="163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  <c r="AB177" s="162"/>
      <c r="AC177" s="162"/>
      <c r="AD177" s="162"/>
      <c r="AF177" s="162"/>
      <c r="AG177" s="162"/>
      <c r="AH177" s="163"/>
      <c r="AI177" s="163"/>
      <c r="AJ177" s="162"/>
      <c r="AK177" s="169"/>
      <c r="AL177" s="324"/>
      <c r="AM177" s="170"/>
      <c r="AN177" s="169"/>
      <c r="AO177" s="323"/>
      <c r="AP177" s="170"/>
      <c r="AQ177" s="162"/>
      <c r="AR177" s="162"/>
      <c r="AS177" s="162"/>
      <c r="AT177" s="169"/>
      <c r="AU177" s="327" t="s">
        <v>186</v>
      </c>
      <c r="AV177" s="170" t="s">
        <v>104</v>
      </c>
      <c r="AW177" s="497">
        <f>AY83</f>
        <v>0</v>
      </c>
      <c r="AX177" s="498"/>
      <c r="AY177" s="499"/>
      <c r="AZ177" s="169" t="s">
        <v>120</v>
      </c>
      <c r="BA177" s="323"/>
      <c r="BB177" s="170"/>
      <c r="BC177" s="162"/>
      <c r="BD177" s="162"/>
      <c r="BE177" s="162"/>
    </row>
    <row r="178" spans="1:61" ht="14.25" customHeight="1">
      <c r="A178" s="178"/>
      <c r="B178" s="162" t="s">
        <v>192</v>
      </c>
      <c r="C178" s="162"/>
      <c r="D178" s="162"/>
      <c r="E178" s="162"/>
      <c r="F178" s="163"/>
      <c r="G178" s="163"/>
      <c r="H178" s="163"/>
      <c r="I178" s="163"/>
      <c r="J178" s="163"/>
      <c r="K178" s="163"/>
      <c r="L178" s="163"/>
      <c r="M178" s="163"/>
      <c r="N178" s="162"/>
      <c r="O178" s="162"/>
      <c r="P178" s="162"/>
      <c r="Q178" s="162" t="s">
        <v>104</v>
      </c>
      <c r="R178" s="497">
        <f>IF($AP$78&gt;$AP$103,$AP$78,$AP$103)</f>
        <v>220.05</v>
      </c>
      <c r="S178" s="498"/>
      <c r="T178" s="499"/>
      <c r="U178" s="162" t="s">
        <v>120</v>
      </c>
      <c r="V178" s="162"/>
      <c r="W178" s="162"/>
      <c r="X178" s="162"/>
      <c r="Y178" s="162"/>
      <c r="Z178" s="162"/>
      <c r="AA178" s="162"/>
      <c r="AC178" s="162"/>
      <c r="AD178" s="162"/>
      <c r="AE178" s="162"/>
      <c r="AF178" s="162"/>
      <c r="AG178" s="162"/>
      <c r="AH178" s="163"/>
      <c r="AI178" s="163"/>
      <c r="AJ178" s="162"/>
      <c r="AK178" s="169"/>
      <c r="AL178" s="324"/>
      <c r="AM178" s="170"/>
      <c r="AN178" s="169"/>
      <c r="AO178" s="323"/>
      <c r="AP178" s="170"/>
      <c r="AQ178" s="162"/>
      <c r="AR178" s="162"/>
      <c r="AS178" s="162"/>
      <c r="AT178" s="169"/>
      <c r="AU178" s="323"/>
      <c r="AV178" s="170"/>
      <c r="AW178" s="169"/>
      <c r="AX178" s="323"/>
      <c r="AY178" s="170"/>
      <c r="AZ178" s="169"/>
      <c r="BA178" s="323"/>
      <c r="BB178" s="170"/>
    </row>
    <row r="179" spans="1:61" ht="14.25" customHeight="1">
      <c r="A179" s="233"/>
      <c r="B179" s="162"/>
      <c r="C179" s="162"/>
      <c r="D179" s="162"/>
      <c r="E179" s="162"/>
      <c r="F179" s="163"/>
      <c r="G179" s="163"/>
      <c r="H179" s="163"/>
      <c r="I179" s="163"/>
      <c r="J179" s="163"/>
      <c r="K179" s="163"/>
      <c r="L179" s="163"/>
      <c r="M179" s="330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  <c r="AC179" s="162"/>
      <c r="AD179" s="329" t="s">
        <v>146</v>
      </c>
      <c r="AE179" s="162"/>
      <c r="AF179" s="162"/>
      <c r="AG179" s="162"/>
      <c r="AH179" s="163"/>
      <c r="AI179" s="163"/>
      <c r="AJ179" s="162"/>
      <c r="AK179" s="169"/>
      <c r="AL179" s="324"/>
      <c r="AM179" s="170"/>
      <c r="AN179" s="169"/>
      <c r="AO179" s="323"/>
      <c r="AP179" s="170"/>
      <c r="AQ179" s="162"/>
      <c r="AR179" s="162"/>
      <c r="AS179" s="162"/>
      <c r="AT179" s="169"/>
      <c r="AU179" s="323"/>
      <c r="AV179" s="170"/>
      <c r="AW179" s="169"/>
      <c r="AX179" s="323"/>
      <c r="AY179" s="170"/>
      <c r="AZ179" s="169"/>
      <c r="BA179" s="323"/>
      <c r="BB179" s="170"/>
    </row>
    <row r="180" spans="1:61" ht="14.25" customHeight="1">
      <c r="A180" s="162"/>
      <c r="B180" s="162"/>
      <c r="C180" s="162"/>
      <c r="D180" s="162"/>
      <c r="E180" s="162"/>
      <c r="F180" s="163"/>
      <c r="G180" s="163"/>
      <c r="H180" s="163"/>
      <c r="I180" s="163"/>
      <c r="J180" s="163"/>
      <c r="K180" s="163"/>
      <c r="L180" s="163"/>
      <c r="M180" s="163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  <c r="AC180" s="162"/>
      <c r="AD180" s="162"/>
      <c r="AE180" s="162"/>
      <c r="AF180" s="162"/>
      <c r="AG180" s="162"/>
      <c r="AH180" s="163"/>
      <c r="AI180" s="163"/>
      <c r="AJ180" s="162"/>
      <c r="AK180" s="169"/>
      <c r="AL180" s="324"/>
      <c r="AM180" s="170"/>
      <c r="AN180" s="169"/>
      <c r="AO180" s="327" t="s">
        <v>184</v>
      </c>
      <c r="AP180" s="328"/>
      <c r="AQ180" s="162"/>
      <c r="AR180" s="251"/>
      <c r="AS180" s="162" t="s">
        <v>104</v>
      </c>
      <c r="AT180" s="497">
        <f>AW80</f>
        <v>0</v>
      </c>
      <c r="AU180" s="498"/>
      <c r="AV180" s="499"/>
      <c r="AW180" s="169" t="s">
        <v>120</v>
      </c>
      <c r="AX180" s="323"/>
      <c r="AY180" s="170"/>
      <c r="AZ180" s="169"/>
      <c r="BA180" s="323"/>
      <c r="BB180" s="170"/>
    </row>
    <row r="181" spans="1:61" ht="14.25" customHeight="1">
      <c r="A181" s="162"/>
      <c r="B181" s="162"/>
      <c r="C181" s="162"/>
      <c r="D181" s="162"/>
      <c r="E181" s="162"/>
      <c r="F181" s="163"/>
      <c r="G181" s="163"/>
      <c r="H181" s="163"/>
      <c r="I181" s="163"/>
      <c r="J181" s="163"/>
      <c r="K181" s="163"/>
      <c r="L181" s="163"/>
      <c r="M181" s="163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  <c r="AC181" s="162"/>
      <c r="AD181" s="162"/>
      <c r="AE181" s="162"/>
      <c r="AF181" s="162"/>
      <c r="AG181" s="162"/>
      <c r="AH181" s="163"/>
      <c r="AI181" s="163"/>
      <c r="AJ181" s="162"/>
      <c r="AK181" s="169"/>
      <c r="AL181" s="324"/>
      <c r="AM181" s="170"/>
      <c r="AN181" s="169"/>
      <c r="AO181" s="327" t="s">
        <v>186</v>
      </c>
      <c r="AP181" s="328"/>
      <c r="AQ181" s="162"/>
      <c r="AR181" s="251"/>
      <c r="AS181" s="162" t="s">
        <v>104</v>
      </c>
      <c r="AT181" s="497">
        <f>AW83</f>
        <v>0</v>
      </c>
      <c r="AU181" s="498"/>
      <c r="AV181" s="499"/>
      <c r="AW181" s="169" t="s">
        <v>120</v>
      </c>
      <c r="AX181" s="323"/>
      <c r="AY181" s="170"/>
      <c r="AZ181" s="169"/>
      <c r="BA181" s="323"/>
      <c r="BB181" s="170"/>
    </row>
    <row r="182" spans="1:61" ht="14.25" customHeight="1">
      <c r="A182" s="162"/>
      <c r="B182" s="162"/>
      <c r="C182" s="162"/>
      <c r="D182" s="162"/>
      <c r="E182" s="162"/>
      <c r="F182" s="163"/>
      <c r="G182" s="163"/>
      <c r="H182" s="163"/>
      <c r="I182" s="163"/>
      <c r="J182" s="163"/>
      <c r="K182" s="163"/>
      <c r="L182" s="163"/>
      <c r="M182" s="163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  <c r="AC182" s="162"/>
      <c r="AD182" s="162"/>
      <c r="AE182" s="162"/>
      <c r="AF182" s="162"/>
      <c r="AG182" s="162"/>
      <c r="AH182" s="163"/>
      <c r="AI182" s="163"/>
      <c r="AJ182" s="162"/>
      <c r="AK182" s="169"/>
      <c r="AL182" s="324"/>
      <c r="AM182" s="170"/>
      <c r="AN182" s="169"/>
      <c r="AO182" s="323"/>
      <c r="AP182" s="170"/>
      <c r="AQ182" s="162"/>
      <c r="AR182" s="162"/>
      <c r="AS182" s="162"/>
      <c r="AT182" s="169"/>
      <c r="AU182" s="323"/>
      <c r="AV182" s="170"/>
      <c r="AW182" s="169"/>
      <c r="AX182" s="323"/>
      <c r="AY182" s="170"/>
      <c r="AZ182" s="169"/>
      <c r="BA182" s="323"/>
      <c r="BB182" s="170"/>
    </row>
    <row r="183" spans="1:61" ht="14.25" customHeight="1">
      <c r="A183" s="162"/>
      <c r="B183" s="162"/>
      <c r="C183" s="162"/>
      <c r="D183" s="162"/>
      <c r="E183" s="162"/>
      <c r="F183" s="163"/>
      <c r="G183" s="163"/>
      <c r="H183" s="163"/>
      <c r="I183" s="163"/>
      <c r="J183" s="163"/>
      <c r="K183" s="163"/>
      <c r="L183" s="163"/>
      <c r="M183" s="163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</row>
    <row r="184" spans="1:61" ht="14.25" customHeight="1">
      <c r="A184" s="162"/>
      <c r="B184" s="162"/>
      <c r="C184" s="162"/>
      <c r="D184" s="162"/>
      <c r="E184" s="162"/>
      <c r="F184" s="163"/>
      <c r="G184" s="163"/>
      <c r="H184" s="163"/>
      <c r="I184" s="163"/>
      <c r="J184" s="163"/>
      <c r="K184" s="163"/>
      <c r="L184" s="163"/>
      <c r="M184" s="163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</row>
    <row r="185" spans="1:61" ht="14.25" customHeight="1">
      <c r="A185" s="162"/>
      <c r="B185" s="162"/>
      <c r="C185" s="162"/>
      <c r="D185" s="162"/>
      <c r="E185" s="162"/>
      <c r="F185" s="163"/>
      <c r="G185" s="163"/>
      <c r="H185" s="163"/>
      <c r="I185" s="163"/>
      <c r="J185" s="163"/>
      <c r="K185" s="163"/>
      <c r="L185" s="163"/>
      <c r="M185" s="163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</row>
    <row r="186" spans="1:61" ht="14.25" customHeight="1">
      <c r="A186" s="162"/>
      <c r="B186" s="162"/>
      <c r="C186" s="162"/>
      <c r="D186" s="162"/>
      <c r="E186" s="162"/>
      <c r="F186" s="163"/>
      <c r="G186" s="163"/>
      <c r="H186" s="163"/>
      <c r="I186" s="163"/>
      <c r="J186" s="163"/>
      <c r="K186" s="163"/>
      <c r="L186" s="163"/>
      <c r="M186" s="163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</row>
    <row r="187" spans="1:61" ht="14.25" customHeight="1">
      <c r="A187" s="162"/>
      <c r="B187" s="162"/>
      <c r="C187" s="162"/>
      <c r="D187" s="162"/>
      <c r="E187" s="162"/>
      <c r="F187" s="163"/>
      <c r="G187" s="163"/>
      <c r="H187" s="163"/>
      <c r="I187" s="163"/>
      <c r="J187" s="163"/>
      <c r="K187" s="163"/>
      <c r="L187" s="163"/>
      <c r="M187" s="163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</row>
    <row r="188" spans="1:61" ht="14.25" customHeight="1">
      <c r="A188" s="162"/>
      <c r="B188" s="215" t="s">
        <v>193</v>
      </c>
      <c r="C188" s="215"/>
      <c r="D188" s="215"/>
      <c r="E188" s="215"/>
      <c r="F188" s="216"/>
      <c r="G188" s="216"/>
      <c r="H188" s="216"/>
      <c r="I188" s="216"/>
      <c r="J188" s="216"/>
      <c r="K188" s="216"/>
      <c r="L188" s="216"/>
      <c r="M188" s="216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</row>
    <row r="189" spans="1:61" ht="14.25" customHeight="1">
      <c r="A189" s="233"/>
      <c r="B189" s="162"/>
      <c r="C189" s="162"/>
      <c r="D189" s="162"/>
      <c r="E189" s="162"/>
      <c r="F189" s="163"/>
      <c r="G189" s="163"/>
      <c r="H189" s="163"/>
      <c r="I189" s="163"/>
      <c r="J189" s="163"/>
      <c r="K189" s="163"/>
      <c r="L189" s="163"/>
      <c r="M189" s="163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</row>
    <row r="190" spans="1:61" ht="14.25" customHeight="1">
      <c r="A190" s="162"/>
      <c r="B190" s="270" t="s">
        <v>140</v>
      </c>
      <c r="C190" s="215"/>
      <c r="D190" s="215"/>
      <c r="E190" s="215"/>
      <c r="F190" s="216"/>
      <c r="G190" s="216"/>
      <c r="H190" s="216"/>
      <c r="I190" s="216"/>
      <c r="J190" s="163"/>
      <c r="K190" s="163"/>
      <c r="L190" s="163"/>
      <c r="M190" s="163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</row>
    <row r="191" spans="1:61" ht="14.25" customHeight="1">
      <c r="A191" s="162"/>
      <c r="B191" s="162" t="s">
        <v>141</v>
      </c>
      <c r="C191" s="162"/>
      <c r="D191" s="162"/>
      <c r="E191" s="162"/>
      <c r="F191" s="163"/>
      <c r="G191" s="163"/>
      <c r="H191" s="163"/>
      <c r="I191" s="163"/>
      <c r="J191" s="163"/>
      <c r="K191" s="163"/>
      <c r="L191" s="163"/>
      <c r="M191" s="163"/>
      <c r="N191" s="162"/>
      <c r="O191" s="162"/>
      <c r="P191" s="162"/>
      <c r="Q191" s="271" t="s">
        <v>142</v>
      </c>
      <c r="R191" s="497">
        <f>AR92</f>
        <v>228.55</v>
      </c>
      <c r="S191" s="498"/>
      <c r="T191" s="499"/>
      <c r="U191" s="162" t="s">
        <v>120</v>
      </c>
      <c r="V191" s="162"/>
      <c r="W191" s="162"/>
      <c r="X191" s="162"/>
      <c r="Y191" s="162"/>
      <c r="Z191" s="162"/>
      <c r="AA191" s="162"/>
    </row>
    <row r="192" spans="1:61" ht="14.25" hidden="1" customHeight="1">
      <c r="A192" s="162"/>
      <c r="B192" s="162" t="s">
        <v>143</v>
      </c>
      <c r="C192" s="162"/>
      <c r="D192" s="162"/>
      <c r="E192" s="162"/>
      <c r="F192" s="163"/>
      <c r="G192" s="163"/>
      <c r="H192" s="163"/>
      <c r="I192" s="163"/>
      <c r="J192" s="163"/>
      <c r="K192" s="163"/>
      <c r="L192" s="163"/>
      <c r="M192" s="163"/>
      <c r="N192" s="162"/>
      <c r="O192" s="162"/>
      <c r="P192" s="162"/>
      <c r="Q192" s="271" t="s">
        <v>142</v>
      </c>
      <c r="R192" s="497">
        <f>AU$97</f>
        <v>141.79999999999998</v>
      </c>
      <c r="S192" s="498"/>
      <c r="T192" s="499"/>
      <c r="U192" s="162" t="s">
        <v>187</v>
      </c>
      <c r="V192" s="162"/>
      <c r="W192" s="162"/>
      <c r="X192" s="162"/>
      <c r="Y192" s="162"/>
      <c r="Z192" s="162"/>
      <c r="AA192" s="162"/>
      <c r="BC192" s="459"/>
      <c r="BD192" s="534"/>
      <c r="BE192" s="481"/>
      <c r="BF192" s="481"/>
      <c r="BG192" s="481"/>
      <c r="BH192" s="481"/>
      <c r="BI192" s="481"/>
    </row>
    <row r="193" spans="1:64" ht="14.25" hidden="1" customHeight="1">
      <c r="A193" s="162"/>
      <c r="B193" s="162" t="s">
        <v>144</v>
      </c>
      <c r="C193" s="162"/>
      <c r="D193" s="162"/>
      <c r="E193" s="162"/>
      <c r="F193" s="163"/>
      <c r="G193" s="163"/>
      <c r="H193" s="163"/>
      <c r="I193" s="163"/>
      <c r="J193" s="163"/>
      <c r="K193" s="163"/>
      <c r="L193" s="163"/>
      <c r="M193" s="163"/>
      <c r="N193" s="162"/>
      <c r="O193" s="162"/>
      <c r="P193" s="162"/>
      <c r="Q193" s="271" t="s">
        <v>142</v>
      </c>
      <c r="R193" s="497">
        <f>AU$98</f>
        <v>149.14999999999998</v>
      </c>
      <c r="S193" s="498"/>
      <c r="T193" s="499"/>
      <c r="U193" s="162" t="s">
        <v>187</v>
      </c>
      <c r="V193" s="162"/>
      <c r="W193" s="162"/>
      <c r="X193" s="162"/>
      <c r="Y193" s="162"/>
      <c r="Z193" s="162"/>
      <c r="AA193" s="162"/>
      <c r="BC193" s="459"/>
      <c r="BD193" s="534"/>
      <c r="BE193" s="481"/>
      <c r="BF193" s="481"/>
      <c r="BG193" s="481"/>
      <c r="BH193" s="481"/>
      <c r="BI193" s="481"/>
    </row>
    <row r="194" spans="1:64" ht="14.25" customHeight="1">
      <c r="A194" s="162"/>
      <c r="B194" s="162" t="s">
        <v>145</v>
      </c>
      <c r="C194" s="162"/>
      <c r="D194" s="162"/>
      <c r="E194" s="162"/>
      <c r="F194" s="163"/>
      <c r="G194" s="163"/>
      <c r="H194" s="163"/>
      <c r="I194" s="163"/>
      <c r="J194" s="163"/>
      <c r="K194" s="163"/>
      <c r="L194" s="163"/>
      <c r="M194" s="163"/>
      <c r="N194" s="162"/>
      <c r="O194" s="162"/>
      <c r="P194" s="162"/>
      <c r="Q194" s="271" t="s">
        <v>142</v>
      </c>
      <c r="R194" s="497">
        <f>AR101</f>
        <v>305.05000000000007</v>
      </c>
      <c r="S194" s="498"/>
      <c r="T194" s="499"/>
      <c r="U194" s="162" t="s">
        <v>120</v>
      </c>
      <c r="V194" s="162"/>
      <c r="W194" s="162"/>
      <c r="X194" s="162"/>
      <c r="Y194" s="162"/>
      <c r="Z194" s="162"/>
      <c r="AA194" s="162"/>
      <c r="BC194" s="459"/>
      <c r="BD194" s="534"/>
      <c r="BE194" s="481"/>
      <c r="BF194" s="481"/>
      <c r="BG194" s="481"/>
      <c r="BH194" s="481"/>
      <c r="BI194" s="481"/>
    </row>
    <row r="195" spans="1:64" ht="14.25" customHeight="1">
      <c r="A195" s="162"/>
      <c r="B195" s="329"/>
      <c r="C195" s="162"/>
      <c r="D195" s="162"/>
      <c r="E195" s="162"/>
      <c r="F195" s="163"/>
      <c r="G195" s="163"/>
      <c r="H195" s="163"/>
      <c r="I195" s="163"/>
      <c r="J195" s="163"/>
      <c r="K195" s="163"/>
      <c r="L195" s="163"/>
      <c r="M195" s="163"/>
      <c r="N195" s="162"/>
      <c r="O195" s="162"/>
      <c r="P195" s="162"/>
      <c r="Q195" s="162"/>
      <c r="R195" s="162"/>
      <c r="S195" s="162"/>
      <c r="T195" s="331"/>
      <c r="U195" s="162"/>
      <c r="V195" s="162"/>
      <c r="W195" s="162"/>
      <c r="X195" s="162"/>
      <c r="Y195" s="162"/>
      <c r="Z195" s="162"/>
      <c r="AA195" s="162"/>
      <c r="BC195" s="193"/>
      <c r="BD195" s="332"/>
      <c r="BE195" s="196"/>
    </row>
    <row r="196" spans="1:64" ht="14.25" customHeight="1">
      <c r="A196" s="162"/>
      <c r="B196" s="270" t="s">
        <v>146</v>
      </c>
      <c r="C196" s="215"/>
      <c r="D196" s="215"/>
      <c r="E196" s="215"/>
      <c r="F196" s="216"/>
      <c r="G196" s="216"/>
      <c r="H196" s="216"/>
      <c r="I196" s="163"/>
      <c r="J196" s="163"/>
      <c r="K196" s="163"/>
      <c r="L196" s="163"/>
      <c r="M196" s="163"/>
      <c r="N196" s="162"/>
      <c r="O196" s="162"/>
      <c r="P196" s="162"/>
      <c r="Q196" s="271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  <c r="BC196" s="193"/>
      <c r="BD196" s="333"/>
      <c r="BE196" s="196"/>
      <c r="BF196" s="196"/>
      <c r="BG196" s="196"/>
      <c r="BH196" s="196"/>
      <c r="BI196" s="196"/>
    </row>
    <row r="197" spans="1:64" ht="14.25" customHeight="1">
      <c r="A197" s="162"/>
      <c r="B197" s="162" t="s">
        <v>141</v>
      </c>
      <c r="C197" s="162"/>
      <c r="D197" s="162"/>
      <c r="E197" s="162"/>
      <c r="F197" s="163"/>
      <c r="G197" s="163"/>
      <c r="H197" s="163"/>
      <c r="I197" s="163"/>
      <c r="J197" s="163"/>
      <c r="K197" s="163"/>
      <c r="L197" s="163"/>
      <c r="M197" s="163"/>
      <c r="N197" s="162"/>
      <c r="O197" s="162"/>
      <c r="P197" s="162"/>
      <c r="Q197" s="271" t="s">
        <v>142</v>
      </c>
      <c r="R197" s="497">
        <f>AR67</f>
        <v>228.55</v>
      </c>
      <c r="S197" s="498"/>
      <c r="T197" s="499"/>
      <c r="U197" s="162" t="s">
        <v>120</v>
      </c>
      <c r="V197" s="162"/>
      <c r="W197" s="162"/>
      <c r="X197" s="162"/>
      <c r="Y197" s="162"/>
      <c r="Z197" s="162"/>
      <c r="AA197" s="162"/>
      <c r="BC197" s="193"/>
      <c r="BD197" s="333"/>
      <c r="BE197" s="196"/>
      <c r="BF197" s="196"/>
      <c r="BG197" s="196"/>
      <c r="BH197" s="196"/>
      <c r="BI197" s="196"/>
    </row>
    <row r="198" spans="1:64" ht="14.25" hidden="1" customHeight="1">
      <c r="A198" s="162"/>
      <c r="B198" s="162" t="s">
        <v>143</v>
      </c>
      <c r="C198" s="162"/>
      <c r="D198" s="162"/>
      <c r="E198" s="162"/>
      <c r="F198" s="163"/>
      <c r="G198" s="163"/>
      <c r="H198" s="163"/>
      <c r="I198" s="163"/>
      <c r="J198" s="163"/>
      <c r="K198" s="163"/>
      <c r="L198" s="163"/>
      <c r="M198" s="163"/>
      <c r="N198" s="162"/>
      <c r="O198" s="162"/>
      <c r="P198" s="162"/>
      <c r="Q198" s="271" t="s">
        <v>142</v>
      </c>
      <c r="R198" s="497">
        <f>AU$70</f>
        <v>127.1</v>
      </c>
      <c r="S198" s="498"/>
      <c r="T198" s="499"/>
      <c r="U198" s="162" t="s">
        <v>187</v>
      </c>
      <c r="V198" s="162"/>
      <c r="W198" s="162"/>
      <c r="X198" s="162"/>
      <c r="Y198" s="162"/>
      <c r="Z198" s="162"/>
      <c r="AA198" s="162"/>
      <c r="BC198" s="229"/>
      <c r="BD198" s="332"/>
      <c r="BE198" s="196"/>
      <c r="BF198" s="196"/>
      <c r="BG198" s="196"/>
      <c r="BH198" s="196"/>
      <c r="BI198" s="196"/>
    </row>
    <row r="199" spans="1:64" ht="14.25" hidden="1" customHeight="1">
      <c r="A199" s="162"/>
      <c r="B199" s="162" t="s">
        <v>144</v>
      </c>
      <c r="C199" s="162"/>
      <c r="D199" s="162"/>
      <c r="E199" s="162"/>
      <c r="F199" s="163"/>
      <c r="G199" s="163"/>
      <c r="H199" s="163"/>
      <c r="I199" s="163"/>
      <c r="J199" s="163"/>
      <c r="K199" s="163"/>
      <c r="L199" s="163"/>
      <c r="M199" s="163"/>
      <c r="N199" s="162"/>
      <c r="O199" s="162"/>
      <c r="P199" s="162"/>
      <c r="Q199" s="271" t="s">
        <v>142</v>
      </c>
      <c r="R199" s="497">
        <f>AU$71</f>
        <v>134.44999999999999</v>
      </c>
      <c r="S199" s="498"/>
      <c r="T199" s="499"/>
      <c r="U199" s="162" t="s">
        <v>187</v>
      </c>
      <c r="V199" s="162"/>
      <c r="W199" s="162"/>
      <c r="X199" s="162"/>
      <c r="Y199" s="162"/>
      <c r="Z199" s="162"/>
      <c r="AA199" s="162"/>
      <c r="BC199" s="193"/>
      <c r="BD199" s="333"/>
      <c r="BE199" s="196"/>
      <c r="BF199" s="196"/>
      <c r="BG199" s="196"/>
      <c r="BH199" s="196"/>
      <c r="BI199" s="196"/>
    </row>
    <row r="200" spans="1:64" ht="14.25" customHeight="1">
      <c r="A200" s="162"/>
      <c r="B200" s="162" t="s">
        <v>145</v>
      </c>
      <c r="C200" s="162"/>
      <c r="D200" s="162"/>
      <c r="E200" s="162"/>
      <c r="F200" s="163"/>
      <c r="G200" s="163"/>
      <c r="H200" s="163"/>
      <c r="I200" s="163"/>
      <c r="J200" s="163"/>
      <c r="K200" s="163"/>
      <c r="L200" s="163"/>
      <c r="M200" s="163"/>
      <c r="N200" s="162"/>
      <c r="O200" s="162"/>
      <c r="P200" s="162"/>
      <c r="Q200" s="271" t="s">
        <v>142</v>
      </c>
      <c r="R200" s="497">
        <f>AR76</f>
        <v>305.05000000000007</v>
      </c>
      <c r="S200" s="498"/>
      <c r="T200" s="499"/>
      <c r="U200" s="162" t="s">
        <v>120</v>
      </c>
      <c r="V200" s="162"/>
      <c r="W200" s="162"/>
      <c r="X200" s="162"/>
      <c r="Y200" s="162"/>
      <c r="Z200" s="162"/>
      <c r="AA200" s="162"/>
      <c r="BC200" s="193"/>
      <c r="BD200" s="333"/>
      <c r="BE200" s="196"/>
      <c r="BF200" s="196"/>
      <c r="BG200" s="196"/>
      <c r="BH200" s="196"/>
      <c r="BI200" s="196"/>
    </row>
    <row r="201" spans="1:64" ht="14.25" customHeight="1">
      <c r="A201" s="162"/>
      <c r="B201" s="329"/>
      <c r="C201" s="162"/>
      <c r="D201" s="162"/>
      <c r="E201" s="162"/>
      <c r="F201" s="163"/>
      <c r="G201" s="163"/>
      <c r="H201" s="163"/>
      <c r="I201" s="163"/>
      <c r="J201" s="163"/>
      <c r="K201" s="163"/>
      <c r="L201" s="163"/>
      <c r="M201" s="163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  <c r="BC201" s="201"/>
      <c r="BD201" s="332"/>
      <c r="BE201" s="196"/>
      <c r="BF201" s="196"/>
      <c r="BG201" s="196"/>
      <c r="BH201" s="196"/>
      <c r="BI201" s="196"/>
    </row>
    <row r="202" spans="1:64" ht="14.25" customHeight="1">
      <c r="A202" s="162"/>
      <c r="B202" s="162"/>
      <c r="C202" s="162"/>
      <c r="D202" s="162"/>
      <c r="E202" s="162"/>
      <c r="F202" s="163"/>
      <c r="G202" s="163"/>
      <c r="H202" s="163"/>
      <c r="I202" s="163"/>
      <c r="J202" s="163"/>
      <c r="K202" s="163"/>
      <c r="L202" s="163"/>
      <c r="M202" s="163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  <c r="BC202" s="201"/>
      <c r="BD202" s="332"/>
      <c r="BE202" s="203"/>
      <c r="BF202" s="203"/>
      <c r="BG202" s="203"/>
      <c r="BH202" s="203"/>
      <c r="BI202" s="203"/>
    </row>
    <row r="203" spans="1:64" ht="14.25" customHeight="1">
      <c r="A203" s="162"/>
      <c r="B203" s="162"/>
      <c r="C203" s="162"/>
      <c r="D203" s="162"/>
      <c r="E203" s="162"/>
      <c r="F203" s="163"/>
      <c r="G203" s="163"/>
      <c r="H203" s="163"/>
      <c r="I203" s="163"/>
      <c r="J203" s="163"/>
      <c r="K203" s="163"/>
      <c r="L203" s="163"/>
      <c r="M203" s="163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  <c r="BC203" s="201"/>
      <c r="BD203" s="332"/>
      <c r="BE203" s="203"/>
      <c r="BF203" s="203"/>
      <c r="BG203" s="203"/>
      <c r="BH203" s="203"/>
      <c r="BI203" s="203"/>
    </row>
    <row r="204" spans="1:64" ht="14.25" customHeight="1">
      <c r="A204" s="162"/>
      <c r="B204" s="162"/>
      <c r="C204" s="162"/>
      <c r="D204" s="162"/>
      <c r="E204" s="162"/>
      <c r="F204" s="163"/>
      <c r="G204" s="163"/>
      <c r="H204" s="163"/>
      <c r="I204" s="163"/>
      <c r="J204" s="163"/>
      <c r="K204" s="163"/>
      <c r="L204" s="163"/>
      <c r="M204" s="163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  <c r="BC204" s="201"/>
      <c r="BD204" s="332"/>
      <c r="BE204" s="203"/>
      <c r="BF204" s="203"/>
      <c r="BG204" s="203"/>
      <c r="BH204" s="203"/>
      <c r="BI204" s="203"/>
    </row>
    <row r="205" spans="1:64" ht="14.25" customHeight="1">
      <c r="A205" s="162"/>
      <c r="B205" s="162"/>
      <c r="C205" s="162"/>
      <c r="D205" s="162"/>
      <c r="E205" s="162"/>
      <c r="F205" s="163"/>
      <c r="G205" s="163"/>
      <c r="H205" s="163"/>
      <c r="I205" s="163"/>
      <c r="J205" s="163"/>
      <c r="K205" s="163"/>
      <c r="L205" s="163"/>
      <c r="M205" s="163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  <c r="BC205" s="201"/>
      <c r="BD205" s="332"/>
      <c r="BE205" s="203"/>
      <c r="BF205" s="203"/>
      <c r="BG205" s="203"/>
      <c r="BH205" s="203"/>
      <c r="BI205" s="203"/>
    </row>
    <row r="206" spans="1:64" ht="14.25" customHeight="1">
      <c r="A206" s="162"/>
      <c r="B206" s="162"/>
      <c r="C206" s="162"/>
      <c r="D206" s="162"/>
      <c r="E206" s="162"/>
      <c r="F206" s="163"/>
      <c r="G206" s="163"/>
      <c r="H206" s="163"/>
      <c r="I206" s="163"/>
      <c r="J206" s="163"/>
      <c r="K206" s="163"/>
      <c r="L206" s="163"/>
      <c r="M206" s="163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  <c r="BC206" s="201"/>
      <c r="BD206" s="332"/>
      <c r="BE206" s="203"/>
      <c r="BF206" s="203"/>
      <c r="BG206" s="203"/>
      <c r="BH206" s="196"/>
      <c r="BI206" s="196"/>
    </row>
    <row r="207" spans="1:64" ht="14.25" customHeight="1">
      <c r="A207" s="162"/>
      <c r="B207" s="162"/>
      <c r="C207" s="162"/>
      <c r="D207" s="162"/>
      <c r="E207" s="162"/>
      <c r="F207" s="163"/>
      <c r="G207" s="163"/>
      <c r="H207" s="163"/>
      <c r="I207" s="163"/>
      <c r="J207" s="163"/>
      <c r="K207" s="163"/>
      <c r="L207" s="163"/>
      <c r="M207" s="163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  <c r="AC207" s="233">
        <v>37</v>
      </c>
      <c r="AD207" s="162" t="s">
        <v>194</v>
      </c>
      <c r="AE207" s="162"/>
      <c r="AF207" s="162"/>
      <c r="AG207" s="162"/>
      <c r="AH207" s="163"/>
      <c r="AI207" s="163"/>
      <c r="AJ207" s="162"/>
      <c r="AK207" s="169"/>
      <c r="AL207" s="324"/>
      <c r="AM207" s="170"/>
      <c r="AN207" s="169"/>
      <c r="AO207" s="323"/>
      <c r="AP207" s="170"/>
      <c r="AQ207" s="162"/>
      <c r="AR207" s="162"/>
      <c r="AS207" s="162"/>
      <c r="AT207" s="169"/>
      <c r="AU207" s="323"/>
      <c r="AV207" s="170"/>
      <c r="AW207" s="169"/>
      <c r="BC207" s="201"/>
      <c r="BD207" s="332"/>
      <c r="BE207" s="203"/>
      <c r="BF207" s="203"/>
      <c r="BG207" s="203"/>
      <c r="BH207" s="196"/>
      <c r="BI207" s="196"/>
      <c r="BJ207" s="196"/>
    </row>
    <row r="208" spans="1:64" ht="14.25" customHeight="1">
      <c r="A208" s="162"/>
      <c r="B208" s="162"/>
      <c r="C208" s="162"/>
      <c r="D208" s="162"/>
      <c r="E208" s="162"/>
      <c r="F208" s="163"/>
      <c r="G208" s="163"/>
      <c r="H208" s="163"/>
      <c r="I208" s="163"/>
      <c r="J208" s="163"/>
      <c r="K208" s="163"/>
      <c r="L208" s="163"/>
      <c r="M208" s="163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  <c r="AC208" s="162"/>
      <c r="AD208" s="162" t="s">
        <v>195</v>
      </c>
      <c r="AE208" s="162"/>
      <c r="AF208" s="162"/>
      <c r="AG208" s="162"/>
      <c r="AH208" s="163"/>
      <c r="AI208" s="163"/>
      <c r="AJ208" s="162"/>
      <c r="AK208" s="169"/>
      <c r="AL208" s="324"/>
      <c r="AM208" s="170"/>
      <c r="AN208" s="169"/>
      <c r="AO208" s="323"/>
      <c r="AP208" s="170"/>
      <c r="AQ208" s="162"/>
      <c r="AR208" s="162"/>
      <c r="AS208" s="162"/>
      <c r="AT208" s="169"/>
      <c r="AU208" s="323"/>
      <c r="AV208" s="170"/>
      <c r="AW208" s="169"/>
      <c r="BC208" s="201"/>
      <c r="BD208" s="332"/>
      <c r="BE208" s="203"/>
      <c r="BF208" s="203"/>
      <c r="BG208" s="203"/>
      <c r="BH208" s="196"/>
      <c r="BI208" s="196"/>
      <c r="BJ208" s="196"/>
      <c r="BK208" s="234"/>
      <c r="BL208" s="234"/>
    </row>
    <row r="209" spans="1:54" ht="14.25" customHeight="1">
      <c r="A209" s="393" t="s">
        <v>0</v>
      </c>
      <c r="B209" s="394"/>
      <c r="C209" s="395"/>
      <c r="D209" s="412" t="str">
        <f>$D$1</f>
        <v xml:space="preserve">Megaspine </v>
      </c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3"/>
      <c r="P209" s="413"/>
      <c r="Q209" s="414"/>
      <c r="R209" s="389" t="s">
        <v>2</v>
      </c>
      <c r="S209" s="389"/>
      <c r="T209" s="389"/>
      <c r="U209" s="390">
        <f>$U$1</f>
        <v>0</v>
      </c>
      <c r="V209" s="391"/>
      <c r="W209" s="391"/>
      <c r="X209" s="392"/>
      <c r="Y209" s="380"/>
      <c r="Z209" s="381"/>
      <c r="AA209" s="382"/>
      <c r="AC209" s="162"/>
      <c r="AD209" s="162"/>
      <c r="AE209" s="162"/>
      <c r="AF209" s="162"/>
      <c r="AG209" s="162"/>
      <c r="AH209" s="163"/>
      <c r="AI209" s="163"/>
      <c r="AJ209" s="162"/>
      <c r="AK209" s="169"/>
      <c r="AL209" s="324"/>
      <c r="AM209" s="170"/>
      <c r="AN209" s="169"/>
      <c r="AO209" s="325"/>
      <c r="AP209" s="326"/>
      <c r="AQ209" s="162"/>
      <c r="AR209" s="326"/>
      <c r="AS209" s="326"/>
      <c r="AT209" s="326"/>
      <c r="AU209" s="323"/>
      <c r="AV209" s="170"/>
      <c r="AW209" s="169"/>
      <c r="AX209" s="323"/>
      <c r="AY209" s="170"/>
      <c r="AZ209" s="169"/>
      <c r="BA209" s="323"/>
      <c r="BB209" s="170"/>
    </row>
    <row r="210" spans="1:54" ht="14.25" customHeight="1">
      <c r="A210" s="399"/>
      <c r="B210" s="400"/>
      <c r="C210" s="401"/>
      <c r="D210" s="415"/>
      <c r="E210" s="416"/>
      <c r="F210" s="416"/>
      <c r="G210" s="416"/>
      <c r="H210" s="416"/>
      <c r="I210" s="416"/>
      <c r="J210" s="416"/>
      <c r="K210" s="416"/>
      <c r="L210" s="416"/>
      <c r="M210" s="416"/>
      <c r="N210" s="416"/>
      <c r="O210" s="416"/>
      <c r="P210" s="416"/>
      <c r="Q210" s="417"/>
      <c r="R210" s="389" t="s">
        <v>3</v>
      </c>
      <c r="S210" s="389"/>
      <c r="T210" s="389"/>
      <c r="U210" s="390" t="str">
        <f>$U$2</f>
        <v>PSM</v>
      </c>
      <c r="V210" s="391"/>
      <c r="W210" s="391"/>
      <c r="X210" s="392"/>
      <c r="Y210" s="383"/>
      <c r="Z210" s="384"/>
      <c r="AA210" s="385"/>
      <c r="AC210" s="162"/>
      <c r="AD210" s="162"/>
      <c r="AE210" s="162"/>
      <c r="AF210" s="162"/>
      <c r="AG210" s="162"/>
      <c r="AH210" s="163"/>
      <c r="AI210" s="163"/>
      <c r="AJ210" s="162"/>
      <c r="AK210" s="169"/>
      <c r="AL210" s="324"/>
      <c r="AM210" s="170"/>
      <c r="AN210" s="169"/>
      <c r="AO210" s="325"/>
      <c r="AP210" s="326"/>
      <c r="AQ210" s="162"/>
      <c r="AR210" s="326"/>
      <c r="AS210" s="326"/>
      <c r="AT210" s="326"/>
      <c r="AU210" s="323"/>
      <c r="AV210" s="170"/>
      <c r="AW210" s="169"/>
      <c r="AX210" s="323"/>
      <c r="AY210" s="170"/>
      <c r="AZ210" s="169"/>
      <c r="BA210" s="323"/>
      <c r="BB210" s="170"/>
    </row>
    <row r="211" spans="1:54" ht="14.25" customHeight="1">
      <c r="A211" s="393" t="s">
        <v>5</v>
      </c>
      <c r="B211" s="394"/>
      <c r="C211" s="395"/>
      <c r="D211" s="380" t="str">
        <f>$D$3</f>
        <v>North of ATB (CST) - Section Test</v>
      </c>
      <c r="E211" s="381"/>
      <c r="F211" s="381"/>
      <c r="G211" s="381"/>
      <c r="H211" s="381"/>
      <c r="I211" s="381"/>
      <c r="J211" s="381"/>
      <c r="K211" s="381"/>
      <c r="L211" s="381"/>
      <c r="M211" s="381"/>
      <c r="N211" s="381"/>
      <c r="O211" s="381"/>
      <c r="P211" s="381"/>
      <c r="Q211" s="382"/>
      <c r="R211" s="389" t="s">
        <v>6</v>
      </c>
      <c r="S211" s="389"/>
      <c r="T211" s="389"/>
      <c r="U211" s="390" t="s">
        <v>7</v>
      </c>
      <c r="V211" s="391"/>
      <c r="W211" s="391"/>
      <c r="X211" s="392"/>
      <c r="Y211" s="383"/>
      <c r="Z211" s="384"/>
      <c r="AA211" s="385"/>
      <c r="AC211" s="162"/>
      <c r="AD211" s="162"/>
      <c r="AE211" s="162"/>
      <c r="AF211" s="162"/>
      <c r="AG211" s="162"/>
      <c r="AH211" s="163"/>
      <c r="AI211" s="163"/>
      <c r="AJ211" s="162"/>
      <c r="AK211" s="169"/>
      <c r="AL211" s="324"/>
      <c r="AM211" s="170"/>
      <c r="AN211" s="169"/>
      <c r="AO211" s="325"/>
      <c r="AP211" s="326"/>
      <c r="AQ211" s="162"/>
      <c r="AR211" s="326"/>
      <c r="AS211" s="326"/>
      <c r="AT211" s="326"/>
      <c r="AU211" s="323"/>
      <c r="AV211" s="170"/>
      <c r="AW211" s="169"/>
      <c r="AX211" s="323"/>
      <c r="AY211" s="170"/>
      <c r="AZ211" s="169"/>
      <c r="BA211" s="323"/>
      <c r="BB211" s="170"/>
    </row>
    <row r="212" spans="1:54" ht="14.25" customHeight="1">
      <c r="A212" s="396"/>
      <c r="B212" s="397"/>
      <c r="C212" s="398"/>
      <c r="D212" s="489" t="str">
        <f>$D$4</f>
        <v xml:space="preserve">Load Calculation </v>
      </c>
      <c r="E212" s="490"/>
      <c r="F212" s="490"/>
      <c r="G212" s="490"/>
      <c r="H212" s="490"/>
      <c r="I212" s="490"/>
      <c r="J212" s="490"/>
      <c r="K212" s="490"/>
      <c r="L212" s="490"/>
      <c r="M212" s="490"/>
      <c r="N212" s="490"/>
      <c r="O212" s="490"/>
      <c r="P212" s="490"/>
      <c r="Q212" s="491"/>
      <c r="R212" s="389" t="s">
        <v>9</v>
      </c>
      <c r="S212" s="389"/>
      <c r="T212" s="389"/>
      <c r="U212" s="390" t="str">
        <f>$U$4</f>
        <v>MYPQ</v>
      </c>
      <c r="V212" s="391"/>
      <c r="W212" s="391"/>
      <c r="X212" s="392"/>
      <c r="Y212" s="386"/>
      <c r="Z212" s="387"/>
      <c r="AA212" s="388"/>
      <c r="AC212" s="162"/>
      <c r="AD212" s="162"/>
      <c r="AE212" s="162"/>
      <c r="AF212" s="162"/>
      <c r="AG212" s="162"/>
      <c r="AH212" s="163"/>
      <c r="AI212" s="163"/>
      <c r="AJ212" s="162"/>
      <c r="AK212" s="169"/>
      <c r="AL212" s="324"/>
      <c r="AM212" s="170"/>
      <c r="AN212" s="169"/>
      <c r="AO212" s="325"/>
      <c r="AP212" s="326"/>
      <c r="AQ212" s="162"/>
      <c r="AR212" s="326"/>
      <c r="AS212" s="326"/>
      <c r="AT212" s="326"/>
      <c r="AU212" s="323"/>
      <c r="AV212" s="170"/>
      <c r="AW212" s="169"/>
      <c r="AX212" s="323"/>
      <c r="AY212" s="170"/>
      <c r="AZ212" s="169"/>
      <c r="BA212" s="323"/>
      <c r="BB212" s="170"/>
    </row>
    <row r="213" spans="1:54" ht="14.25" customHeight="1">
      <c r="A213" s="399"/>
      <c r="B213" s="400"/>
      <c r="C213" s="401"/>
      <c r="D213" s="415"/>
      <c r="E213" s="416"/>
      <c r="F213" s="416"/>
      <c r="G213" s="416"/>
      <c r="H213" s="416"/>
      <c r="I213" s="416"/>
      <c r="J213" s="416"/>
      <c r="K213" s="416"/>
      <c r="L213" s="416"/>
      <c r="M213" s="416"/>
      <c r="N213" s="416"/>
      <c r="O213" s="416"/>
      <c r="P213" s="416"/>
      <c r="Q213" s="417"/>
      <c r="R213" s="389" t="s">
        <v>11</v>
      </c>
      <c r="S213" s="389"/>
      <c r="T213" s="389"/>
      <c r="U213" s="411">
        <f ca="1">$U$5</f>
        <v>45183</v>
      </c>
      <c r="V213" s="492"/>
      <c r="W213" s="492"/>
      <c r="X213" s="493"/>
      <c r="Y213" s="418" t="s">
        <v>12</v>
      </c>
      <c r="Z213" s="419"/>
      <c r="AA213" s="161" t="str">
        <f>5&amp;"/"&amp;AB5</f>
        <v>5/14</v>
      </c>
      <c r="AC213" s="162"/>
      <c r="AD213" s="162"/>
      <c r="AE213" s="162"/>
      <c r="AF213" s="162"/>
      <c r="AG213" s="162"/>
      <c r="AH213" s="163"/>
      <c r="AI213" s="163"/>
      <c r="AJ213" s="162"/>
      <c r="AK213" s="169"/>
      <c r="AL213" s="324"/>
      <c r="AM213" s="170"/>
      <c r="AN213" s="169"/>
      <c r="AO213" s="323"/>
      <c r="AP213" s="170"/>
      <c r="AQ213" s="162"/>
      <c r="AR213" s="162"/>
      <c r="AS213" s="162"/>
      <c r="AT213" s="169"/>
      <c r="AU213" s="323"/>
      <c r="AV213" s="170"/>
      <c r="AW213" s="169"/>
      <c r="AX213" s="323"/>
      <c r="AY213" s="170"/>
      <c r="AZ213" s="169"/>
      <c r="BA213" s="323"/>
      <c r="BB213" s="170"/>
    </row>
    <row r="214" spans="1:54" ht="14.25" customHeight="1">
      <c r="A214" s="162"/>
      <c r="B214" s="162"/>
      <c r="C214" s="162"/>
      <c r="D214" s="162"/>
      <c r="E214" s="162"/>
      <c r="F214" s="163"/>
      <c r="G214" s="163"/>
      <c r="H214" s="163"/>
      <c r="I214" s="163"/>
      <c r="J214" s="163"/>
      <c r="K214" s="163"/>
      <c r="L214" s="163"/>
      <c r="M214" s="163"/>
      <c r="N214" s="162"/>
      <c r="O214" s="162"/>
      <c r="P214" s="162"/>
      <c r="Q214" s="271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  <c r="AC214" s="162"/>
      <c r="AD214" s="162"/>
      <c r="AE214" s="162"/>
      <c r="AF214" s="162"/>
      <c r="AG214" s="162"/>
      <c r="AH214" s="163"/>
      <c r="AI214" s="163"/>
      <c r="AJ214" s="162"/>
      <c r="AK214" s="169"/>
      <c r="AL214" s="324"/>
      <c r="AM214" s="170"/>
      <c r="AN214" s="169"/>
      <c r="AO214" s="327" t="s">
        <v>184</v>
      </c>
      <c r="AP214" s="328"/>
      <c r="AQ214" s="162"/>
      <c r="AR214" s="251"/>
      <c r="AS214" s="162" t="s">
        <v>104</v>
      </c>
      <c r="AT214" s="497">
        <f>AK132</f>
        <v>133.5</v>
      </c>
      <c r="AU214" s="501"/>
      <c r="AV214" s="502"/>
      <c r="AW214" s="169" t="s">
        <v>120</v>
      </c>
      <c r="AX214" s="323"/>
      <c r="AY214" s="170"/>
      <c r="AZ214" s="169"/>
      <c r="BA214" s="323"/>
      <c r="BB214" s="170"/>
    </row>
    <row r="215" spans="1:54" ht="14.25" customHeight="1">
      <c r="A215" s="162"/>
      <c r="B215" s="215"/>
      <c r="C215" s="215"/>
      <c r="D215" s="215"/>
      <c r="E215" s="215"/>
      <c r="F215" s="216"/>
      <c r="G215" s="216"/>
      <c r="H215" s="216"/>
      <c r="I215" s="163"/>
      <c r="J215" s="163"/>
      <c r="K215" s="163"/>
      <c r="L215" s="163"/>
      <c r="M215" s="163"/>
      <c r="N215" s="162"/>
      <c r="O215" s="162"/>
      <c r="P215" s="162"/>
      <c r="Q215" s="271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C215" s="162"/>
      <c r="AD215" s="162"/>
      <c r="AE215" s="162"/>
      <c r="AF215" s="162"/>
      <c r="AG215" s="162"/>
      <c r="AH215" s="163"/>
      <c r="AI215" s="163"/>
      <c r="AJ215" s="162"/>
      <c r="AK215" s="169"/>
      <c r="AL215" s="324"/>
      <c r="AM215" s="170"/>
      <c r="AN215" s="169"/>
      <c r="AO215" s="327" t="s">
        <v>186</v>
      </c>
      <c r="AP215" s="328"/>
      <c r="AQ215" s="162"/>
      <c r="AR215" s="251"/>
      <c r="AS215" s="162" t="s">
        <v>104</v>
      </c>
      <c r="AT215" s="497">
        <f>AK135</f>
        <v>178.5</v>
      </c>
      <c r="AU215" s="501"/>
      <c r="AV215" s="502"/>
      <c r="AW215" s="169" t="s">
        <v>120</v>
      </c>
      <c r="AX215" s="323"/>
      <c r="AY215" s="170"/>
      <c r="AZ215" s="169"/>
      <c r="BA215" s="323"/>
      <c r="BB215" s="170"/>
    </row>
    <row r="216" spans="1:54" ht="14.25" customHeight="1">
      <c r="A216" s="162"/>
      <c r="B216" s="169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34"/>
      <c r="P216" s="334"/>
      <c r="Q216" s="334"/>
      <c r="R216" s="334"/>
      <c r="S216" s="334"/>
      <c r="T216" s="334"/>
      <c r="U216" s="334"/>
      <c r="V216" s="170"/>
      <c r="W216" s="162"/>
      <c r="X216" s="162"/>
      <c r="Y216" s="162"/>
      <c r="Z216" s="162"/>
      <c r="AA216" s="162"/>
      <c r="AC216" s="162"/>
      <c r="AD216" s="162"/>
      <c r="AE216" s="162"/>
      <c r="AF216" s="162"/>
      <c r="AG216" s="162"/>
      <c r="AH216" s="163"/>
      <c r="AI216" s="163"/>
      <c r="AJ216" s="162"/>
      <c r="AK216" s="169"/>
      <c r="AL216" s="324"/>
      <c r="AM216" s="170"/>
      <c r="AN216" s="169"/>
      <c r="AO216" s="323"/>
      <c r="AP216" s="170"/>
      <c r="AQ216" s="162"/>
      <c r="AR216" s="162"/>
      <c r="AS216" s="162"/>
      <c r="AT216" s="169"/>
      <c r="AU216" s="323"/>
      <c r="AV216" s="170"/>
      <c r="AW216" s="169"/>
      <c r="AX216" s="323"/>
      <c r="AY216" s="170"/>
      <c r="AZ216" s="169"/>
      <c r="BA216" s="323"/>
      <c r="BB216" s="170"/>
    </row>
    <row r="217" spans="1:54" ht="14.25" customHeight="1">
      <c r="A217" s="162"/>
      <c r="B217" s="162"/>
      <c r="C217" s="162"/>
      <c r="D217" s="162"/>
      <c r="E217" s="162"/>
      <c r="F217" s="163"/>
      <c r="G217" s="163"/>
      <c r="H217" s="163"/>
      <c r="I217" s="163"/>
      <c r="J217" s="163"/>
      <c r="K217" s="163"/>
      <c r="L217" s="163"/>
      <c r="M217" s="163"/>
      <c r="N217" s="162"/>
      <c r="O217" s="162"/>
      <c r="P217" s="162"/>
      <c r="Q217" s="271"/>
      <c r="R217" s="497"/>
      <c r="S217" s="498"/>
      <c r="T217" s="499"/>
      <c r="U217" s="162"/>
      <c r="V217" s="162"/>
      <c r="W217" s="162"/>
      <c r="X217" s="162"/>
      <c r="Y217" s="162"/>
      <c r="Z217" s="162"/>
      <c r="AA217" s="162"/>
      <c r="AC217" s="162"/>
      <c r="AD217" s="162" t="s">
        <v>188</v>
      </c>
      <c r="AE217" s="162"/>
      <c r="AF217" s="162"/>
      <c r="AG217" s="162"/>
      <c r="AH217" s="163"/>
      <c r="AI217" s="163" t="s">
        <v>90</v>
      </c>
      <c r="AJ217" s="497">
        <f>AK136</f>
        <v>183.5</v>
      </c>
      <c r="AK217" s="498"/>
      <c r="AL217" s="499"/>
      <c r="AM217" s="170" t="s">
        <v>120</v>
      </c>
      <c r="AN217" s="169"/>
      <c r="AO217" s="323"/>
      <c r="AP217" s="170"/>
      <c r="AQ217" s="162"/>
      <c r="AR217" s="162"/>
      <c r="AS217" s="162"/>
      <c r="AT217" s="169"/>
      <c r="AU217" s="323"/>
      <c r="AV217" s="170"/>
      <c r="AW217" s="169"/>
      <c r="AX217" s="323"/>
      <c r="AY217" s="170"/>
      <c r="AZ217" s="169"/>
      <c r="BA217" s="323"/>
      <c r="BB217" s="170"/>
    </row>
    <row r="218" spans="1:54" ht="14.25" customHeight="1">
      <c r="A218" s="162"/>
      <c r="B218" s="162"/>
      <c r="C218" s="162"/>
      <c r="D218" s="162"/>
      <c r="E218" s="162"/>
      <c r="F218" s="163"/>
      <c r="G218" s="163"/>
      <c r="H218" s="163"/>
      <c r="I218" s="163"/>
      <c r="J218" s="163"/>
      <c r="K218" s="163"/>
      <c r="L218" s="163"/>
      <c r="M218" s="163"/>
      <c r="N218" s="162"/>
      <c r="O218" s="162"/>
      <c r="P218" s="162"/>
      <c r="Q218" s="271"/>
      <c r="R218" s="497"/>
      <c r="S218" s="498"/>
      <c r="T218" s="499"/>
      <c r="U218" s="162"/>
      <c r="V218" s="162"/>
      <c r="W218" s="162"/>
      <c r="X218" s="162"/>
      <c r="Y218" s="162"/>
      <c r="Z218" s="162"/>
      <c r="AA218" s="162"/>
      <c r="AC218" s="162"/>
      <c r="AD218" s="162"/>
      <c r="AE218" s="162"/>
      <c r="AF218" s="162"/>
      <c r="AG218" s="162"/>
      <c r="AH218" s="163"/>
      <c r="AI218" s="163"/>
      <c r="AJ218" s="162"/>
      <c r="AK218" s="169"/>
      <c r="AL218" s="324"/>
      <c r="AM218" s="170"/>
      <c r="AN218" s="169"/>
      <c r="AO218" s="323"/>
      <c r="AP218" s="170"/>
      <c r="AQ218" s="162"/>
      <c r="AR218" s="162"/>
      <c r="AS218" s="162"/>
      <c r="AT218" s="169"/>
      <c r="AU218" s="323"/>
      <c r="AV218" s="170"/>
      <c r="AW218" s="169"/>
      <c r="AX218" s="323"/>
      <c r="AY218" s="170"/>
      <c r="AZ218" s="169"/>
      <c r="BA218" s="323"/>
      <c r="BB218" s="170"/>
    </row>
    <row r="219" spans="1:54" ht="14.25" customHeight="1">
      <c r="A219" s="162"/>
      <c r="B219" s="169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170"/>
      <c r="W219" s="162"/>
      <c r="X219" s="162"/>
      <c r="Y219" s="162"/>
      <c r="Z219" s="162"/>
      <c r="AA219" s="162"/>
    </row>
    <row r="220" spans="1:54" ht="14.25" customHeight="1">
      <c r="A220" s="162"/>
      <c r="B220" s="169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4"/>
      <c r="P220" s="334"/>
      <c r="Q220" s="334"/>
      <c r="R220" s="334"/>
      <c r="S220" s="334"/>
      <c r="T220" s="334"/>
      <c r="U220" s="334"/>
      <c r="V220" s="170"/>
      <c r="W220" s="162"/>
      <c r="X220" s="162"/>
      <c r="Y220" s="162"/>
      <c r="Z220" s="162"/>
      <c r="AA220" s="162"/>
    </row>
    <row r="221" spans="1:54" ht="14.25" customHeight="1">
      <c r="A221" s="162"/>
      <c r="B221" s="169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170"/>
      <c r="W221" s="162"/>
      <c r="X221" s="162"/>
      <c r="Y221" s="162"/>
      <c r="Z221" s="162"/>
      <c r="AA221" s="162"/>
    </row>
    <row r="222" spans="1:54" ht="14.25" customHeight="1">
      <c r="A222" s="162"/>
      <c r="B222" s="169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170"/>
      <c r="W222" s="162"/>
      <c r="X222" s="162"/>
      <c r="Y222" s="162"/>
      <c r="Z222" s="162"/>
      <c r="AA222" s="162"/>
    </row>
    <row r="223" spans="1:54" ht="14.25" customHeight="1">
      <c r="A223" s="162"/>
      <c r="B223" s="169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170"/>
      <c r="W223" s="162"/>
      <c r="X223" s="162"/>
      <c r="Y223" s="162"/>
      <c r="Z223" s="162"/>
      <c r="AA223" s="162"/>
    </row>
    <row r="224" spans="1:54" ht="14.25" customHeight="1">
      <c r="A224" s="162"/>
      <c r="B224" s="169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170"/>
      <c r="W224" s="162"/>
      <c r="X224" s="162"/>
      <c r="Y224" s="162"/>
      <c r="Z224" s="162"/>
      <c r="AA224" s="162"/>
      <c r="AC224" s="233">
        <v>42</v>
      </c>
      <c r="AD224" s="162" t="s">
        <v>189</v>
      </c>
      <c r="AE224" s="162"/>
      <c r="AF224" s="162"/>
      <c r="AG224" s="162"/>
      <c r="AH224" s="163"/>
      <c r="AI224" s="163"/>
      <c r="AJ224" s="162"/>
      <c r="AK224" s="169"/>
      <c r="AL224" s="324"/>
      <c r="AM224" s="170"/>
      <c r="AN224" s="169"/>
      <c r="AO224" s="323"/>
      <c r="AP224" s="170"/>
      <c r="AQ224" s="162"/>
      <c r="AR224" s="162"/>
      <c r="AS224" s="162"/>
      <c r="AT224" s="169"/>
      <c r="AU224" s="323"/>
      <c r="AV224" s="170"/>
      <c r="AW224" s="169"/>
      <c r="AX224" s="323"/>
      <c r="AY224" s="170"/>
      <c r="AZ224" s="169"/>
      <c r="BA224" s="323"/>
      <c r="BB224" s="170"/>
    </row>
    <row r="225" spans="1:57" ht="14.25" customHeight="1">
      <c r="A225" s="162"/>
      <c r="B225" s="169"/>
      <c r="C225" s="334"/>
      <c r="D225" s="334"/>
      <c r="E225" s="334"/>
      <c r="F225" s="334"/>
      <c r="G225" s="334"/>
      <c r="H225" s="334"/>
      <c r="I225" s="334"/>
      <c r="J225" s="334"/>
      <c r="K225" s="334"/>
      <c r="L225" s="334"/>
      <c r="M225" s="334"/>
      <c r="N225" s="334"/>
      <c r="O225" s="334"/>
      <c r="P225" s="334"/>
      <c r="Q225" s="334"/>
      <c r="R225" s="334"/>
      <c r="S225" s="334"/>
      <c r="T225" s="334"/>
      <c r="U225" s="334"/>
      <c r="V225" s="170"/>
      <c r="W225" s="162"/>
      <c r="X225" s="162"/>
      <c r="Y225" s="162"/>
      <c r="Z225" s="162"/>
      <c r="AA225" s="162"/>
      <c r="AC225" s="162"/>
      <c r="AD225" s="162" t="s">
        <v>190</v>
      </c>
      <c r="AE225" s="162"/>
      <c r="AF225" s="162"/>
      <c r="AG225" s="162"/>
      <c r="AH225" s="163"/>
      <c r="AI225" s="163"/>
      <c r="AJ225" s="162"/>
      <c r="AK225" s="169"/>
      <c r="AL225" s="324"/>
      <c r="AM225" s="170"/>
      <c r="AN225" s="169"/>
      <c r="AO225" s="323"/>
      <c r="AP225" s="170"/>
      <c r="AQ225" s="162"/>
      <c r="AR225" s="162"/>
      <c r="AS225" s="162"/>
      <c r="AT225" s="169"/>
      <c r="AU225" s="323"/>
      <c r="AV225" s="170"/>
      <c r="AW225" s="169"/>
      <c r="AX225" s="323"/>
      <c r="AY225" s="170"/>
      <c r="AZ225" s="169"/>
      <c r="BA225" s="323"/>
      <c r="BB225" s="170"/>
    </row>
    <row r="226" spans="1:57" ht="14.25" customHeight="1">
      <c r="A226" s="162"/>
      <c r="B226" s="215" t="s">
        <v>196</v>
      </c>
      <c r="C226" s="162"/>
      <c r="D226" s="162"/>
      <c r="E226" s="162"/>
      <c r="F226" s="163"/>
      <c r="G226" s="163"/>
      <c r="H226" s="163"/>
      <c r="I226" s="163"/>
      <c r="J226" s="163"/>
      <c r="K226" s="163"/>
      <c r="L226" s="163"/>
      <c r="M226" s="163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  <c r="AC226" s="162"/>
      <c r="AD226" s="162"/>
      <c r="AE226" s="162"/>
      <c r="AF226" s="162"/>
      <c r="AG226" s="162"/>
      <c r="AH226" s="163"/>
      <c r="AI226" s="163"/>
      <c r="AJ226" s="162"/>
      <c r="AK226" s="169"/>
      <c r="AL226" s="324"/>
      <c r="AM226" s="170"/>
      <c r="AN226" s="169"/>
      <c r="AO226" s="323"/>
      <c r="AP226" s="170"/>
      <c r="AQ226" s="162"/>
      <c r="AR226" s="162"/>
      <c r="AS226" s="162"/>
      <c r="AT226" s="169"/>
      <c r="AU226" s="323"/>
      <c r="AV226" s="170"/>
      <c r="AW226" s="169"/>
      <c r="AX226" s="323"/>
      <c r="AY226" s="170"/>
      <c r="AZ226" s="169"/>
      <c r="BA226" s="323"/>
      <c r="BB226" s="170"/>
    </row>
    <row r="227" spans="1:57" ht="14.25" customHeight="1">
      <c r="A227" s="162"/>
      <c r="B227" s="162"/>
      <c r="C227" s="162"/>
      <c r="D227" s="162"/>
      <c r="E227" s="162"/>
      <c r="F227" s="163"/>
      <c r="G227" s="163"/>
      <c r="H227" s="163"/>
      <c r="I227" s="163"/>
      <c r="J227" s="163"/>
      <c r="K227" s="163"/>
      <c r="L227" s="163"/>
      <c r="M227" s="163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  <c r="AC227" s="162"/>
      <c r="AD227" s="329" t="s">
        <v>140</v>
      </c>
      <c r="AE227" s="162"/>
      <c r="AF227" s="162"/>
      <c r="AG227" s="162"/>
      <c r="AH227" s="163"/>
      <c r="AI227" s="163"/>
      <c r="AJ227" s="162"/>
      <c r="AK227" s="169"/>
      <c r="AL227" s="324"/>
      <c r="AM227" s="170"/>
      <c r="AN227" s="169"/>
      <c r="AO227" s="323"/>
      <c r="AP227" s="170"/>
      <c r="AQ227" s="162"/>
      <c r="AR227" s="162"/>
      <c r="AS227" s="162"/>
      <c r="AT227" s="169"/>
      <c r="AU227" s="323"/>
      <c r="AV227" s="170"/>
      <c r="AW227" s="169"/>
      <c r="AX227" s="323"/>
      <c r="AY227" s="170"/>
      <c r="AZ227" s="169"/>
      <c r="BA227" s="323"/>
      <c r="BB227" s="170"/>
    </row>
    <row r="228" spans="1:57" ht="14.25" customHeight="1">
      <c r="A228" s="162"/>
      <c r="B228" s="162" t="s">
        <v>192</v>
      </c>
      <c r="C228" s="162"/>
      <c r="D228" s="162"/>
      <c r="E228" s="162"/>
      <c r="F228" s="163"/>
      <c r="G228" s="163"/>
      <c r="H228" s="163"/>
      <c r="I228" s="163"/>
      <c r="J228" s="163"/>
      <c r="K228" s="163"/>
      <c r="L228" s="163"/>
      <c r="M228" s="163"/>
      <c r="N228" s="162"/>
      <c r="O228" s="162"/>
      <c r="P228" s="162"/>
      <c r="Q228" s="162" t="s">
        <v>104</v>
      </c>
      <c r="R228" s="497">
        <f>IF(AS$78&gt;AS$103,AS$78,AS$103)</f>
        <v>86.55</v>
      </c>
      <c r="S228" s="498"/>
      <c r="T228" s="499"/>
      <c r="U228" s="162" t="s">
        <v>120</v>
      </c>
      <c r="V228" s="162"/>
      <c r="W228" s="162"/>
      <c r="X228" s="162"/>
      <c r="Y228" s="162"/>
      <c r="Z228" s="162"/>
      <c r="AA228" s="162"/>
      <c r="AC228" s="162"/>
      <c r="AD228" s="162"/>
      <c r="AE228" s="162"/>
      <c r="AF228" s="162"/>
      <c r="AG228" s="162"/>
      <c r="AH228" s="163"/>
      <c r="AI228" s="163"/>
      <c r="AJ228" s="162"/>
      <c r="AK228" s="169"/>
      <c r="AL228" s="324"/>
      <c r="AM228" s="170"/>
      <c r="AN228" s="169"/>
      <c r="AO228" s="327" t="s">
        <v>184</v>
      </c>
      <c r="AP228" s="328"/>
      <c r="AQ228" s="162"/>
      <c r="AR228" s="251"/>
      <c r="AS228" s="162" t="s">
        <v>104</v>
      </c>
      <c r="AT228" s="497">
        <f>AY132</f>
        <v>108.5</v>
      </c>
      <c r="AU228" s="501"/>
      <c r="AV228" s="502"/>
      <c r="AW228" s="169" t="s">
        <v>120</v>
      </c>
      <c r="AX228" s="323"/>
      <c r="AY228" s="170"/>
      <c r="AZ228" s="169"/>
      <c r="BA228" s="323"/>
      <c r="BB228" s="170"/>
    </row>
    <row r="229" spans="1:57" ht="14.25" customHeight="1">
      <c r="A229" s="162"/>
      <c r="B229" s="162"/>
      <c r="C229" s="162"/>
      <c r="D229" s="162"/>
      <c r="E229" s="162"/>
      <c r="F229" s="163"/>
      <c r="G229" s="163"/>
      <c r="H229" s="163"/>
      <c r="I229" s="163"/>
      <c r="J229" s="163"/>
      <c r="K229" s="163"/>
      <c r="L229" s="163"/>
      <c r="M229" s="163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2"/>
      <c r="AF229" s="162"/>
      <c r="AG229" s="162"/>
      <c r="AH229" s="163"/>
      <c r="AI229" s="163"/>
      <c r="AJ229" s="162"/>
      <c r="AK229" s="169"/>
      <c r="AL229" s="324"/>
      <c r="AM229" s="170"/>
      <c r="AN229" s="169"/>
      <c r="AO229" s="323"/>
      <c r="AP229" s="170"/>
      <c r="AQ229" s="162"/>
      <c r="AR229" s="162"/>
      <c r="AS229" s="162"/>
      <c r="AT229" s="169"/>
      <c r="AU229" s="327" t="s">
        <v>186</v>
      </c>
      <c r="AV229" s="170" t="s">
        <v>104</v>
      </c>
      <c r="AW229" s="497">
        <f>AY135</f>
        <v>153.5</v>
      </c>
      <c r="AX229" s="498"/>
      <c r="AY229" s="499"/>
      <c r="AZ229" s="169" t="s">
        <v>120</v>
      </c>
      <c r="BA229" s="323"/>
      <c r="BB229" s="170"/>
      <c r="BC229" s="162"/>
      <c r="BD229" s="162"/>
      <c r="BE229" s="162"/>
    </row>
    <row r="230" spans="1:57" ht="14.25" customHeight="1">
      <c r="A230" s="178"/>
      <c r="B230" s="162"/>
      <c r="C230" s="162"/>
      <c r="D230" s="162"/>
      <c r="E230" s="162"/>
      <c r="F230" s="163"/>
      <c r="G230" s="163"/>
      <c r="H230" s="163"/>
      <c r="I230" s="163"/>
      <c r="J230" s="163"/>
      <c r="K230" s="163"/>
      <c r="L230" s="163"/>
      <c r="M230" s="163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C230" s="162"/>
      <c r="AD230" s="162"/>
      <c r="AE230" s="162"/>
      <c r="AF230" s="162"/>
      <c r="AG230" s="162"/>
      <c r="AH230" s="163"/>
      <c r="AI230" s="163"/>
      <c r="AJ230" s="162"/>
      <c r="AK230" s="169"/>
      <c r="AL230" s="324"/>
      <c r="AM230" s="170"/>
      <c r="AN230" s="169"/>
      <c r="AO230" s="323"/>
      <c r="AP230" s="170"/>
      <c r="AQ230" s="162"/>
      <c r="AR230" s="162"/>
      <c r="AS230" s="162"/>
      <c r="AT230" s="169"/>
      <c r="AU230" s="323"/>
      <c r="AV230" s="170"/>
      <c r="AW230" s="169"/>
      <c r="AX230" s="323"/>
      <c r="AY230" s="170"/>
      <c r="AZ230" s="169"/>
      <c r="BA230" s="323"/>
      <c r="BB230" s="170"/>
    </row>
    <row r="231" spans="1:57" ht="14.25" customHeight="1">
      <c r="A231" s="233"/>
      <c r="B231" s="162"/>
      <c r="C231" s="162"/>
      <c r="D231" s="162"/>
      <c r="E231" s="162"/>
      <c r="F231" s="163"/>
      <c r="G231" s="163"/>
      <c r="H231" s="163"/>
      <c r="I231" s="163"/>
      <c r="J231" s="163"/>
      <c r="K231" s="163"/>
      <c r="L231" s="163"/>
      <c r="M231" s="163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C231" s="162"/>
      <c r="AD231" s="329" t="s">
        <v>146</v>
      </c>
      <c r="AE231" s="162"/>
      <c r="AF231" s="162"/>
      <c r="AG231" s="162"/>
      <c r="AH231" s="163"/>
      <c r="AI231" s="163"/>
      <c r="AJ231" s="162"/>
      <c r="AK231" s="169"/>
      <c r="AL231" s="324"/>
      <c r="AM231" s="170"/>
      <c r="AN231" s="169"/>
      <c r="AO231" s="323"/>
      <c r="AP231" s="170"/>
      <c r="AQ231" s="162"/>
      <c r="AR231" s="162"/>
      <c r="AS231" s="162"/>
      <c r="AT231" s="169"/>
      <c r="AU231" s="323"/>
      <c r="AV231" s="170"/>
      <c r="AW231" s="169"/>
      <c r="AX231" s="323"/>
      <c r="AY231" s="170"/>
      <c r="AZ231" s="169"/>
      <c r="BA231" s="323"/>
      <c r="BB231" s="170"/>
    </row>
    <row r="232" spans="1:57" ht="14.25" customHeight="1">
      <c r="A232" s="162"/>
      <c r="B232" s="162"/>
      <c r="C232" s="162"/>
      <c r="D232" s="162"/>
      <c r="E232" s="162"/>
      <c r="F232" s="163"/>
      <c r="G232" s="163"/>
      <c r="H232" s="163"/>
      <c r="I232" s="163"/>
      <c r="J232" s="163"/>
      <c r="K232" s="163"/>
      <c r="L232" s="163"/>
      <c r="M232" s="163"/>
      <c r="N232" s="162"/>
      <c r="O232" s="162"/>
      <c r="P232" s="162"/>
      <c r="Q232" s="162"/>
      <c r="R232" s="162"/>
      <c r="S232" s="162"/>
      <c r="T232" s="162"/>
      <c r="U232" s="162"/>
      <c r="V232" s="162"/>
      <c r="W232" s="215"/>
      <c r="X232" s="162"/>
      <c r="Y232" s="162"/>
      <c r="Z232" s="162"/>
      <c r="AA232" s="162"/>
      <c r="AC232" s="162"/>
      <c r="AD232" s="162"/>
      <c r="AE232" s="162"/>
      <c r="AF232" s="162"/>
      <c r="AG232" s="162"/>
      <c r="AH232" s="163"/>
      <c r="AI232" s="163"/>
      <c r="AJ232" s="162"/>
      <c r="AK232" s="169"/>
      <c r="AL232" s="324"/>
      <c r="AM232" s="170"/>
      <c r="AN232" s="169"/>
      <c r="AO232" s="327" t="s">
        <v>184</v>
      </c>
      <c r="AP232" s="328"/>
      <c r="AQ232" s="162"/>
      <c r="AR232" s="251"/>
      <c r="AS232" s="162" t="s">
        <v>104</v>
      </c>
      <c r="AT232" s="497">
        <f>AW132</f>
        <v>78.5</v>
      </c>
      <c r="AU232" s="498"/>
      <c r="AV232" s="499"/>
      <c r="AW232" s="169" t="s">
        <v>120</v>
      </c>
      <c r="AX232" s="323"/>
      <c r="AY232" s="170"/>
      <c r="AZ232" s="169"/>
      <c r="BA232" s="323"/>
      <c r="BB232" s="170"/>
    </row>
    <row r="233" spans="1:57" ht="14.25" customHeight="1">
      <c r="A233" s="162"/>
      <c r="B233" s="162"/>
      <c r="C233" s="162"/>
      <c r="D233" s="162"/>
      <c r="E233" s="162"/>
      <c r="F233" s="163"/>
      <c r="G233" s="163"/>
      <c r="H233" s="163"/>
      <c r="I233" s="163"/>
      <c r="J233" s="163"/>
      <c r="K233" s="163"/>
      <c r="L233" s="163"/>
      <c r="M233" s="163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C233" s="162"/>
      <c r="AD233" s="162"/>
      <c r="AE233" s="162"/>
      <c r="AF233" s="162"/>
      <c r="AG233" s="162"/>
      <c r="AH233" s="163"/>
      <c r="AI233" s="163"/>
      <c r="AJ233" s="162"/>
      <c r="AK233" s="169"/>
      <c r="AL233" s="324"/>
      <c r="AM233" s="170"/>
      <c r="AN233" s="169"/>
      <c r="AO233" s="327" t="s">
        <v>186</v>
      </c>
      <c r="AP233" s="328"/>
      <c r="AQ233" s="162"/>
      <c r="AR233" s="251"/>
      <c r="AS233" s="162" t="s">
        <v>104</v>
      </c>
      <c r="AT233" s="497">
        <f>AW135</f>
        <v>123.5</v>
      </c>
      <c r="AU233" s="498"/>
      <c r="AV233" s="499"/>
      <c r="AW233" s="169" t="s">
        <v>120</v>
      </c>
      <c r="AX233" s="323"/>
      <c r="AY233" s="170"/>
      <c r="AZ233" s="169"/>
      <c r="BA233" s="323"/>
      <c r="BB233" s="170"/>
    </row>
    <row r="234" spans="1:57" ht="14.25" customHeight="1">
      <c r="A234" s="162"/>
      <c r="B234" s="162"/>
      <c r="C234" s="162"/>
      <c r="D234" s="162"/>
      <c r="E234" s="162"/>
      <c r="F234" s="163"/>
      <c r="G234" s="163"/>
      <c r="H234" s="163"/>
      <c r="I234" s="163"/>
      <c r="J234" s="163"/>
      <c r="K234" s="163"/>
      <c r="L234" s="163"/>
      <c r="M234" s="163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  <c r="AC234" s="162"/>
      <c r="AD234" s="162"/>
      <c r="AE234" s="162"/>
      <c r="AF234" s="162"/>
      <c r="AG234" s="162"/>
      <c r="AH234" s="163"/>
      <c r="AI234" s="163"/>
      <c r="AJ234" s="162"/>
      <c r="AK234" s="169"/>
      <c r="AL234" s="324"/>
      <c r="AM234" s="170"/>
      <c r="AN234" s="169"/>
      <c r="AO234" s="323"/>
      <c r="AP234" s="170"/>
      <c r="AQ234" s="162"/>
      <c r="AR234" s="162"/>
      <c r="AS234" s="162"/>
      <c r="AT234" s="169"/>
      <c r="AU234" s="323"/>
      <c r="AV234" s="170"/>
      <c r="AW234" s="169"/>
      <c r="AX234" s="323"/>
      <c r="AY234" s="170"/>
      <c r="AZ234" s="169"/>
      <c r="BA234" s="323"/>
      <c r="BB234" s="170"/>
    </row>
    <row r="235" spans="1:57" ht="14.25" customHeight="1">
      <c r="A235" s="162"/>
      <c r="B235" s="162"/>
      <c r="C235" s="162"/>
      <c r="D235" s="162"/>
      <c r="E235" s="162"/>
      <c r="F235" s="163"/>
      <c r="G235" s="163"/>
      <c r="H235" s="163"/>
      <c r="I235" s="163"/>
      <c r="J235" s="163"/>
      <c r="K235" s="163"/>
      <c r="L235" s="163"/>
      <c r="M235" s="163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</row>
    <row r="236" spans="1:57" ht="14.25" customHeight="1">
      <c r="A236" s="162"/>
      <c r="B236" s="162"/>
      <c r="C236" s="162"/>
      <c r="D236" s="162"/>
      <c r="E236" s="162"/>
      <c r="F236" s="163"/>
      <c r="G236" s="163"/>
      <c r="H236" s="163"/>
      <c r="I236" s="163"/>
      <c r="J236" s="163"/>
      <c r="K236" s="163"/>
      <c r="L236" s="163"/>
      <c r="M236" s="163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215"/>
      <c r="Y236" s="215"/>
      <c r="Z236" s="215"/>
      <c r="AA236" s="162"/>
    </row>
    <row r="237" spans="1:57" ht="14.25" customHeight="1">
      <c r="A237" s="162"/>
      <c r="B237" s="162"/>
      <c r="C237" s="162"/>
      <c r="D237" s="162"/>
      <c r="E237" s="162"/>
      <c r="F237" s="163"/>
      <c r="G237" s="163"/>
      <c r="H237" s="163"/>
      <c r="I237" s="163"/>
      <c r="J237" s="163"/>
      <c r="K237" s="163"/>
      <c r="L237" s="163"/>
      <c r="M237" s="163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</row>
    <row r="238" spans="1:57" ht="14.25" customHeight="1">
      <c r="A238" s="162"/>
      <c r="B238" s="162"/>
      <c r="C238" s="162"/>
      <c r="D238" s="162"/>
      <c r="E238" s="162"/>
      <c r="F238" s="163"/>
      <c r="G238" s="163"/>
      <c r="H238" s="163"/>
      <c r="I238" s="163"/>
      <c r="J238" s="163"/>
      <c r="K238" s="163"/>
      <c r="L238" s="163"/>
      <c r="M238" s="330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</row>
    <row r="239" spans="1:57" ht="14.25" customHeight="1">
      <c r="A239" s="162"/>
      <c r="B239" s="162"/>
      <c r="C239" s="162"/>
      <c r="D239" s="162"/>
      <c r="E239" s="162"/>
      <c r="F239" s="163"/>
      <c r="G239" s="163"/>
      <c r="H239" s="163"/>
      <c r="I239" s="163"/>
      <c r="J239" s="163"/>
      <c r="K239" s="163"/>
      <c r="L239" s="163"/>
      <c r="M239" s="163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H239" s="15"/>
      <c r="AI239" s="15"/>
    </row>
    <row r="240" spans="1:57" ht="14.25" customHeight="1">
      <c r="A240" s="162"/>
      <c r="B240" s="215" t="s">
        <v>457</v>
      </c>
      <c r="C240" s="162"/>
      <c r="D240" s="162"/>
      <c r="E240" s="162"/>
      <c r="F240" s="163"/>
      <c r="G240" s="163"/>
      <c r="H240" s="163"/>
      <c r="I240" s="163"/>
      <c r="J240" s="163"/>
      <c r="K240" s="163"/>
      <c r="L240" s="163"/>
      <c r="M240" s="163"/>
      <c r="N240" s="162"/>
      <c r="O240" s="162"/>
      <c r="P240" s="162"/>
      <c r="Q240" s="162"/>
      <c r="R240" s="162"/>
      <c r="S240" s="162"/>
      <c r="T240" s="162"/>
      <c r="U240" s="162"/>
      <c r="V240" s="162"/>
      <c r="X240" s="162"/>
      <c r="Y240" s="162"/>
      <c r="Z240" s="162"/>
      <c r="AA240" s="215"/>
      <c r="AH240" s="15"/>
      <c r="AI240" s="15"/>
    </row>
    <row r="241" spans="1:64" ht="14.25" customHeight="1">
      <c r="A241" s="233"/>
      <c r="B241" s="162"/>
      <c r="C241" s="162"/>
      <c r="D241" s="162"/>
      <c r="E241" s="162"/>
      <c r="F241" s="163"/>
      <c r="G241" s="163"/>
      <c r="H241" s="163"/>
      <c r="I241" s="163"/>
      <c r="J241" s="163"/>
      <c r="K241" s="163"/>
      <c r="L241" s="163"/>
      <c r="M241" s="163"/>
      <c r="N241" s="162"/>
      <c r="O241" s="162"/>
      <c r="P241" s="162"/>
      <c r="Q241" s="162"/>
      <c r="R241" s="162"/>
      <c r="S241" s="162"/>
      <c r="T241" s="162"/>
      <c r="U241" s="162"/>
      <c r="V241" s="162"/>
      <c r="X241" s="162"/>
      <c r="Y241" s="162"/>
      <c r="Z241" s="162"/>
      <c r="AA241" s="162"/>
      <c r="AH241" s="15"/>
      <c r="AI241" s="15"/>
    </row>
    <row r="242" spans="1:64" ht="14.25" customHeight="1">
      <c r="A242" s="162"/>
      <c r="B242" s="162" t="s">
        <v>192</v>
      </c>
      <c r="C242" s="162"/>
      <c r="D242" s="162"/>
      <c r="E242" s="162"/>
      <c r="F242" s="163"/>
      <c r="G242" s="163"/>
      <c r="H242" s="163"/>
      <c r="I242" s="163"/>
      <c r="J242" s="163"/>
      <c r="K242" s="163"/>
      <c r="L242" s="163"/>
      <c r="M242" s="163"/>
      <c r="N242" s="162"/>
      <c r="O242" s="162"/>
      <c r="P242" s="162"/>
      <c r="Q242" s="162" t="s">
        <v>104</v>
      </c>
      <c r="R242" s="497">
        <f>BJ78</f>
        <v>56.55</v>
      </c>
      <c r="S242" s="498"/>
      <c r="T242" s="499"/>
      <c r="U242" s="162" t="s">
        <v>120</v>
      </c>
      <c r="V242" s="162"/>
      <c r="X242" s="162"/>
      <c r="Y242" s="162"/>
      <c r="Z242" s="162"/>
      <c r="AA242" s="162"/>
      <c r="AH242" s="15"/>
      <c r="AI242" s="15"/>
    </row>
    <row r="243" spans="1:64" ht="14.25" customHeight="1">
      <c r="A243" s="162"/>
      <c r="X243" s="162"/>
      <c r="Y243" s="162"/>
      <c r="Z243" s="162"/>
      <c r="AA243" s="162"/>
      <c r="AH243" s="15"/>
      <c r="AI243" s="15"/>
    </row>
    <row r="244" spans="1:64" ht="14.25" customHeight="1">
      <c r="A244" s="162"/>
      <c r="B244" s="162"/>
      <c r="C244" s="162"/>
      <c r="D244" s="162"/>
      <c r="E244" s="162"/>
      <c r="F244" s="163"/>
      <c r="G244" s="163"/>
      <c r="H244" s="163"/>
      <c r="I244" s="163"/>
      <c r="J244" s="163"/>
      <c r="K244" s="163"/>
      <c r="L244" s="163"/>
      <c r="M244" s="163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  <c r="AH244" s="15"/>
      <c r="AI244" s="15"/>
      <c r="BE244" s="481"/>
      <c r="BF244" s="481"/>
      <c r="BG244" s="481"/>
      <c r="BH244" s="481"/>
      <c r="BI244" s="481"/>
    </row>
    <row r="245" spans="1:64" ht="14.25" customHeight="1">
      <c r="A245" s="162"/>
      <c r="B245" s="162"/>
      <c r="C245" s="162"/>
      <c r="D245" s="162"/>
      <c r="E245" s="162"/>
      <c r="F245" s="163"/>
      <c r="G245" s="163"/>
      <c r="H245" s="163"/>
      <c r="I245" s="163"/>
      <c r="J245" s="163"/>
      <c r="K245" s="163"/>
      <c r="L245" s="163"/>
      <c r="M245" s="163"/>
      <c r="N245" s="162"/>
      <c r="O245" s="162"/>
      <c r="P245" s="162"/>
      <c r="Q245" s="271"/>
      <c r="R245" s="497"/>
      <c r="S245" s="498"/>
      <c r="T245" s="499"/>
      <c r="U245" s="162"/>
      <c r="V245" s="162"/>
      <c r="W245" s="162"/>
      <c r="X245" s="162"/>
      <c r="Y245" s="162"/>
      <c r="Z245" s="162"/>
      <c r="AA245" s="162"/>
      <c r="AH245" s="15"/>
      <c r="AI245" s="15"/>
      <c r="BE245" s="481"/>
      <c r="BF245" s="481"/>
      <c r="BG245" s="481"/>
      <c r="BH245" s="481"/>
      <c r="BI245" s="481"/>
    </row>
    <row r="246" spans="1:64" ht="14.25" customHeight="1">
      <c r="A246" s="162"/>
      <c r="B246" s="162"/>
      <c r="C246" s="162"/>
      <c r="D246" s="162"/>
      <c r="E246" s="162"/>
      <c r="F246" s="163"/>
      <c r="G246" s="163"/>
      <c r="H246" s="163"/>
      <c r="I246" s="163"/>
      <c r="J246" s="163"/>
      <c r="K246" s="163"/>
      <c r="L246" s="163"/>
      <c r="M246" s="163"/>
      <c r="N246" s="162"/>
      <c r="O246" s="162"/>
      <c r="P246" s="162"/>
      <c r="Q246" s="271"/>
      <c r="R246" s="497"/>
      <c r="S246" s="498"/>
      <c r="T246" s="499"/>
      <c r="U246" s="162"/>
      <c r="V246" s="162"/>
      <c r="W246" s="162"/>
      <c r="X246" s="162"/>
      <c r="Y246" s="162"/>
      <c r="Z246" s="162"/>
      <c r="AA246" s="162"/>
      <c r="AH246" s="15"/>
      <c r="AI246" s="15"/>
      <c r="BE246" s="481"/>
      <c r="BF246" s="481"/>
      <c r="BG246" s="481"/>
      <c r="BH246" s="481"/>
      <c r="BI246" s="481"/>
    </row>
    <row r="247" spans="1:64" ht="14.25" customHeight="1">
      <c r="A247" s="162"/>
      <c r="B247" s="329"/>
      <c r="C247" s="162"/>
      <c r="D247" s="162"/>
      <c r="E247" s="162"/>
      <c r="F247" s="163"/>
      <c r="G247" s="163"/>
      <c r="H247" s="163"/>
      <c r="I247" s="163"/>
      <c r="J247" s="163"/>
      <c r="K247" s="163"/>
      <c r="L247" s="163"/>
      <c r="M247" s="163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H247" s="15"/>
      <c r="AI247" s="15"/>
      <c r="BE247" s="196"/>
      <c r="BF247" s="196"/>
      <c r="BG247" s="196"/>
      <c r="BH247" s="196"/>
      <c r="BI247" s="196"/>
    </row>
    <row r="248" spans="1:64" ht="14.25" customHeight="1">
      <c r="A248" s="162"/>
      <c r="B248" s="329"/>
      <c r="C248" s="162"/>
      <c r="D248" s="162"/>
      <c r="E248" s="162"/>
      <c r="F248" s="163"/>
      <c r="G248" s="163"/>
      <c r="H248" s="163"/>
      <c r="I248" s="163"/>
      <c r="J248" s="163"/>
      <c r="K248" s="163"/>
      <c r="L248" s="163"/>
      <c r="M248" s="163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BC248" s="193"/>
      <c r="BD248" s="333"/>
      <c r="BE248" s="196"/>
      <c r="BF248" s="196"/>
      <c r="BG248" s="196"/>
      <c r="BH248" s="196"/>
      <c r="BI248" s="196"/>
    </row>
    <row r="249" spans="1:64" ht="14.25" customHeight="1">
      <c r="A249" s="162"/>
      <c r="B249" s="329"/>
      <c r="C249" s="162"/>
      <c r="D249" s="162"/>
      <c r="E249" s="162"/>
      <c r="F249" s="163"/>
      <c r="G249" s="163"/>
      <c r="H249" s="163"/>
      <c r="I249" s="163"/>
      <c r="J249" s="163"/>
      <c r="K249" s="163"/>
      <c r="L249" s="163"/>
      <c r="M249" s="163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BC249" s="201"/>
      <c r="BD249" s="332"/>
      <c r="BE249" s="196"/>
      <c r="BF249" s="196"/>
      <c r="BG249" s="196"/>
      <c r="BH249" s="196"/>
      <c r="BI249" s="196"/>
    </row>
    <row r="250" spans="1:64" ht="14.25" customHeight="1">
      <c r="A250" s="162"/>
      <c r="B250" s="162"/>
      <c r="C250" s="162"/>
      <c r="D250" s="162"/>
      <c r="E250" s="162"/>
      <c r="F250" s="163"/>
      <c r="G250" s="163"/>
      <c r="H250" s="163"/>
      <c r="I250" s="163"/>
      <c r="J250" s="163"/>
      <c r="K250" s="163"/>
      <c r="L250" s="163"/>
      <c r="M250" s="163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  <c r="AA250" s="162"/>
      <c r="BC250" s="201"/>
      <c r="BD250" s="332"/>
      <c r="BE250" s="203"/>
      <c r="BF250" s="203"/>
      <c r="BG250" s="203"/>
      <c r="BH250" s="203"/>
      <c r="BI250" s="203"/>
    </row>
    <row r="251" spans="1:64" ht="14.25" customHeight="1">
      <c r="A251" s="162"/>
      <c r="B251" s="162"/>
      <c r="C251" s="162"/>
      <c r="D251" s="162"/>
      <c r="E251" s="162"/>
      <c r="F251" s="163"/>
      <c r="G251" s="163"/>
      <c r="H251" s="163"/>
      <c r="I251" s="163"/>
      <c r="J251" s="163"/>
      <c r="K251" s="163"/>
      <c r="L251" s="163"/>
      <c r="M251" s="163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BC251" s="201"/>
      <c r="BD251" s="332"/>
      <c r="BE251" s="203"/>
      <c r="BF251" s="203"/>
      <c r="BG251" s="203"/>
      <c r="BH251" s="203"/>
      <c r="BI251" s="203"/>
    </row>
    <row r="252" spans="1:64" ht="14.25" customHeight="1">
      <c r="A252" s="162"/>
      <c r="B252" s="162"/>
      <c r="C252" s="162"/>
      <c r="D252" s="162"/>
      <c r="E252" s="162"/>
      <c r="F252" s="163"/>
      <c r="G252" s="163"/>
      <c r="H252" s="163"/>
      <c r="I252" s="163"/>
      <c r="J252" s="163"/>
      <c r="K252" s="163"/>
      <c r="L252" s="163"/>
      <c r="M252" s="163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BC252" s="201"/>
      <c r="BD252" s="332"/>
      <c r="BE252" s="203"/>
      <c r="BF252" s="203"/>
      <c r="BG252" s="203"/>
      <c r="BH252" s="203"/>
      <c r="BI252" s="203"/>
    </row>
    <row r="253" spans="1:64" ht="14.25" customHeight="1">
      <c r="A253" s="162"/>
      <c r="B253" s="162"/>
      <c r="C253" s="162"/>
      <c r="D253" s="162"/>
      <c r="E253" s="162"/>
      <c r="F253" s="163"/>
      <c r="G253" s="163"/>
      <c r="H253" s="163"/>
      <c r="I253" s="163"/>
      <c r="J253" s="163"/>
      <c r="K253" s="163"/>
      <c r="L253" s="163"/>
      <c r="M253" s="163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BC253" s="201"/>
      <c r="BD253" s="332"/>
      <c r="BE253" s="203"/>
      <c r="BF253" s="203"/>
      <c r="BG253" s="203"/>
      <c r="BH253" s="203"/>
      <c r="BI253" s="203"/>
    </row>
    <row r="254" spans="1:64" ht="14.25" customHeight="1">
      <c r="A254" s="162"/>
      <c r="B254" s="162"/>
      <c r="C254" s="162"/>
      <c r="D254" s="162"/>
      <c r="E254" s="162"/>
      <c r="F254" s="163"/>
      <c r="G254" s="163"/>
      <c r="H254" s="163"/>
      <c r="I254" s="163"/>
      <c r="J254" s="163"/>
      <c r="K254" s="163"/>
      <c r="L254" s="163"/>
      <c r="M254" s="163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  <c r="AA254" s="162"/>
      <c r="BC254" s="201"/>
      <c r="BD254" s="332"/>
      <c r="BE254" s="203"/>
      <c r="BF254" s="203"/>
      <c r="BG254" s="203"/>
      <c r="BH254" s="196"/>
      <c r="BI254" s="196"/>
    </row>
    <row r="255" spans="1:64" ht="14.25" customHeight="1">
      <c r="A255" s="162"/>
      <c r="B255" s="162"/>
      <c r="C255" s="162"/>
      <c r="D255" s="162"/>
      <c r="E255" s="162"/>
      <c r="F255" s="163"/>
      <c r="G255" s="163"/>
      <c r="H255" s="163"/>
      <c r="I255" s="163"/>
      <c r="J255" s="163"/>
      <c r="K255" s="163"/>
      <c r="L255" s="163"/>
      <c r="M255" s="163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  <c r="AA255" s="162"/>
      <c r="AC255" s="233">
        <v>37</v>
      </c>
      <c r="AD255" s="162" t="s">
        <v>194</v>
      </c>
      <c r="AE255" s="162"/>
      <c r="AF255" s="162"/>
      <c r="AG255" s="162"/>
      <c r="AH255" s="163"/>
      <c r="AI255" s="163"/>
      <c r="AJ255" s="162"/>
      <c r="AK255" s="169"/>
      <c r="AL255" s="324"/>
      <c r="AM255" s="170"/>
      <c r="AN255" s="169"/>
      <c r="AO255" s="323"/>
      <c r="AP255" s="170"/>
      <c r="AQ255" s="162"/>
      <c r="AR255" s="162"/>
      <c r="AS255" s="162"/>
      <c r="AT255" s="169"/>
      <c r="AU255" s="323"/>
      <c r="AV255" s="170"/>
      <c r="AW255" s="169"/>
      <c r="BC255" s="201"/>
      <c r="BD255" s="332"/>
      <c r="BE255" s="203"/>
      <c r="BF255" s="203"/>
      <c r="BG255" s="203"/>
      <c r="BH255" s="196"/>
      <c r="BI255" s="196"/>
      <c r="BJ255" s="196"/>
    </row>
    <row r="256" spans="1:64" ht="14.25" customHeight="1">
      <c r="A256" s="162"/>
      <c r="B256" s="162"/>
      <c r="C256" s="162"/>
      <c r="D256" s="162"/>
      <c r="E256" s="162"/>
      <c r="F256" s="163"/>
      <c r="G256" s="163"/>
      <c r="H256" s="163"/>
      <c r="I256" s="163"/>
      <c r="J256" s="163"/>
      <c r="K256" s="163"/>
      <c r="L256" s="163"/>
      <c r="M256" s="163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  <c r="AA256" s="162"/>
      <c r="AC256" s="162"/>
      <c r="AD256" s="162" t="s">
        <v>195</v>
      </c>
      <c r="AE256" s="162"/>
      <c r="AF256" s="162"/>
      <c r="AG256" s="162"/>
      <c r="AH256" s="163"/>
      <c r="AI256" s="163"/>
      <c r="AJ256" s="162"/>
      <c r="AK256" s="169"/>
      <c r="AL256" s="324"/>
      <c r="AM256" s="170"/>
      <c r="AN256" s="169"/>
      <c r="AO256" s="323"/>
      <c r="AP256" s="170"/>
      <c r="AQ256" s="162"/>
      <c r="AR256" s="162"/>
      <c r="AS256" s="162"/>
      <c r="AT256" s="169"/>
      <c r="AU256" s="323"/>
      <c r="AV256" s="170"/>
      <c r="AW256" s="169"/>
      <c r="BC256" s="201"/>
      <c r="BD256" s="332"/>
      <c r="BE256" s="203"/>
      <c r="BF256" s="203"/>
      <c r="BG256" s="203"/>
      <c r="BH256" s="196"/>
      <c r="BI256" s="196"/>
      <c r="BJ256" s="196"/>
      <c r="BK256" s="234"/>
      <c r="BL256" s="234"/>
    </row>
    <row r="257" spans="1:64" ht="14.25" customHeight="1">
      <c r="A257" s="393" t="s">
        <v>0</v>
      </c>
      <c r="B257" s="394"/>
      <c r="C257" s="395"/>
      <c r="D257" s="412" t="str">
        <f>$D$1</f>
        <v xml:space="preserve">Megaspine </v>
      </c>
      <c r="E257" s="413"/>
      <c r="F257" s="413"/>
      <c r="G257" s="413"/>
      <c r="H257" s="413"/>
      <c r="I257" s="413"/>
      <c r="J257" s="413"/>
      <c r="K257" s="413"/>
      <c r="L257" s="413"/>
      <c r="M257" s="413"/>
      <c r="N257" s="413"/>
      <c r="O257" s="413"/>
      <c r="P257" s="413"/>
      <c r="Q257" s="414"/>
      <c r="R257" s="389" t="s">
        <v>2</v>
      </c>
      <c r="S257" s="389"/>
      <c r="T257" s="389"/>
      <c r="U257" s="390">
        <f>$U$1</f>
        <v>0</v>
      </c>
      <c r="V257" s="391"/>
      <c r="W257" s="391"/>
      <c r="X257" s="392"/>
      <c r="Y257" s="380"/>
      <c r="Z257" s="381"/>
      <c r="AA257" s="382"/>
      <c r="AC257" s="162"/>
      <c r="AD257" s="162"/>
      <c r="AE257" s="162"/>
      <c r="AF257" s="162"/>
      <c r="AG257" s="162"/>
      <c r="AH257" s="163"/>
      <c r="AI257" s="163"/>
      <c r="AJ257" s="162"/>
      <c r="AK257" s="169"/>
      <c r="AL257" s="324"/>
      <c r="AM257" s="170"/>
      <c r="AN257" s="169"/>
      <c r="AO257" s="323"/>
      <c r="AP257" s="170"/>
      <c r="AQ257" s="162"/>
      <c r="AR257" s="162"/>
      <c r="AS257" s="162"/>
      <c r="AT257" s="169"/>
      <c r="AU257" s="323"/>
      <c r="AV257" s="170"/>
      <c r="AW257" s="169"/>
      <c r="BC257" s="201"/>
      <c r="BD257" s="332"/>
      <c r="BE257" s="203"/>
      <c r="BF257" s="203"/>
      <c r="BG257" s="203"/>
      <c r="BH257" s="196"/>
      <c r="BI257" s="196"/>
      <c r="BJ257" s="335"/>
      <c r="BK257" s="234"/>
      <c r="BL257" s="234"/>
    </row>
    <row r="258" spans="1:64" ht="14.25" customHeight="1">
      <c r="A258" s="399"/>
      <c r="B258" s="400"/>
      <c r="C258" s="401"/>
      <c r="D258" s="415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7"/>
      <c r="R258" s="389" t="s">
        <v>3</v>
      </c>
      <c r="S258" s="389"/>
      <c r="T258" s="389"/>
      <c r="U258" s="390" t="str">
        <f>$U$2</f>
        <v>PSM</v>
      </c>
      <c r="V258" s="391"/>
      <c r="W258" s="391"/>
      <c r="X258" s="392"/>
      <c r="Y258" s="383"/>
      <c r="Z258" s="384"/>
      <c r="AA258" s="385"/>
      <c r="AC258" s="162"/>
      <c r="AD258" s="162" t="s">
        <v>183</v>
      </c>
      <c r="AE258" s="162"/>
      <c r="AF258" s="162"/>
      <c r="AG258" s="162"/>
      <c r="AH258" s="163"/>
      <c r="AI258" s="163"/>
      <c r="AJ258" s="162"/>
      <c r="AK258" s="169"/>
      <c r="AL258" s="324"/>
      <c r="AM258" s="170"/>
      <c r="AN258" s="169" t="s">
        <v>90</v>
      </c>
      <c r="AO258" s="497">
        <f>AS131</f>
        <v>103.5</v>
      </c>
      <c r="AP258" s="498"/>
      <c r="AQ258" s="498"/>
      <c r="AR258" s="498"/>
      <c r="AS258" s="498"/>
      <c r="AT258" s="499"/>
      <c r="AU258" s="323" t="s">
        <v>120</v>
      </c>
      <c r="AV258" s="170"/>
      <c r="AW258" s="169"/>
      <c r="BC258" s="201"/>
      <c r="BD258" s="332"/>
      <c r="BE258" s="203"/>
      <c r="BF258" s="203"/>
      <c r="BG258" s="203"/>
      <c r="BH258" s="196"/>
      <c r="BI258" s="196"/>
      <c r="BJ258" s="335"/>
      <c r="BK258" s="234"/>
      <c r="BL258" s="234"/>
    </row>
    <row r="259" spans="1:64" ht="14.25" customHeight="1">
      <c r="A259" s="393" t="s">
        <v>5</v>
      </c>
      <c r="B259" s="394"/>
      <c r="C259" s="395"/>
      <c r="D259" s="380" t="str">
        <f>$D$3</f>
        <v>North of ATB (CST) - Section Test</v>
      </c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2"/>
      <c r="R259" s="389" t="s">
        <v>6</v>
      </c>
      <c r="S259" s="389"/>
      <c r="T259" s="389"/>
      <c r="U259" s="390" t="str">
        <f>$U$3</f>
        <v>JRS</v>
      </c>
      <c r="V259" s="391"/>
      <c r="W259" s="391"/>
      <c r="X259" s="392"/>
      <c r="Y259" s="383"/>
      <c r="Z259" s="384"/>
      <c r="AA259" s="385"/>
      <c r="AC259" s="162"/>
      <c r="AD259" s="162" t="s">
        <v>197</v>
      </c>
      <c r="AE259" s="162"/>
      <c r="AF259" s="162"/>
      <c r="AG259" s="162"/>
      <c r="AH259" s="163"/>
      <c r="AI259" s="163"/>
      <c r="AJ259" s="162"/>
      <c r="AK259" s="169"/>
      <c r="AL259" s="324"/>
      <c r="AM259" s="170"/>
      <c r="AN259" s="169" t="s">
        <v>90</v>
      </c>
      <c r="AO259" s="497">
        <f>AS136</f>
        <v>158.5</v>
      </c>
      <c r="AP259" s="498"/>
      <c r="AQ259" s="498"/>
      <c r="AR259" s="498"/>
      <c r="AS259" s="498"/>
      <c r="AT259" s="499"/>
      <c r="AU259" s="323" t="s">
        <v>120</v>
      </c>
      <c r="AV259" s="170"/>
      <c r="AW259" s="169"/>
      <c r="BC259" s="201"/>
      <c r="BD259" s="332"/>
      <c r="BE259" s="203"/>
      <c r="BF259" s="203"/>
      <c r="BG259" s="203"/>
      <c r="BH259" s="196"/>
      <c r="BI259" s="335"/>
      <c r="BJ259" s="234"/>
      <c r="BK259" s="234"/>
      <c r="BL259" s="234"/>
    </row>
    <row r="260" spans="1:64" ht="14.25" customHeight="1">
      <c r="A260" s="396"/>
      <c r="B260" s="397"/>
      <c r="C260" s="398"/>
      <c r="D260" s="489" t="str">
        <f>$D$4</f>
        <v xml:space="preserve">Load Calculation </v>
      </c>
      <c r="E260" s="490"/>
      <c r="F260" s="490"/>
      <c r="G260" s="490"/>
      <c r="H260" s="490"/>
      <c r="I260" s="490"/>
      <c r="J260" s="490"/>
      <c r="K260" s="490"/>
      <c r="L260" s="490"/>
      <c r="M260" s="490"/>
      <c r="N260" s="490"/>
      <c r="O260" s="490"/>
      <c r="P260" s="490"/>
      <c r="Q260" s="491"/>
      <c r="R260" s="389" t="s">
        <v>9</v>
      </c>
      <c r="S260" s="389"/>
      <c r="T260" s="389"/>
      <c r="U260" s="390" t="str">
        <f>$U$4</f>
        <v>MYPQ</v>
      </c>
      <c r="V260" s="391"/>
      <c r="W260" s="391"/>
      <c r="X260" s="392"/>
      <c r="Y260" s="386"/>
      <c r="Z260" s="387"/>
      <c r="AA260" s="388"/>
      <c r="AC260" s="162"/>
      <c r="AD260" s="162" t="s">
        <v>198</v>
      </c>
      <c r="AE260" s="162"/>
      <c r="AF260" s="162"/>
      <c r="AG260" s="162"/>
      <c r="AH260" s="163"/>
      <c r="AI260" s="163"/>
      <c r="AJ260" s="162"/>
      <c r="AK260" s="169"/>
      <c r="AL260" s="324"/>
      <c r="AM260" s="170"/>
      <c r="AN260" s="169" t="s">
        <v>90</v>
      </c>
      <c r="AO260" s="497">
        <f>AS143</f>
        <v>0</v>
      </c>
      <c r="AP260" s="498"/>
      <c r="AQ260" s="498"/>
      <c r="AR260" s="498"/>
      <c r="AS260" s="498"/>
      <c r="AT260" s="499"/>
      <c r="AU260" s="323" t="s">
        <v>120</v>
      </c>
      <c r="AV260" s="170"/>
      <c r="AW260" s="169"/>
      <c r="BC260" s="201"/>
      <c r="BD260" s="332"/>
      <c r="BE260" s="203"/>
      <c r="BF260" s="196"/>
      <c r="BG260" s="196"/>
      <c r="BH260" s="196"/>
      <c r="BI260" s="335"/>
    </row>
    <row r="261" spans="1:64" ht="14.25" customHeight="1">
      <c r="A261" s="399"/>
      <c r="B261" s="400"/>
      <c r="C261" s="401"/>
      <c r="D261" s="415"/>
      <c r="E261" s="416"/>
      <c r="F261" s="416"/>
      <c r="G261" s="416"/>
      <c r="H261" s="416"/>
      <c r="I261" s="416"/>
      <c r="J261" s="416"/>
      <c r="K261" s="416"/>
      <c r="L261" s="416"/>
      <c r="M261" s="416"/>
      <c r="N261" s="416"/>
      <c r="O261" s="416"/>
      <c r="P261" s="416"/>
      <c r="Q261" s="417"/>
      <c r="R261" s="389" t="s">
        <v>11</v>
      </c>
      <c r="S261" s="389"/>
      <c r="T261" s="389"/>
      <c r="U261" s="411">
        <f ca="1">$U$5</f>
        <v>45183</v>
      </c>
      <c r="V261" s="492"/>
      <c r="W261" s="492"/>
      <c r="X261" s="493"/>
      <c r="Y261" s="418" t="s">
        <v>12</v>
      </c>
      <c r="Z261" s="419"/>
      <c r="AA261" s="183" t="str">
        <f>6&amp;"/"&amp;AB5</f>
        <v>6/14</v>
      </c>
      <c r="AC261" s="233">
        <v>38</v>
      </c>
      <c r="AD261" s="162" t="s">
        <v>183</v>
      </c>
      <c r="AE261" s="162"/>
      <c r="AF261" s="162"/>
      <c r="AG261" s="162"/>
      <c r="AH261" s="163"/>
      <c r="AI261" s="163"/>
      <c r="AJ261" s="162"/>
      <c r="AK261" s="169"/>
      <c r="AL261" s="324"/>
      <c r="AM261" s="170"/>
      <c r="AN261" s="169"/>
      <c r="AO261" s="323"/>
      <c r="AP261" s="170"/>
      <c r="AQ261" s="162"/>
      <c r="AR261" s="162"/>
      <c r="AS261" s="162"/>
      <c r="AT261" s="169"/>
      <c r="AU261" s="323"/>
      <c r="AV261" s="336" t="s">
        <v>199</v>
      </c>
      <c r="AW261" s="169"/>
      <c r="AX261" s="323" t="s">
        <v>90</v>
      </c>
      <c r="AY261" s="497">
        <f>AT131</f>
        <v>68.5</v>
      </c>
      <c r="AZ261" s="501"/>
      <c r="BA261" s="502"/>
      <c r="BB261" s="170" t="s">
        <v>120</v>
      </c>
      <c r="BC261" s="201"/>
      <c r="BD261" s="337"/>
      <c r="BE261" s="196"/>
      <c r="BF261" s="196"/>
      <c r="BG261" s="196"/>
      <c r="BH261" s="335"/>
      <c r="BI261" s="234"/>
    </row>
    <row r="262" spans="1:64" ht="14.25" customHeight="1">
      <c r="A262" s="162"/>
      <c r="B262" s="162"/>
      <c r="C262" s="162"/>
      <c r="D262" s="162"/>
      <c r="E262" s="162"/>
      <c r="F262" s="163"/>
      <c r="G262" s="163"/>
      <c r="H262" s="163"/>
      <c r="I262" s="163"/>
      <c r="J262" s="163"/>
      <c r="K262" s="163"/>
      <c r="L262" s="163"/>
      <c r="M262" s="163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  <c r="AA262" s="162"/>
      <c r="AC262" s="162"/>
      <c r="AD262" s="162" t="s">
        <v>200</v>
      </c>
      <c r="AE262" s="162"/>
      <c r="AF262" s="162"/>
      <c r="AG262" s="162"/>
      <c r="AH262" s="163"/>
      <c r="AI262" s="163"/>
      <c r="AJ262" s="162"/>
      <c r="AK262" s="169"/>
      <c r="AL262" s="324"/>
      <c r="AM262" s="170"/>
      <c r="AN262" s="169"/>
      <c r="AO262" s="323"/>
      <c r="AP262" s="170"/>
      <c r="AQ262" s="162"/>
      <c r="AR262" s="162"/>
      <c r="AS262" s="162"/>
      <c r="AT262" s="169"/>
      <c r="AU262" s="323"/>
      <c r="AV262" s="338" t="s">
        <v>201</v>
      </c>
      <c r="AW262" s="169"/>
      <c r="AX262" s="323" t="s">
        <v>90</v>
      </c>
      <c r="AY262" s="497">
        <f>AU131</f>
        <v>68.5</v>
      </c>
      <c r="AZ262" s="501"/>
      <c r="BA262" s="502"/>
      <c r="BB262" s="170" t="s">
        <v>120</v>
      </c>
      <c r="BC262" s="201"/>
      <c r="BD262" s="332"/>
      <c r="BE262" s="196"/>
      <c r="BF262" s="196"/>
      <c r="BG262" s="196"/>
      <c r="BH262" s="335"/>
    </row>
    <row r="263" spans="1:64" ht="14.25" customHeight="1">
      <c r="A263" s="162"/>
      <c r="B263" s="215" t="s">
        <v>202</v>
      </c>
      <c r="C263" s="215"/>
      <c r="D263" s="215"/>
      <c r="E263" s="215"/>
      <c r="F263" s="216"/>
      <c r="G263" s="216"/>
      <c r="H263" s="216"/>
      <c r="I263" s="216"/>
      <c r="J263" s="216"/>
      <c r="K263" s="216"/>
      <c r="L263" s="216"/>
      <c r="M263" s="216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162"/>
      <c r="BC263" s="229"/>
      <c r="BD263" s="229"/>
      <c r="BE263" s="332"/>
      <c r="BF263" s="196"/>
      <c r="BG263" s="196"/>
      <c r="BH263" s="234"/>
    </row>
    <row r="264" spans="1:64" ht="14.25" customHeight="1">
      <c r="A264" s="162"/>
      <c r="B264" s="215" t="s">
        <v>203</v>
      </c>
      <c r="C264" s="215"/>
      <c r="D264" s="215"/>
      <c r="E264" s="215"/>
      <c r="F264" s="216"/>
      <c r="G264" s="216"/>
      <c r="H264" s="216"/>
      <c r="I264" s="216"/>
      <c r="J264" s="216"/>
      <c r="K264" s="216"/>
      <c r="L264" s="216"/>
      <c r="M264" s="216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162"/>
      <c r="AC264" s="233">
        <v>39</v>
      </c>
      <c r="AD264" s="162" t="s">
        <v>189</v>
      </c>
      <c r="AE264" s="162"/>
      <c r="AF264" s="162"/>
      <c r="AG264" s="162"/>
      <c r="AH264" s="163"/>
      <c r="AI264" s="163"/>
      <c r="AJ264" s="162"/>
      <c r="AK264" s="169"/>
      <c r="AL264" s="324"/>
      <c r="AM264" s="170"/>
      <c r="AN264" s="169"/>
      <c r="AO264" s="323"/>
      <c r="AP264" s="170"/>
      <c r="AQ264" s="162"/>
      <c r="AR264" s="162"/>
      <c r="AS264" s="162"/>
      <c r="AT264" s="169"/>
      <c r="AU264" s="323"/>
      <c r="AV264" s="170"/>
      <c r="AW264" s="169"/>
      <c r="AX264" s="323"/>
      <c r="AY264" s="170"/>
      <c r="AZ264" s="169"/>
      <c r="BD264" s="229"/>
      <c r="BE264" s="332"/>
      <c r="BF264" s="335"/>
      <c r="BG264" s="335"/>
      <c r="BI264" s="481"/>
    </row>
    <row r="265" spans="1:64" ht="14.25" customHeight="1">
      <c r="A265" s="162"/>
      <c r="B265" s="162"/>
      <c r="C265" s="162"/>
      <c r="D265" s="162"/>
      <c r="E265" s="162"/>
      <c r="F265" s="163"/>
      <c r="G265" s="163"/>
      <c r="H265" s="163"/>
      <c r="I265" s="163"/>
      <c r="J265" s="163"/>
      <c r="K265" s="163"/>
      <c r="L265" s="163"/>
      <c r="M265" s="163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  <c r="AA265" s="162"/>
      <c r="AC265" s="162"/>
      <c r="AD265" s="162" t="s">
        <v>200</v>
      </c>
      <c r="AE265" s="162"/>
      <c r="AF265" s="162"/>
      <c r="AG265" s="162"/>
      <c r="AH265" s="163"/>
      <c r="AI265" s="163"/>
      <c r="AJ265" s="162"/>
      <c r="AK265" s="169"/>
      <c r="AL265" s="324"/>
      <c r="AM265" s="170"/>
      <c r="AN265" s="169"/>
      <c r="AO265" s="323"/>
      <c r="AP265" s="170"/>
      <c r="AQ265" s="162"/>
      <c r="AR265" s="162"/>
      <c r="AS265" s="162"/>
      <c r="AT265" s="169"/>
      <c r="AU265" s="323"/>
      <c r="AV265" s="170"/>
      <c r="AW265" s="169"/>
      <c r="AX265" s="323"/>
      <c r="AY265" s="170"/>
      <c r="AZ265" s="169"/>
      <c r="BD265" s="229"/>
      <c r="BE265" s="332"/>
      <c r="BF265" s="335"/>
      <c r="BG265" s="335"/>
      <c r="BI265" s="481"/>
    </row>
    <row r="266" spans="1:64" ht="14.25" customHeight="1">
      <c r="A266" s="162"/>
      <c r="B266" s="162" t="s">
        <v>138</v>
      </c>
      <c r="C266" s="162"/>
      <c r="D266" s="162"/>
      <c r="E266" s="162"/>
      <c r="F266" s="163"/>
      <c r="G266" s="163"/>
      <c r="H266" s="163"/>
      <c r="I266" s="163"/>
      <c r="J266" s="163"/>
      <c r="K266" s="163"/>
      <c r="L266" s="163"/>
      <c r="M266" s="163"/>
      <c r="N266" s="162"/>
      <c r="O266" s="329" t="s">
        <v>204</v>
      </c>
      <c r="P266" s="162"/>
      <c r="Q266" s="162" t="s">
        <v>90</v>
      </c>
      <c r="R266" s="497">
        <f>AV103</f>
        <v>146.55000000000001</v>
      </c>
      <c r="S266" s="498"/>
      <c r="T266" s="499"/>
      <c r="U266" s="162" t="s">
        <v>120</v>
      </c>
      <c r="V266" s="162"/>
      <c r="W266" s="162"/>
      <c r="X266" s="162"/>
      <c r="Y266" s="162"/>
      <c r="Z266" s="162"/>
      <c r="AA266" s="162"/>
      <c r="AC266" s="162"/>
      <c r="AD266" s="162"/>
      <c r="AE266" s="162"/>
      <c r="AF266" s="162"/>
      <c r="AG266" s="162"/>
      <c r="AH266" s="163"/>
      <c r="AI266" s="163"/>
      <c r="AJ266" s="162"/>
      <c r="AK266" s="169"/>
      <c r="AL266" s="324"/>
      <c r="AM266" s="170"/>
      <c r="AN266" s="169"/>
      <c r="AO266" s="323"/>
      <c r="AP266" s="170"/>
      <c r="AQ266" s="162"/>
      <c r="AR266" s="162"/>
      <c r="AS266" s="162"/>
      <c r="AT266" s="169"/>
      <c r="AU266" s="323"/>
      <c r="AV266" s="170"/>
      <c r="AW266" s="169"/>
      <c r="AX266" s="323"/>
      <c r="AY266" s="170"/>
      <c r="AZ266" s="169"/>
      <c r="BD266" s="229"/>
      <c r="BE266" s="332"/>
      <c r="BF266" s="234"/>
      <c r="BG266" s="234"/>
      <c r="BH266" s="481"/>
      <c r="BI266" s="481"/>
    </row>
    <row r="267" spans="1:64" ht="14.25" customHeight="1">
      <c r="A267" s="233"/>
      <c r="B267" s="162"/>
      <c r="C267" s="162"/>
      <c r="D267" s="162"/>
      <c r="E267" s="162"/>
      <c r="F267" s="163"/>
      <c r="G267" s="163"/>
      <c r="H267" s="163"/>
      <c r="I267" s="163"/>
      <c r="J267" s="163"/>
      <c r="K267" s="163"/>
      <c r="L267" s="163"/>
      <c r="M267" s="163"/>
      <c r="N267" s="162"/>
      <c r="O267" s="329" t="s">
        <v>205</v>
      </c>
      <c r="P267" s="162"/>
      <c r="Q267" s="162" t="s">
        <v>90</v>
      </c>
      <c r="R267" s="497">
        <f>AV78</f>
        <v>116.55</v>
      </c>
      <c r="S267" s="498"/>
      <c r="T267" s="499"/>
      <c r="U267" s="162" t="s">
        <v>120</v>
      </c>
      <c r="V267" s="162"/>
      <c r="W267" s="162"/>
      <c r="X267" s="162"/>
      <c r="Y267" s="162"/>
      <c r="Z267" s="162"/>
      <c r="AA267" s="162"/>
      <c r="AC267" s="162"/>
      <c r="AD267" s="329" t="s">
        <v>140</v>
      </c>
      <c r="AE267" s="162"/>
      <c r="AF267" s="162"/>
      <c r="AG267" s="162"/>
      <c r="AH267" s="163"/>
      <c r="AI267" s="163"/>
      <c r="AJ267" s="162"/>
      <c r="AK267" s="169"/>
      <c r="AL267" s="324"/>
      <c r="AM267" s="170"/>
      <c r="AN267" s="169"/>
      <c r="AO267" s="323"/>
      <c r="AP267" s="170"/>
      <c r="AQ267" s="162"/>
      <c r="AR267" s="162"/>
      <c r="AS267" s="162"/>
      <c r="AT267" s="169"/>
      <c r="AU267" s="323"/>
      <c r="AV267" s="170"/>
      <c r="AW267" s="169"/>
      <c r="AX267" s="323"/>
      <c r="AY267" s="170"/>
      <c r="AZ267" s="169"/>
      <c r="BD267" s="234"/>
      <c r="BE267" s="234"/>
      <c r="BH267" s="481"/>
    </row>
    <row r="268" spans="1:64" ht="14.25" customHeight="1">
      <c r="A268" s="162"/>
      <c r="B268" s="166"/>
      <c r="C268" s="162"/>
      <c r="D268" s="162"/>
      <c r="E268" s="162"/>
      <c r="F268" s="163"/>
      <c r="G268" s="163"/>
      <c r="H268" s="163"/>
      <c r="I268" s="163"/>
      <c r="J268" s="163"/>
      <c r="K268" s="163"/>
      <c r="L268" s="163"/>
      <c r="M268" s="163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  <c r="AA268" s="162"/>
      <c r="AC268" s="162"/>
      <c r="AD268" s="162"/>
      <c r="AE268" s="162"/>
      <c r="AF268" s="162"/>
      <c r="AG268" s="162"/>
      <c r="AH268" s="163"/>
      <c r="AI268" s="163"/>
      <c r="AJ268" s="162"/>
      <c r="AK268" s="169"/>
      <c r="AL268" s="324"/>
      <c r="AM268" s="170"/>
      <c r="AN268" s="169"/>
      <c r="AO268" s="327" t="s">
        <v>184</v>
      </c>
      <c r="AP268" s="328"/>
      <c r="AQ268" s="162"/>
      <c r="AR268" s="251"/>
      <c r="AS268" s="162" t="s">
        <v>104</v>
      </c>
      <c r="AT268" s="497">
        <f>AW132</f>
        <v>78.5</v>
      </c>
      <c r="AU268" s="501"/>
      <c r="AV268" s="502"/>
      <c r="AW268" s="169" t="s">
        <v>120</v>
      </c>
      <c r="AX268" s="323"/>
      <c r="AY268" s="170"/>
      <c r="AZ268" s="169"/>
      <c r="BC268" s="234"/>
      <c r="BH268" s="481"/>
      <c r="BI268" s="196"/>
    </row>
    <row r="269" spans="1:64" ht="14.25" customHeight="1">
      <c r="A269" s="162"/>
      <c r="B269" s="162"/>
      <c r="C269" s="162"/>
      <c r="D269" s="162"/>
      <c r="E269" s="162"/>
      <c r="F269" s="163"/>
      <c r="G269" s="163"/>
      <c r="H269" s="163"/>
      <c r="I269" s="163"/>
      <c r="J269" s="163"/>
      <c r="K269" s="163"/>
      <c r="L269" s="163"/>
      <c r="M269" s="163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  <c r="AA269" s="162"/>
      <c r="AC269" s="162"/>
      <c r="AD269" s="162"/>
      <c r="AE269" s="162"/>
      <c r="AF269" s="162"/>
      <c r="AG269" s="162"/>
      <c r="AH269" s="163"/>
      <c r="AI269" s="163"/>
      <c r="AJ269" s="162"/>
      <c r="AK269" s="169"/>
      <c r="AL269" s="324"/>
      <c r="AM269" s="170"/>
      <c r="AN269" s="169"/>
      <c r="AO269" s="327" t="s">
        <v>186</v>
      </c>
      <c r="AP269" s="328"/>
      <c r="AQ269" s="162"/>
      <c r="AR269" s="251"/>
      <c r="AS269" s="162" t="s">
        <v>104</v>
      </c>
      <c r="AT269" s="497">
        <f>AW135</f>
        <v>123.5</v>
      </c>
      <c r="AU269" s="501"/>
      <c r="AV269" s="502"/>
      <c r="AW269" s="169" t="s">
        <v>120</v>
      </c>
      <c r="AX269" s="323"/>
      <c r="AY269" s="170"/>
      <c r="AZ269" s="169"/>
      <c r="BF269" s="481"/>
      <c r="BG269" s="481"/>
      <c r="BI269" s="196"/>
    </row>
    <row r="270" spans="1:64" ht="14.25" customHeight="1">
      <c r="A270" s="162"/>
      <c r="B270" s="162"/>
      <c r="C270" s="162"/>
      <c r="D270" s="162"/>
      <c r="E270" s="162"/>
      <c r="F270" s="163"/>
      <c r="G270" s="163"/>
      <c r="H270" s="163"/>
      <c r="I270" s="163"/>
      <c r="J270" s="163"/>
      <c r="K270" s="163"/>
      <c r="L270" s="163"/>
      <c r="M270" s="163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  <c r="AA270" s="162"/>
      <c r="AC270" s="162"/>
      <c r="AD270" s="162"/>
      <c r="AE270" s="162"/>
      <c r="AF270" s="162"/>
      <c r="AG270" s="162"/>
      <c r="AH270" s="163"/>
      <c r="AI270" s="163"/>
      <c r="AJ270" s="162"/>
      <c r="AK270" s="169"/>
      <c r="AL270" s="324"/>
      <c r="AM270" s="170"/>
      <c r="AN270" s="169"/>
      <c r="AO270" s="323"/>
      <c r="AP270" s="170"/>
      <c r="AQ270" s="162"/>
      <c r="AR270" s="162"/>
      <c r="AS270" s="162"/>
      <c r="AT270" s="169"/>
      <c r="AU270" s="323"/>
      <c r="AV270" s="170"/>
      <c r="AW270" s="169"/>
      <c r="AX270" s="323"/>
      <c r="AY270" s="170"/>
      <c r="AZ270" s="169"/>
      <c r="BD270" s="534"/>
      <c r="BE270" s="481"/>
      <c r="BF270" s="481"/>
      <c r="BG270" s="481"/>
      <c r="BH270" s="196"/>
      <c r="BI270" s="196"/>
    </row>
    <row r="271" spans="1:64" ht="14.25" customHeight="1">
      <c r="A271" s="162"/>
      <c r="B271" s="162"/>
      <c r="C271" s="162"/>
      <c r="D271" s="162"/>
      <c r="E271" s="162"/>
      <c r="F271" s="163"/>
      <c r="G271" s="163"/>
      <c r="H271" s="163"/>
      <c r="I271" s="163"/>
      <c r="J271" s="163"/>
      <c r="K271" s="163"/>
      <c r="L271" s="163"/>
      <c r="M271" s="163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  <c r="AA271" s="162"/>
      <c r="AC271" s="162"/>
      <c r="AD271" s="329" t="s">
        <v>146</v>
      </c>
      <c r="AE271" s="162"/>
      <c r="AF271" s="162"/>
      <c r="AG271" s="162"/>
      <c r="AH271" s="163"/>
      <c r="AI271" s="163"/>
      <c r="AJ271" s="162"/>
      <c r="AK271" s="169"/>
      <c r="AL271" s="324"/>
      <c r="AM271" s="170"/>
      <c r="AN271" s="169"/>
      <c r="AO271" s="323"/>
      <c r="AP271" s="170"/>
      <c r="AQ271" s="162"/>
      <c r="AR271" s="162"/>
      <c r="AS271" s="162"/>
      <c r="AT271" s="169"/>
      <c r="AU271" s="323"/>
      <c r="AV271" s="170"/>
      <c r="AW271" s="169"/>
      <c r="AX271" s="323"/>
      <c r="AY271" s="170"/>
      <c r="AZ271" s="169"/>
      <c r="BC271" s="459"/>
      <c r="BD271" s="534"/>
      <c r="BE271" s="481"/>
      <c r="BF271" s="481"/>
      <c r="BG271" s="481"/>
      <c r="BH271" s="196"/>
      <c r="BI271" s="196"/>
    </row>
    <row r="272" spans="1:64" ht="14.25" customHeight="1">
      <c r="A272" s="162"/>
      <c r="B272" s="162"/>
      <c r="C272" s="162"/>
      <c r="D272" s="162"/>
      <c r="E272" s="162"/>
      <c r="F272" s="163"/>
      <c r="G272" s="163"/>
      <c r="H272" s="163"/>
      <c r="I272" s="163"/>
      <c r="J272" s="163"/>
      <c r="K272" s="163"/>
      <c r="L272" s="163"/>
      <c r="M272" s="163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  <c r="AA272" s="162"/>
      <c r="AC272" s="162"/>
      <c r="AD272" s="162"/>
      <c r="AE272" s="162"/>
      <c r="AF272" s="162"/>
      <c r="AG272" s="162"/>
      <c r="AH272" s="163"/>
      <c r="AI272" s="163"/>
      <c r="AJ272" s="162"/>
      <c r="AK272" s="169"/>
      <c r="AL272" s="324"/>
      <c r="AM272" s="170"/>
      <c r="AN272" s="169"/>
      <c r="AO272" s="327" t="s">
        <v>184</v>
      </c>
      <c r="AP272" s="328"/>
      <c r="AQ272" s="162"/>
      <c r="AR272" s="251"/>
      <c r="AS272" s="162" t="s">
        <v>104</v>
      </c>
      <c r="AT272" s="497">
        <f>AY132</f>
        <v>108.5</v>
      </c>
      <c r="AU272" s="501"/>
      <c r="AV272" s="502"/>
      <c r="AW272" s="169" t="s">
        <v>120</v>
      </c>
      <c r="AX272" s="323"/>
      <c r="AY272" s="170"/>
      <c r="AZ272" s="169"/>
      <c r="BC272" s="459"/>
      <c r="BD272" s="534"/>
      <c r="BE272" s="481"/>
      <c r="BH272" s="196"/>
      <c r="BI272" s="196"/>
    </row>
    <row r="273" spans="1:62" ht="14.25" customHeight="1">
      <c r="A273" s="162"/>
      <c r="B273" s="162"/>
      <c r="C273" s="162"/>
      <c r="D273" s="162"/>
      <c r="E273" s="162"/>
      <c r="F273" s="163"/>
      <c r="G273" s="163"/>
      <c r="H273" s="163"/>
      <c r="I273" s="163"/>
      <c r="J273" s="163"/>
      <c r="K273" s="163"/>
      <c r="L273" s="163"/>
      <c r="M273" s="163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  <c r="AA273" s="162"/>
      <c r="AC273" s="162"/>
      <c r="AD273" s="162"/>
      <c r="AE273" s="162"/>
      <c r="AF273" s="162"/>
      <c r="AG273" s="162"/>
      <c r="AH273" s="163"/>
      <c r="AI273" s="163"/>
      <c r="AJ273" s="162"/>
      <c r="AK273" s="169"/>
      <c r="AL273" s="324"/>
      <c r="AM273" s="170"/>
      <c r="AN273" s="169"/>
      <c r="AO273" s="327" t="s">
        <v>186</v>
      </c>
      <c r="AP273" s="328"/>
      <c r="AQ273" s="162"/>
      <c r="AR273" s="251"/>
      <c r="AS273" s="162" t="s">
        <v>104</v>
      </c>
      <c r="AT273" s="497">
        <f>AY135</f>
        <v>153.5</v>
      </c>
      <c r="AU273" s="501"/>
      <c r="AV273" s="502"/>
      <c r="AW273" s="169" t="s">
        <v>120</v>
      </c>
      <c r="AX273" s="323"/>
      <c r="AY273" s="170"/>
      <c r="AZ273" s="169"/>
      <c r="BC273" s="459"/>
      <c r="BD273" s="332"/>
      <c r="BF273" s="196"/>
      <c r="BG273" s="196"/>
      <c r="BH273" s="196"/>
      <c r="BI273" s="196"/>
      <c r="BJ273" s="196"/>
    </row>
    <row r="274" spans="1:62" ht="14.25" customHeight="1">
      <c r="A274" s="162"/>
      <c r="B274" s="162"/>
      <c r="C274" s="162"/>
      <c r="D274" s="162"/>
      <c r="E274" s="162"/>
      <c r="F274" s="163"/>
      <c r="G274" s="163"/>
      <c r="H274" s="163"/>
      <c r="I274" s="163"/>
      <c r="J274" s="163"/>
      <c r="K274" s="163"/>
      <c r="L274" s="163"/>
      <c r="M274" s="163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  <c r="AA274" s="162"/>
      <c r="BC274" s="193"/>
      <c r="BD274" s="333"/>
      <c r="BE274" s="196"/>
      <c r="BF274" s="196"/>
      <c r="BG274" s="196"/>
      <c r="BH274" s="196"/>
      <c r="BI274" s="203"/>
    </row>
    <row r="275" spans="1:62" ht="14.25" customHeight="1">
      <c r="A275" s="162"/>
      <c r="B275" s="162"/>
      <c r="C275" s="162"/>
      <c r="D275" s="162"/>
      <c r="E275" s="162"/>
      <c r="F275" s="163"/>
      <c r="G275" s="163"/>
      <c r="H275" s="163"/>
      <c r="I275" s="163"/>
      <c r="J275" s="163"/>
      <c r="K275" s="163"/>
      <c r="L275" s="163"/>
      <c r="M275" s="163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  <c r="AA275" s="162"/>
      <c r="AC275" s="233">
        <v>40</v>
      </c>
      <c r="AD275" s="162" t="s">
        <v>179</v>
      </c>
      <c r="AE275" s="162"/>
      <c r="AF275" s="162"/>
      <c r="AG275" s="162"/>
      <c r="AH275" s="163"/>
      <c r="AI275" s="163"/>
      <c r="AJ275" s="162"/>
      <c r="AK275" s="169"/>
      <c r="AL275" s="324"/>
      <c r="AM275" s="170"/>
      <c r="AN275" s="169"/>
      <c r="AO275" s="323"/>
      <c r="AP275" s="170"/>
      <c r="AQ275" s="162"/>
      <c r="AR275" s="162"/>
      <c r="AS275" s="162"/>
      <c r="AT275" s="169"/>
      <c r="AU275" s="323"/>
      <c r="AV275" s="336"/>
      <c r="AW275" s="339" t="s">
        <v>206</v>
      </c>
      <c r="AX275" s="323" t="s">
        <v>90</v>
      </c>
      <c r="AY275" s="497">
        <f>AW136</f>
        <v>128.5</v>
      </c>
      <c r="AZ275" s="501"/>
      <c r="BA275" s="502"/>
      <c r="BB275" s="170" t="s">
        <v>120</v>
      </c>
      <c r="BC275" s="193"/>
      <c r="BD275" s="333"/>
      <c r="BE275" s="196"/>
      <c r="BF275" s="196"/>
      <c r="BG275" s="196"/>
      <c r="BH275" s="196"/>
      <c r="BI275" s="203"/>
    </row>
    <row r="276" spans="1:62" ht="14.25" customHeight="1">
      <c r="A276" s="162"/>
      <c r="B276" s="162"/>
      <c r="C276" s="162"/>
      <c r="D276" s="162"/>
      <c r="E276" s="162"/>
      <c r="F276" s="163"/>
      <c r="G276" s="163"/>
      <c r="H276" s="163"/>
      <c r="I276" s="163"/>
      <c r="J276" s="163"/>
      <c r="K276" s="163"/>
      <c r="L276" s="163"/>
      <c r="M276" s="163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  <c r="AA276" s="162"/>
      <c r="AC276" s="162"/>
      <c r="AD276" s="162" t="s">
        <v>200</v>
      </c>
      <c r="AE276" s="162"/>
      <c r="AF276" s="162"/>
      <c r="AG276" s="162"/>
      <c r="AH276" s="163"/>
      <c r="AI276" s="163"/>
      <c r="AJ276" s="162"/>
      <c r="AK276" s="169"/>
      <c r="AL276" s="324"/>
      <c r="AM276" s="170"/>
      <c r="AN276" s="169"/>
      <c r="AO276" s="323"/>
      <c r="AP276" s="170"/>
      <c r="AQ276" s="162"/>
      <c r="AR276" s="162"/>
      <c r="AS276" s="162"/>
      <c r="AT276" s="169"/>
      <c r="AU276" s="323"/>
      <c r="AV276" s="338" t="s">
        <v>201</v>
      </c>
      <c r="AW276" s="169"/>
      <c r="AX276" s="323" t="s">
        <v>90</v>
      </c>
      <c r="AY276" s="497">
        <f>AY136</f>
        <v>158.5</v>
      </c>
      <c r="AZ276" s="501"/>
      <c r="BA276" s="502"/>
      <c r="BB276" s="170" t="s">
        <v>120</v>
      </c>
      <c r="BC276" s="193"/>
      <c r="BD276" s="332"/>
      <c r="BE276" s="196"/>
      <c r="BF276" s="196"/>
      <c r="BG276" s="196"/>
      <c r="BH276" s="203"/>
      <c r="BI276" s="203"/>
    </row>
    <row r="277" spans="1:62" ht="14.25" customHeight="1">
      <c r="A277" s="162"/>
      <c r="B277" s="162"/>
      <c r="C277" s="162"/>
      <c r="D277" s="162"/>
      <c r="E277" s="162"/>
      <c r="F277" s="163"/>
      <c r="G277" s="163"/>
      <c r="H277" s="163"/>
      <c r="I277" s="163"/>
      <c r="J277" s="163"/>
      <c r="K277" s="163"/>
      <c r="L277" s="163"/>
      <c r="M277" s="163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  <c r="AA277" s="162"/>
      <c r="AC277" s="162"/>
      <c r="AD277" s="162"/>
      <c r="AE277" s="162"/>
      <c r="AF277" s="162"/>
      <c r="AG277" s="162"/>
      <c r="AH277" s="163"/>
      <c r="AI277" s="163"/>
      <c r="AJ277" s="162"/>
      <c r="AK277" s="169"/>
      <c r="AL277" s="324"/>
      <c r="AM277" s="170"/>
      <c r="AN277" s="169"/>
      <c r="AO277" s="323"/>
      <c r="AP277" s="170"/>
      <c r="AQ277" s="162"/>
      <c r="AR277" s="162"/>
      <c r="AS277" s="162"/>
      <c r="AT277" s="169"/>
      <c r="AU277" s="323"/>
      <c r="AV277" s="170"/>
      <c r="AW277" s="169"/>
      <c r="AX277" s="323"/>
      <c r="AY277" s="170"/>
      <c r="AZ277" s="169"/>
      <c r="BA277" s="323"/>
      <c r="BB277" s="170"/>
      <c r="BC277" s="229"/>
      <c r="BD277" s="333"/>
      <c r="BE277" s="196"/>
      <c r="BF277" s="196"/>
      <c r="BG277" s="196"/>
      <c r="BH277" s="203"/>
      <c r="BI277" s="203"/>
    </row>
    <row r="278" spans="1:62" ht="14.25" customHeight="1">
      <c r="A278" s="162"/>
      <c r="B278" s="215" t="s">
        <v>207</v>
      </c>
      <c r="C278" s="215"/>
      <c r="D278" s="215"/>
      <c r="E278" s="215"/>
      <c r="F278" s="216"/>
      <c r="G278" s="216"/>
      <c r="H278" s="216"/>
      <c r="I278" s="216"/>
      <c r="J278" s="216"/>
      <c r="K278" s="216"/>
      <c r="L278" s="216"/>
      <c r="M278" s="216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162"/>
      <c r="Y278" s="162"/>
      <c r="Z278" s="162"/>
      <c r="AA278" s="162"/>
      <c r="BC278" s="193"/>
      <c r="BD278" s="333"/>
      <c r="BE278" s="196"/>
      <c r="BF278" s="196"/>
      <c r="BG278" s="196"/>
      <c r="BH278" s="203"/>
      <c r="BI278" s="203"/>
      <c r="BJ278" s="196"/>
    </row>
    <row r="279" spans="1:62" ht="14.25" customHeight="1">
      <c r="A279" s="233"/>
      <c r="B279" s="215" t="s">
        <v>208</v>
      </c>
      <c r="C279" s="215"/>
      <c r="D279" s="215"/>
      <c r="E279" s="215"/>
      <c r="F279" s="216"/>
      <c r="G279" s="216"/>
      <c r="H279" s="216"/>
      <c r="I279" s="216"/>
      <c r="J279" s="216"/>
      <c r="K279" s="216"/>
      <c r="L279" s="216"/>
      <c r="M279" s="216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162"/>
      <c r="Y279" s="162"/>
      <c r="Z279" s="162"/>
      <c r="AA279" s="162"/>
      <c r="AC279" s="233">
        <v>41</v>
      </c>
      <c r="AD279" s="162" t="s">
        <v>183</v>
      </c>
      <c r="AE279" s="162"/>
      <c r="AF279" s="162"/>
      <c r="AG279" s="162"/>
      <c r="AH279" s="163"/>
      <c r="AI279" s="163"/>
      <c r="AJ279" s="162"/>
      <c r="AK279" s="169"/>
      <c r="AL279" s="324"/>
      <c r="AM279" s="170"/>
      <c r="AN279" s="169"/>
      <c r="AO279" s="323"/>
      <c r="AP279" s="170"/>
      <c r="AQ279" s="162"/>
      <c r="AR279" s="162"/>
      <c r="AS279" s="162"/>
      <c r="AT279" s="169"/>
      <c r="AU279" s="323"/>
      <c r="AV279" s="336"/>
      <c r="AW279" s="340" t="s">
        <v>206</v>
      </c>
      <c r="AX279" s="323" t="s">
        <v>90</v>
      </c>
      <c r="AY279" s="497">
        <f>AU131</f>
        <v>68.5</v>
      </c>
      <c r="AZ279" s="501"/>
      <c r="BA279" s="502"/>
      <c r="BB279" s="170" t="s">
        <v>120</v>
      </c>
      <c r="BC279" s="193"/>
      <c r="BD279" s="332"/>
      <c r="BE279" s="196"/>
      <c r="BF279" s="203"/>
      <c r="BG279" s="203"/>
      <c r="BH279" s="203"/>
      <c r="BI279" s="203"/>
      <c r="BJ279" s="196"/>
    </row>
    <row r="280" spans="1:62" ht="14.25" customHeight="1">
      <c r="A280" s="162"/>
      <c r="B280" s="162"/>
      <c r="C280" s="162"/>
      <c r="D280" s="162"/>
      <c r="E280" s="162"/>
      <c r="F280" s="163"/>
      <c r="G280" s="163"/>
      <c r="H280" s="163"/>
      <c r="I280" s="163"/>
      <c r="J280" s="163"/>
      <c r="K280" s="163"/>
      <c r="L280" s="163"/>
      <c r="M280" s="163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  <c r="AA280" s="162"/>
      <c r="AC280" s="162"/>
      <c r="AD280" s="162" t="s">
        <v>190</v>
      </c>
      <c r="AE280" s="162"/>
      <c r="AF280" s="162"/>
      <c r="AG280" s="162"/>
      <c r="AH280" s="163"/>
      <c r="AI280" s="163"/>
      <c r="AJ280" s="162"/>
      <c r="AK280" s="169"/>
      <c r="AL280" s="324"/>
      <c r="AM280" s="170"/>
      <c r="AN280" s="169"/>
      <c r="AO280" s="323"/>
      <c r="AP280" s="170"/>
      <c r="AQ280" s="162"/>
      <c r="AR280" s="162"/>
      <c r="AS280" s="162"/>
      <c r="AT280" s="169"/>
      <c r="AU280" s="323"/>
      <c r="AV280" s="338" t="s">
        <v>201</v>
      </c>
      <c r="AW280" s="169"/>
      <c r="AX280" s="323" t="s">
        <v>90</v>
      </c>
      <c r="AY280" s="497">
        <f>AW132</f>
        <v>78.5</v>
      </c>
      <c r="AZ280" s="501"/>
      <c r="BA280" s="502"/>
      <c r="BB280" s="170" t="s">
        <v>120</v>
      </c>
      <c r="BC280" s="201"/>
      <c r="BD280" s="332"/>
      <c r="BE280" s="203"/>
      <c r="BF280" s="203"/>
      <c r="BG280" s="203"/>
      <c r="BH280" s="203"/>
      <c r="BI280" s="196"/>
      <c r="BJ280" s="196"/>
    </row>
    <row r="281" spans="1:62" ht="15.6">
      <c r="A281" s="162"/>
      <c r="B281" s="162" t="s">
        <v>141</v>
      </c>
      <c r="C281" s="162"/>
      <c r="D281" s="162"/>
      <c r="E281" s="162"/>
      <c r="F281" s="163"/>
      <c r="G281" s="163"/>
      <c r="H281" s="163"/>
      <c r="I281" s="163"/>
      <c r="J281" s="163"/>
      <c r="K281" s="163"/>
      <c r="L281" s="163"/>
      <c r="M281" s="163"/>
      <c r="N281" s="162"/>
      <c r="O281" s="162"/>
      <c r="P281" s="162"/>
      <c r="Q281" s="271" t="s">
        <v>142</v>
      </c>
      <c r="R281" s="497">
        <f>AX$67</f>
        <v>120.05</v>
      </c>
      <c r="S281" s="498"/>
      <c r="T281" s="499"/>
      <c r="U281" s="162" t="s">
        <v>120</v>
      </c>
      <c r="V281" s="162"/>
      <c r="W281" s="162"/>
      <c r="X281" s="162"/>
      <c r="Y281" s="162"/>
      <c r="Z281" s="162"/>
      <c r="AA281" s="162"/>
      <c r="BC281" s="201"/>
      <c r="BD281" s="332"/>
      <c r="BE281" s="203"/>
      <c r="BF281" s="203"/>
      <c r="BG281" s="203"/>
      <c r="BH281" s="203"/>
      <c r="BI281" s="196"/>
      <c r="BJ281" s="196"/>
    </row>
    <row r="282" spans="1:62" ht="14.25" hidden="1" customHeight="1">
      <c r="A282" s="162"/>
      <c r="B282" s="162" t="s">
        <v>143</v>
      </c>
      <c r="C282" s="162"/>
      <c r="D282" s="162"/>
      <c r="E282" s="162"/>
      <c r="F282" s="163"/>
      <c r="G282" s="163"/>
      <c r="H282" s="163"/>
      <c r="I282" s="163"/>
      <c r="J282" s="163"/>
      <c r="K282" s="163"/>
      <c r="L282" s="163"/>
      <c r="M282" s="163"/>
      <c r="N282" s="162"/>
      <c r="O282" s="162"/>
      <c r="P282" s="162"/>
      <c r="Q282" s="271" t="s">
        <v>142</v>
      </c>
      <c r="R282" s="497">
        <f>AX$70</f>
        <v>142.1</v>
      </c>
      <c r="S282" s="498"/>
      <c r="T282" s="499"/>
      <c r="U282" s="162" t="s">
        <v>187</v>
      </c>
      <c r="V282" s="162"/>
      <c r="W282" s="162"/>
      <c r="X282" s="162"/>
      <c r="Y282" s="162"/>
      <c r="Z282" s="162"/>
      <c r="AA282" s="162"/>
      <c r="AC282" s="233">
        <v>43</v>
      </c>
      <c r="AD282" s="162" t="s">
        <v>179</v>
      </c>
      <c r="AE282" s="162"/>
      <c r="AF282" s="162"/>
      <c r="AG282" s="162"/>
      <c r="AH282" s="163"/>
      <c r="AI282" s="163"/>
      <c r="AJ282" s="162"/>
      <c r="AK282" s="169"/>
      <c r="AL282" s="324"/>
      <c r="AM282" s="170"/>
      <c r="AN282" s="169"/>
      <c r="AO282" s="323"/>
      <c r="AP282" s="170"/>
      <c r="AQ282" s="162"/>
      <c r="AR282" s="162"/>
      <c r="AS282" s="162"/>
      <c r="AT282" s="169"/>
      <c r="AU282" s="323"/>
      <c r="AV282" s="336"/>
      <c r="AW282" s="340" t="s">
        <v>209</v>
      </c>
      <c r="AX282" s="323" t="s">
        <v>90</v>
      </c>
      <c r="AY282" s="497">
        <f>AY136</f>
        <v>158.5</v>
      </c>
      <c r="AZ282" s="501"/>
      <c r="BA282" s="502"/>
      <c r="BB282" s="170" t="s">
        <v>120</v>
      </c>
      <c r="BC282" s="201"/>
      <c r="BD282" s="332"/>
      <c r="BE282" s="203"/>
      <c r="BF282" s="203"/>
      <c r="BG282" s="203"/>
      <c r="BH282" s="196"/>
      <c r="BI282" s="196"/>
      <c r="BJ282" s="196"/>
    </row>
    <row r="283" spans="1:62" ht="14.25" hidden="1" customHeight="1">
      <c r="A283" s="162"/>
      <c r="B283" s="162" t="s">
        <v>144</v>
      </c>
      <c r="C283" s="162"/>
      <c r="D283" s="162"/>
      <c r="E283" s="162"/>
      <c r="F283" s="163"/>
      <c r="G283" s="163"/>
      <c r="H283" s="163"/>
      <c r="I283" s="163"/>
      <c r="J283" s="163"/>
      <c r="K283" s="163"/>
      <c r="L283" s="163"/>
      <c r="M283" s="163"/>
      <c r="N283" s="162"/>
      <c r="O283" s="162"/>
      <c r="P283" s="162"/>
      <c r="Q283" s="271" t="s">
        <v>142</v>
      </c>
      <c r="R283" s="497">
        <f>AX$71</f>
        <v>149.44999999999999</v>
      </c>
      <c r="S283" s="498"/>
      <c r="T283" s="499"/>
      <c r="U283" s="162" t="s">
        <v>187</v>
      </c>
      <c r="V283" s="162"/>
      <c r="W283" s="162"/>
      <c r="X283" s="162"/>
      <c r="Y283" s="162"/>
      <c r="Z283" s="162"/>
      <c r="AA283" s="162"/>
      <c r="AC283" s="162"/>
      <c r="AD283" s="162" t="s">
        <v>190</v>
      </c>
      <c r="AE283" s="162"/>
      <c r="AF283" s="162"/>
      <c r="AG283" s="162"/>
      <c r="AH283" s="163"/>
      <c r="AI283" s="163"/>
      <c r="AJ283" s="162"/>
      <c r="AK283" s="169"/>
      <c r="AL283" s="324"/>
      <c r="AM283" s="170"/>
      <c r="AN283" s="169"/>
      <c r="AO283" s="323"/>
      <c r="AP283" s="170"/>
      <c r="AQ283" s="162"/>
      <c r="AR283" s="162"/>
      <c r="AS283" s="162"/>
      <c r="AT283" s="169"/>
      <c r="AU283" s="323"/>
      <c r="AV283" s="338"/>
      <c r="AW283" s="341" t="s">
        <v>210</v>
      </c>
      <c r="AX283" s="323" t="s">
        <v>90</v>
      </c>
      <c r="AY283" s="497">
        <f>AW136</f>
        <v>128.5</v>
      </c>
      <c r="AZ283" s="501"/>
      <c r="BA283" s="502"/>
      <c r="BB283" s="170" t="s">
        <v>120</v>
      </c>
      <c r="BC283" s="201"/>
      <c r="BD283" s="332"/>
      <c r="BE283" s="203"/>
      <c r="BF283" s="203"/>
      <c r="BG283" s="203"/>
      <c r="BH283" s="196"/>
      <c r="BI283" s="196"/>
      <c r="BJ283" s="196"/>
    </row>
    <row r="284" spans="1:62" ht="14.25" customHeight="1">
      <c r="A284" s="162"/>
      <c r="B284" s="162" t="s">
        <v>145</v>
      </c>
      <c r="C284" s="162"/>
      <c r="D284" s="162"/>
      <c r="E284" s="162"/>
      <c r="F284" s="163"/>
      <c r="G284" s="163"/>
      <c r="H284" s="163"/>
      <c r="I284" s="163"/>
      <c r="J284" s="163"/>
      <c r="K284" s="163"/>
      <c r="L284" s="163"/>
      <c r="M284" s="163"/>
      <c r="N284" s="162"/>
      <c r="O284" s="162"/>
      <c r="P284" s="162"/>
      <c r="Q284" s="271" t="s">
        <v>142</v>
      </c>
      <c r="R284" s="497">
        <f>AX$76</f>
        <v>151.54999999999995</v>
      </c>
      <c r="S284" s="498"/>
      <c r="T284" s="499"/>
      <c r="U284" s="162" t="s">
        <v>120</v>
      </c>
      <c r="V284" s="162"/>
      <c r="W284" s="162"/>
      <c r="X284" s="162"/>
      <c r="Y284" s="162"/>
      <c r="Z284" s="162"/>
      <c r="AA284" s="162"/>
      <c r="BC284" s="201"/>
      <c r="BD284" s="332"/>
      <c r="BE284" s="203"/>
      <c r="BF284" s="203"/>
      <c r="BG284" s="203"/>
      <c r="BH284" s="196"/>
      <c r="BI284" s="196"/>
      <c r="BJ284" s="196"/>
    </row>
    <row r="285" spans="1:62" ht="14.25" customHeight="1">
      <c r="A285" s="162"/>
      <c r="B285" s="162"/>
      <c r="C285" s="162"/>
      <c r="D285" s="162"/>
      <c r="E285" s="162"/>
      <c r="F285" s="163"/>
      <c r="G285" s="163"/>
      <c r="H285" s="163"/>
      <c r="I285" s="163"/>
      <c r="J285" s="163"/>
      <c r="K285" s="163"/>
      <c r="L285" s="163"/>
      <c r="M285" s="163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BC285" s="201"/>
      <c r="BD285" s="332"/>
      <c r="BE285" s="203"/>
      <c r="BF285" s="203"/>
      <c r="BG285" s="203"/>
      <c r="BH285" s="196"/>
      <c r="BI285" s="196"/>
      <c r="BJ285" s="196"/>
    </row>
    <row r="286" spans="1:62" ht="14.25" customHeight="1">
      <c r="A286" s="162"/>
      <c r="B286" s="162"/>
      <c r="C286" s="162"/>
      <c r="D286" s="162"/>
      <c r="E286" s="162"/>
      <c r="F286" s="163"/>
      <c r="G286" s="163"/>
      <c r="H286" s="163"/>
      <c r="I286" s="163"/>
      <c r="J286" s="163"/>
      <c r="K286" s="163"/>
      <c r="L286" s="163"/>
      <c r="M286" s="163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BC286" s="201"/>
      <c r="BD286" s="332"/>
      <c r="BE286" s="203"/>
      <c r="BF286" s="203"/>
      <c r="BG286" s="203"/>
      <c r="BH286" s="196"/>
      <c r="BI286" s="196"/>
      <c r="BJ286" s="196"/>
    </row>
    <row r="287" spans="1:62" ht="14.25" customHeight="1">
      <c r="A287" s="162"/>
      <c r="B287" s="162"/>
      <c r="C287" s="162"/>
      <c r="D287" s="162"/>
      <c r="E287" s="162"/>
      <c r="F287" s="163"/>
      <c r="G287" s="163"/>
      <c r="H287" s="163"/>
      <c r="I287" s="163"/>
      <c r="J287" s="163"/>
      <c r="K287" s="163"/>
      <c r="L287" s="163"/>
      <c r="M287" s="163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BC287" s="201"/>
      <c r="BD287" s="332"/>
      <c r="BE287" s="203"/>
      <c r="BF287" s="196"/>
      <c r="BG287" s="196"/>
      <c r="BH287" s="196"/>
      <c r="BI287" s="196"/>
    </row>
    <row r="288" spans="1:62" ht="14.25" customHeight="1">
      <c r="A288" s="162"/>
      <c r="B288" s="162"/>
      <c r="C288" s="162"/>
      <c r="D288" s="162"/>
      <c r="E288" s="162"/>
      <c r="F288" s="163"/>
      <c r="G288" s="163"/>
      <c r="H288" s="163"/>
      <c r="I288" s="163"/>
      <c r="J288" s="163"/>
      <c r="K288" s="163"/>
      <c r="L288" s="163"/>
      <c r="M288" s="163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BC288" s="201"/>
      <c r="BD288" s="337"/>
      <c r="BE288" s="196"/>
      <c r="BF288" s="196"/>
      <c r="BG288" s="196"/>
      <c r="BH288" s="196"/>
      <c r="BI288" s="196"/>
    </row>
    <row r="289" spans="1:64" ht="14.25" customHeight="1">
      <c r="A289" s="162"/>
      <c r="B289" s="162"/>
      <c r="C289" s="162"/>
      <c r="D289" s="162"/>
      <c r="E289" s="162"/>
      <c r="F289" s="163"/>
      <c r="G289" s="163"/>
      <c r="H289" s="163"/>
      <c r="I289" s="163"/>
      <c r="J289" s="163"/>
      <c r="K289" s="163"/>
      <c r="L289" s="163"/>
      <c r="M289" s="163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  <c r="AA289" s="162"/>
      <c r="BC289" s="201"/>
      <c r="BD289" s="229"/>
      <c r="BE289" s="332"/>
      <c r="BF289" s="196"/>
      <c r="BG289" s="196"/>
      <c r="BH289" s="196"/>
      <c r="BI289" s="196"/>
    </row>
    <row r="290" spans="1:64" ht="14.25" customHeight="1">
      <c r="A290" s="162"/>
      <c r="B290" s="162"/>
      <c r="C290" s="162"/>
      <c r="D290" s="162"/>
      <c r="E290" s="162"/>
      <c r="F290" s="163"/>
      <c r="G290" s="163"/>
      <c r="H290" s="163"/>
      <c r="I290" s="163"/>
      <c r="J290" s="163"/>
      <c r="K290" s="163"/>
      <c r="L290" s="163"/>
      <c r="M290" s="163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  <c r="AA290" s="162"/>
      <c r="AB290" s="233">
        <v>52</v>
      </c>
      <c r="AC290" s="162" t="s">
        <v>211</v>
      </c>
      <c r="AD290" s="162"/>
      <c r="AE290" s="162"/>
      <c r="AF290" s="162"/>
      <c r="AG290" s="162"/>
      <c r="AH290" s="163"/>
      <c r="AI290" s="163"/>
      <c r="AJ290" s="162"/>
      <c r="AK290" s="169"/>
      <c r="AL290" s="324"/>
      <c r="AM290" s="170"/>
      <c r="AN290" s="169" t="s">
        <v>90</v>
      </c>
      <c r="AO290" s="497">
        <f>AD44</f>
        <v>47.5</v>
      </c>
      <c r="AP290" s="498"/>
      <c r="AQ290" s="498"/>
      <c r="AR290" s="498"/>
      <c r="AS290" s="501"/>
      <c r="AT290" s="502"/>
      <c r="AU290" s="323" t="s">
        <v>120</v>
      </c>
      <c r="AV290" s="170"/>
      <c r="AW290" s="169"/>
      <c r="BD290" s="229"/>
      <c r="BE290" s="332"/>
      <c r="BF290" s="196"/>
      <c r="BG290" s="196"/>
      <c r="BH290" s="196"/>
      <c r="BI290" s="196"/>
    </row>
    <row r="291" spans="1:64" ht="14.25" customHeight="1">
      <c r="A291" s="162"/>
      <c r="B291" s="162"/>
      <c r="C291" s="162"/>
      <c r="D291" s="162"/>
      <c r="E291" s="162"/>
      <c r="F291" s="163"/>
      <c r="G291" s="163"/>
      <c r="H291" s="163"/>
      <c r="I291" s="163"/>
      <c r="J291" s="163"/>
      <c r="K291" s="163"/>
      <c r="L291" s="163"/>
      <c r="M291" s="163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  <c r="AA291" s="162"/>
      <c r="BD291" s="229"/>
      <c r="BE291" s="332"/>
      <c r="BF291" s="196"/>
      <c r="BG291" s="196"/>
      <c r="BH291" s="196"/>
    </row>
    <row r="292" spans="1:64" ht="14.25" customHeight="1">
      <c r="A292" s="162"/>
      <c r="B292" s="162"/>
      <c r="C292" s="162"/>
      <c r="D292" s="162"/>
      <c r="E292" s="162"/>
      <c r="F292" s="163"/>
      <c r="G292" s="163"/>
      <c r="H292" s="163"/>
      <c r="I292" s="163"/>
      <c r="J292" s="163"/>
      <c r="K292" s="163"/>
      <c r="L292" s="163"/>
      <c r="M292" s="163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BD292" s="229"/>
      <c r="BE292" s="332"/>
      <c r="BF292" s="196"/>
      <c r="BG292" s="196"/>
      <c r="BH292" s="196"/>
    </row>
    <row r="293" spans="1:64" ht="14.25" customHeight="1">
      <c r="A293" s="162"/>
      <c r="B293" s="215" t="s">
        <v>212</v>
      </c>
      <c r="C293" s="215"/>
      <c r="D293" s="215"/>
      <c r="E293" s="215"/>
      <c r="F293" s="216"/>
      <c r="G293" s="216"/>
      <c r="H293" s="216"/>
      <c r="I293" s="216"/>
      <c r="J293" s="216"/>
      <c r="K293" s="216"/>
      <c r="L293" s="216"/>
      <c r="M293" s="216"/>
      <c r="N293" s="215"/>
      <c r="O293" s="215"/>
      <c r="P293" s="215"/>
      <c r="Q293" s="215"/>
      <c r="R293" s="215"/>
      <c r="S293" s="215"/>
      <c r="T293" s="215"/>
      <c r="U293" s="215"/>
      <c r="V293" s="162"/>
      <c r="W293" s="162"/>
      <c r="X293" s="162"/>
      <c r="Y293" s="162"/>
      <c r="Z293" s="162"/>
      <c r="AA293" s="162"/>
      <c r="BD293" s="229"/>
      <c r="BE293" s="332"/>
      <c r="BF293" s="196"/>
      <c r="BG293" s="196"/>
    </row>
    <row r="294" spans="1:64" ht="14.25" customHeight="1">
      <c r="A294" s="162"/>
      <c r="B294" s="215" t="s">
        <v>208</v>
      </c>
      <c r="C294" s="215"/>
      <c r="D294" s="215"/>
      <c r="E294" s="215"/>
      <c r="F294" s="216"/>
      <c r="G294" s="216"/>
      <c r="H294" s="216"/>
      <c r="I294" s="216"/>
      <c r="J294" s="216"/>
      <c r="K294" s="216"/>
      <c r="L294" s="216"/>
      <c r="M294" s="216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162"/>
      <c r="Y294" s="162"/>
      <c r="Z294" s="162"/>
      <c r="AA294" s="162"/>
      <c r="BD294" s="279"/>
      <c r="BE294" s="194"/>
      <c r="BF294" s="194"/>
      <c r="BG294" s="194"/>
    </row>
    <row r="295" spans="1:64" ht="14.25" customHeight="1">
      <c r="A295" s="162"/>
      <c r="B295" s="162"/>
      <c r="C295" s="162"/>
      <c r="D295" s="162"/>
      <c r="E295" s="162"/>
      <c r="F295" s="163"/>
      <c r="G295" s="163"/>
      <c r="H295" s="163"/>
      <c r="I295" s="163"/>
      <c r="J295" s="163"/>
      <c r="K295" s="163"/>
      <c r="L295" s="163"/>
      <c r="M295" s="163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BE295" s="194"/>
      <c r="BF295" s="194"/>
      <c r="BG295" s="196"/>
      <c r="BI295" s="481" t="s">
        <v>213</v>
      </c>
      <c r="BK295" s="11"/>
    </row>
    <row r="296" spans="1:64" ht="14.25" customHeight="1">
      <c r="A296" s="162"/>
      <c r="B296" s="270"/>
      <c r="C296" s="215"/>
      <c r="D296" s="215"/>
      <c r="E296" s="215"/>
      <c r="F296" s="216"/>
      <c r="G296" s="216"/>
      <c r="H296" s="216"/>
      <c r="I296" s="216"/>
      <c r="J296" s="163"/>
      <c r="K296" s="163"/>
      <c r="L296" s="163"/>
      <c r="M296" s="163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  <c r="AA296" s="162"/>
      <c r="BD296" s="194"/>
      <c r="BE296" s="194"/>
      <c r="BF296" s="194"/>
      <c r="BG296" s="196"/>
      <c r="BI296" s="481"/>
    </row>
    <row r="297" spans="1:64" ht="14.25" customHeight="1">
      <c r="A297" s="162"/>
      <c r="B297" s="162" t="s">
        <v>141</v>
      </c>
      <c r="C297" s="162"/>
      <c r="D297" s="162"/>
      <c r="E297" s="162"/>
      <c r="F297" s="163"/>
      <c r="G297" s="163"/>
      <c r="H297" s="163"/>
      <c r="I297" s="163"/>
      <c r="J297" s="163"/>
      <c r="K297" s="163"/>
      <c r="L297" s="163"/>
      <c r="M297" s="163"/>
      <c r="N297" s="162"/>
      <c r="O297" s="162"/>
      <c r="P297" s="162"/>
      <c r="Q297" s="271" t="s">
        <v>142</v>
      </c>
      <c r="R297" s="497">
        <f>AX92</f>
        <v>68.267008980910191</v>
      </c>
      <c r="S297" s="498"/>
      <c r="T297" s="499"/>
      <c r="U297" s="162" t="s">
        <v>120</v>
      </c>
      <c r="V297" s="162"/>
      <c r="W297" s="162"/>
      <c r="X297" s="162"/>
      <c r="Y297" s="162"/>
      <c r="Z297" s="162"/>
      <c r="AA297" s="162"/>
      <c r="BC297" s="194"/>
      <c r="BD297" s="187"/>
      <c r="BE297" s="194"/>
      <c r="BF297" s="194"/>
      <c r="BG297" s="196"/>
      <c r="BH297" s="481" t="s">
        <v>214</v>
      </c>
      <c r="BI297" s="482"/>
    </row>
    <row r="298" spans="1:64" ht="14.25" hidden="1" customHeight="1">
      <c r="A298" s="162"/>
      <c r="B298" s="162" t="s">
        <v>143</v>
      </c>
      <c r="C298" s="162"/>
      <c r="D298" s="162"/>
      <c r="E298" s="162"/>
      <c r="F298" s="163"/>
      <c r="G298" s="163"/>
      <c r="H298" s="163"/>
      <c r="I298" s="163"/>
      <c r="J298" s="163"/>
      <c r="K298" s="163"/>
      <c r="L298" s="163"/>
      <c r="M298" s="163"/>
      <c r="N298" s="162"/>
      <c r="O298" s="162"/>
      <c r="P298" s="162"/>
      <c r="Q298" s="271" t="s">
        <v>142</v>
      </c>
      <c r="R298" s="497">
        <f>AX$97</f>
        <v>84.986852899926831</v>
      </c>
      <c r="S298" s="498"/>
      <c r="T298" s="499"/>
      <c r="U298" s="162" t="s">
        <v>187</v>
      </c>
      <c r="V298" s="162"/>
      <c r="W298" s="162"/>
      <c r="X298" s="162"/>
      <c r="Y298" s="162"/>
      <c r="Z298" s="162"/>
      <c r="AA298" s="162"/>
      <c r="BC298" s="194"/>
      <c r="BD298" s="187"/>
      <c r="BE298" s="196"/>
      <c r="BF298" s="194"/>
      <c r="BG298" s="194"/>
      <c r="BH298" s="481"/>
      <c r="BJ298" s="11"/>
    </row>
    <row r="299" spans="1:64" ht="14.25" hidden="1" customHeight="1">
      <c r="A299" s="162"/>
      <c r="B299" s="162" t="s">
        <v>144</v>
      </c>
      <c r="C299" s="162"/>
      <c r="D299" s="162"/>
      <c r="E299" s="162"/>
      <c r="F299" s="163"/>
      <c r="G299" s="163"/>
      <c r="H299" s="163"/>
      <c r="I299" s="163"/>
      <c r="J299" s="163"/>
      <c r="K299" s="163"/>
      <c r="L299" s="163"/>
      <c r="M299" s="163"/>
      <c r="N299" s="162"/>
      <c r="O299" s="162"/>
      <c r="P299" s="162"/>
      <c r="Q299" s="271" t="s">
        <v>142</v>
      </c>
      <c r="R299" s="497">
        <f>AX$98</f>
        <v>88.330821683730164</v>
      </c>
      <c r="S299" s="498"/>
      <c r="T299" s="499"/>
      <c r="U299" s="162" t="s">
        <v>187</v>
      </c>
      <c r="V299" s="162"/>
      <c r="W299" s="162"/>
      <c r="X299" s="162"/>
      <c r="Y299" s="162"/>
      <c r="Z299" s="162"/>
      <c r="AA299" s="162"/>
      <c r="BC299" s="194"/>
      <c r="BD299" s="187"/>
      <c r="BE299" s="196"/>
      <c r="BF299" s="194"/>
      <c r="BH299" s="482"/>
      <c r="BI299" s="194"/>
      <c r="BL299" s="11"/>
    </row>
    <row r="300" spans="1:64" ht="14.25" customHeight="1">
      <c r="A300" s="162"/>
      <c r="B300" s="162" t="s">
        <v>145</v>
      </c>
      <c r="C300" s="162"/>
      <c r="D300" s="162"/>
      <c r="E300" s="162"/>
      <c r="F300" s="163"/>
      <c r="G300" s="163"/>
      <c r="H300" s="163"/>
      <c r="I300" s="163"/>
      <c r="J300" s="163"/>
      <c r="K300" s="163"/>
      <c r="L300" s="163"/>
      <c r="M300" s="163"/>
      <c r="N300" s="162"/>
      <c r="O300" s="162"/>
      <c r="P300" s="162"/>
      <c r="Q300" s="271" t="s">
        <v>142</v>
      </c>
      <c r="R300" s="497">
        <f>AX101</f>
        <v>82.598303768638729</v>
      </c>
      <c r="S300" s="498"/>
      <c r="T300" s="499"/>
      <c r="U300" s="162" t="s">
        <v>120</v>
      </c>
      <c r="V300" s="162"/>
      <c r="W300" s="162"/>
      <c r="X300" s="162"/>
      <c r="Y300" s="162"/>
      <c r="Z300" s="162"/>
      <c r="AA300" s="162"/>
      <c r="BC300" s="194"/>
      <c r="BD300" s="187"/>
      <c r="BE300" s="196"/>
      <c r="BF300" s="194"/>
      <c r="BI300" s="194"/>
    </row>
    <row r="301" spans="1:64" ht="14.25" customHeight="1">
      <c r="A301" s="162"/>
      <c r="B301" s="162"/>
      <c r="C301" s="162"/>
      <c r="D301" s="162"/>
      <c r="E301" s="162"/>
      <c r="F301" s="163"/>
      <c r="G301" s="163"/>
      <c r="H301" s="163"/>
      <c r="I301" s="163"/>
      <c r="J301" s="163"/>
      <c r="K301" s="163"/>
      <c r="L301" s="163"/>
      <c r="M301" s="163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BC301" s="194"/>
      <c r="BD301" s="187"/>
      <c r="BE301" s="194"/>
      <c r="BH301" s="194"/>
      <c r="BI301" s="194">
        <f>(AE130*10)</f>
        <v>5</v>
      </c>
    </row>
    <row r="302" spans="1:64" ht="14.25" customHeight="1">
      <c r="A302" s="162"/>
      <c r="B302" s="162"/>
      <c r="C302" s="162"/>
      <c r="D302" s="162"/>
      <c r="E302" s="162"/>
      <c r="F302" s="163"/>
      <c r="G302" s="163"/>
      <c r="H302" s="163"/>
      <c r="I302" s="163"/>
      <c r="J302" s="163"/>
      <c r="K302" s="163"/>
      <c r="L302" s="163"/>
      <c r="M302" s="163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BC302" s="194"/>
      <c r="BD302" s="187"/>
      <c r="BG302" s="481" t="s">
        <v>215</v>
      </c>
      <c r="BH302" s="194">
        <f>(AE129*10)</f>
        <v>30</v>
      </c>
      <c r="BI302" s="285">
        <f>(AE131*10)</f>
        <v>68.5</v>
      </c>
    </row>
    <row r="303" spans="1:64" ht="14.25" customHeight="1">
      <c r="A303" s="162"/>
      <c r="B303" s="162"/>
      <c r="C303" s="162"/>
      <c r="D303" s="162"/>
      <c r="E303" s="162"/>
      <c r="F303" s="163"/>
      <c r="G303" s="163"/>
      <c r="H303" s="163"/>
      <c r="I303" s="163"/>
      <c r="J303" s="163"/>
      <c r="K303" s="163"/>
      <c r="L303" s="163"/>
      <c r="M303" s="163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BC303" s="196"/>
      <c r="BF303" s="483" t="s">
        <v>216</v>
      </c>
      <c r="BG303" s="482"/>
      <c r="BH303" s="285">
        <f>(AE131*10)</f>
        <v>68.5</v>
      </c>
      <c r="BI303" s="194"/>
    </row>
    <row r="304" spans="1:64" ht="14.25" customHeight="1">
      <c r="A304" s="162"/>
      <c r="B304" s="162"/>
      <c r="C304" s="162"/>
      <c r="D304" s="162"/>
      <c r="E304" s="162"/>
      <c r="F304" s="163"/>
      <c r="G304" s="163"/>
      <c r="H304" s="163"/>
      <c r="I304" s="163"/>
      <c r="J304" s="163"/>
      <c r="K304" s="163"/>
      <c r="L304" s="163"/>
      <c r="M304" s="163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BE304" s="481" t="s">
        <v>217</v>
      </c>
      <c r="BF304" s="483"/>
      <c r="BH304" s="194">
        <f>(AE132*10)</f>
        <v>5</v>
      </c>
      <c r="BI304" s="194"/>
    </row>
    <row r="305" spans="1:61" ht="14.25" customHeight="1">
      <c r="A305" s="162"/>
      <c r="B305" s="162"/>
      <c r="C305" s="162"/>
      <c r="D305" s="162"/>
      <c r="E305" s="162"/>
      <c r="F305" s="163"/>
      <c r="G305" s="163"/>
      <c r="H305" s="163"/>
      <c r="I305" s="163"/>
      <c r="J305" s="163"/>
      <c r="K305" s="163"/>
      <c r="L305" s="163"/>
      <c r="M305" s="163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BE305" s="481"/>
      <c r="BF305" s="484"/>
      <c r="BG305" s="196"/>
      <c r="BH305" s="194"/>
      <c r="BI305" s="194">
        <f>(AE135*10)</f>
        <v>24.000000000000004</v>
      </c>
    </row>
    <row r="306" spans="1:61" ht="14.25" customHeight="1">
      <c r="A306" s="162"/>
      <c r="B306" s="162"/>
      <c r="C306" s="162"/>
      <c r="D306" s="162"/>
      <c r="E306" s="162"/>
      <c r="F306" s="163"/>
      <c r="G306" s="163"/>
      <c r="H306" s="163"/>
      <c r="I306" s="163"/>
      <c r="J306" s="163"/>
      <c r="K306" s="163"/>
      <c r="L306" s="163"/>
      <c r="M306" s="163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  <c r="AA306" s="162"/>
      <c r="BD306" s="483" t="s">
        <v>218</v>
      </c>
      <c r="BE306" s="482"/>
      <c r="BG306" s="194"/>
      <c r="BH306" s="194"/>
      <c r="BI306" s="205">
        <f>(AE136*10)</f>
        <v>5</v>
      </c>
    </row>
    <row r="307" spans="1:61" ht="14.25" customHeight="1">
      <c r="A307" s="162"/>
      <c r="B307" s="162"/>
      <c r="C307" s="162"/>
      <c r="D307" s="162"/>
      <c r="E307" s="162"/>
      <c r="F307" s="163"/>
      <c r="G307" s="163"/>
      <c r="H307" s="163"/>
      <c r="I307" s="163"/>
      <c r="J307" s="163"/>
      <c r="K307" s="163"/>
      <c r="L307" s="163"/>
      <c r="M307" s="163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BC307" s="481" t="s">
        <v>219</v>
      </c>
      <c r="BD307" s="483"/>
      <c r="BF307" s="194"/>
      <c r="BG307" s="194"/>
      <c r="BH307" s="194">
        <f>(AE135*10)</f>
        <v>24.000000000000004</v>
      </c>
      <c r="BI307" s="203">
        <f>SUM(BI298:BI306)</f>
        <v>102.5</v>
      </c>
    </row>
    <row r="308" spans="1:61" ht="14.25" customHeight="1">
      <c r="A308" s="162"/>
      <c r="B308" s="162"/>
      <c r="C308" s="162"/>
      <c r="D308" s="162"/>
      <c r="E308" s="162"/>
      <c r="F308" s="163"/>
      <c r="G308" s="163"/>
      <c r="H308" s="163"/>
      <c r="I308" s="163"/>
      <c r="J308" s="163"/>
      <c r="K308" s="163"/>
      <c r="L308" s="163"/>
      <c r="M308" s="163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  <c r="AA308" s="162"/>
      <c r="BC308" s="481"/>
      <c r="BD308" s="484"/>
      <c r="BE308" s="196"/>
      <c r="BF308" s="194"/>
      <c r="BG308" s="285"/>
      <c r="BH308" s="205">
        <f>(AE136*10)</f>
        <v>5</v>
      </c>
    </row>
    <row r="309" spans="1:61" ht="14.25" customHeight="1">
      <c r="A309" s="393" t="s">
        <v>0</v>
      </c>
      <c r="B309" s="394"/>
      <c r="C309" s="395"/>
      <c r="D309" s="412" t="str">
        <f>$D$1</f>
        <v xml:space="preserve">Megaspine </v>
      </c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4"/>
      <c r="R309" s="389" t="s">
        <v>2</v>
      </c>
      <c r="S309" s="389"/>
      <c r="T309" s="389"/>
      <c r="U309" s="390">
        <f>$U$1</f>
        <v>0</v>
      </c>
      <c r="V309" s="391"/>
      <c r="W309" s="391"/>
      <c r="X309" s="392"/>
      <c r="Y309" s="380"/>
      <c r="Z309" s="381"/>
      <c r="AA309" s="382"/>
      <c r="BC309" s="482"/>
      <c r="BE309" s="194"/>
      <c r="BF309" s="194">
        <f>(AE130*10)+BF308</f>
        <v>5</v>
      </c>
      <c r="BG309" s="203">
        <f>BF311</f>
        <v>78.5</v>
      </c>
      <c r="BH309" s="203">
        <f>SUM(BH300:BH308)</f>
        <v>132.5</v>
      </c>
    </row>
    <row r="310" spans="1:61" ht="14.25" customHeight="1">
      <c r="A310" s="399"/>
      <c r="B310" s="400"/>
      <c r="C310" s="401"/>
      <c r="D310" s="415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7"/>
      <c r="R310" s="389" t="s">
        <v>3</v>
      </c>
      <c r="S310" s="389"/>
      <c r="T310" s="389"/>
      <c r="U310" s="390" t="str">
        <f>$U$2</f>
        <v>PSM</v>
      </c>
      <c r="V310" s="391"/>
      <c r="W310" s="391"/>
      <c r="X310" s="392"/>
      <c r="Y310" s="383"/>
      <c r="Z310" s="384"/>
      <c r="AA310" s="385"/>
      <c r="BD310" s="187"/>
      <c r="BE310" s="194"/>
      <c r="BF310" s="285">
        <f>(AE131*10)+BF309</f>
        <v>73.5</v>
      </c>
      <c r="BG310" s="203"/>
    </row>
    <row r="311" spans="1:61" ht="14.25" customHeight="1">
      <c r="A311" s="393" t="s">
        <v>5</v>
      </c>
      <c r="B311" s="394"/>
      <c r="C311" s="395"/>
      <c r="D311" s="380" t="str">
        <f>$D$3</f>
        <v>North of ATB (CST) - Section Test</v>
      </c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2"/>
      <c r="R311" s="389" t="s">
        <v>6</v>
      </c>
      <c r="S311" s="389"/>
      <c r="T311" s="389"/>
      <c r="U311" s="390" t="str">
        <f>$U$3</f>
        <v>JRS</v>
      </c>
      <c r="V311" s="391"/>
      <c r="W311" s="391"/>
      <c r="X311" s="392"/>
      <c r="Y311" s="383"/>
      <c r="Z311" s="384"/>
      <c r="AA311" s="385"/>
      <c r="BC311" s="194"/>
      <c r="BD311" s="187">
        <f>(AE129*10)+BD310</f>
        <v>30</v>
      </c>
      <c r="BE311" s="285"/>
      <c r="BF311" s="194">
        <f>(AE132*10)+BF310</f>
        <v>78.5</v>
      </c>
      <c r="BG311" s="203"/>
    </row>
    <row r="312" spans="1:61" ht="14.25" customHeight="1">
      <c r="A312" s="396"/>
      <c r="B312" s="397"/>
      <c r="C312" s="398"/>
      <c r="D312" s="489" t="str">
        <f>$D$4</f>
        <v xml:space="preserve">Load Calculation </v>
      </c>
      <c r="E312" s="490"/>
      <c r="F312" s="490"/>
      <c r="G312" s="490"/>
      <c r="H312" s="490"/>
      <c r="I312" s="490"/>
      <c r="J312" s="490"/>
      <c r="K312" s="490"/>
      <c r="L312" s="490"/>
      <c r="M312" s="490"/>
      <c r="N312" s="490"/>
      <c r="O312" s="490"/>
      <c r="P312" s="490"/>
      <c r="Q312" s="491"/>
      <c r="R312" s="389" t="s">
        <v>9</v>
      </c>
      <c r="S312" s="389"/>
      <c r="T312" s="389"/>
      <c r="U312" s="390" t="str">
        <f>$U$4</f>
        <v>MYPQ</v>
      </c>
      <c r="V312" s="391"/>
      <c r="W312" s="391"/>
      <c r="X312" s="392"/>
      <c r="Y312" s="386"/>
      <c r="Z312" s="387"/>
      <c r="AA312" s="388"/>
      <c r="BC312" s="194"/>
      <c r="BD312" s="187">
        <f>(AE130*10)+BD311</f>
        <v>35</v>
      </c>
      <c r="BE312" s="203">
        <f>BD314</f>
        <v>108.5</v>
      </c>
      <c r="BF312" s="194"/>
      <c r="BG312" s="203">
        <f>BF314</f>
        <v>102.5</v>
      </c>
    </row>
    <row r="313" spans="1:61" ht="14.25" customHeight="1">
      <c r="A313" s="399"/>
      <c r="B313" s="400"/>
      <c r="C313" s="401"/>
      <c r="D313" s="415"/>
      <c r="E313" s="416"/>
      <c r="F313" s="416"/>
      <c r="G313" s="416"/>
      <c r="H313" s="416"/>
      <c r="I313" s="416"/>
      <c r="J313" s="416"/>
      <c r="K313" s="416"/>
      <c r="L313" s="416"/>
      <c r="M313" s="416"/>
      <c r="N313" s="416"/>
      <c r="O313" s="416"/>
      <c r="P313" s="416"/>
      <c r="Q313" s="417"/>
      <c r="R313" s="389" t="s">
        <v>11</v>
      </c>
      <c r="S313" s="389"/>
      <c r="T313" s="389"/>
      <c r="U313" s="411">
        <f ca="1">$U$5</f>
        <v>45183</v>
      </c>
      <c r="V313" s="492"/>
      <c r="W313" s="492"/>
      <c r="X313" s="493"/>
      <c r="Y313" s="418" t="s">
        <v>12</v>
      </c>
      <c r="Z313" s="419"/>
      <c r="AA313" s="183" t="str">
        <f>7&amp;"/"&amp;AB5</f>
        <v>7/14</v>
      </c>
      <c r="BC313" s="194">
        <f>AE130*10</f>
        <v>5</v>
      </c>
      <c r="BD313" s="342">
        <f>(AE131*10)+BD312</f>
        <v>103.5</v>
      </c>
      <c r="BE313" s="203"/>
      <c r="BF313" s="194"/>
      <c r="BG313" s="228"/>
    </row>
    <row r="314" spans="1:61" ht="14.25" customHeight="1">
      <c r="A314" s="162"/>
      <c r="B314" s="162"/>
      <c r="C314" s="162"/>
      <c r="D314" s="162"/>
      <c r="E314" s="162"/>
      <c r="F314" s="163"/>
      <c r="G314" s="163"/>
      <c r="H314" s="163"/>
      <c r="I314" s="163"/>
      <c r="J314" s="163"/>
      <c r="K314" s="163"/>
      <c r="L314" s="163"/>
      <c r="M314" s="163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  <c r="AA314" s="162"/>
      <c r="BC314" s="285">
        <f>AE131*10</f>
        <v>68.5</v>
      </c>
      <c r="BD314" s="187">
        <f>(AE132*10)+BD313</f>
        <v>108.5</v>
      </c>
      <c r="BE314" s="203"/>
      <c r="BF314" s="194">
        <f>(AE135*10)+BF311</f>
        <v>102.5</v>
      </c>
      <c r="BG314" s="194"/>
    </row>
    <row r="315" spans="1:61" ht="14.25" customHeight="1">
      <c r="A315" s="162"/>
      <c r="B315" s="215" t="s">
        <v>220</v>
      </c>
      <c r="C315" s="162"/>
      <c r="D315" s="162"/>
      <c r="E315" s="162"/>
      <c r="F315" s="163"/>
      <c r="G315" s="163"/>
      <c r="H315" s="163"/>
      <c r="I315" s="163"/>
      <c r="J315" s="163"/>
      <c r="K315" s="163"/>
      <c r="L315" s="163"/>
      <c r="M315" s="163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BC315" s="194"/>
      <c r="BD315" s="187"/>
      <c r="BE315" s="203">
        <f>BD317</f>
        <v>132.5</v>
      </c>
      <c r="BF315" s="205">
        <f>(AE136*10)+BF314</f>
        <v>107.5</v>
      </c>
    </row>
    <row r="316" spans="1:61" ht="14.25" customHeight="1">
      <c r="A316" s="162"/>
      <c r="B316" s="215" t="s">
        <v>221</v>
      </c>
      <c r="C316" s="215"/>
      <c r="D316" s="215"/>
      <c r="E316" s="215"/>
      <c r="F316" s="216"/>
      <c r="G316" s="216"/>
      <c r="H316" s="216"/>
      <c r="I316" s="216"/>
      <c r="J316" s="216"/>
      <c r="K316" s="216"/>
      <c r="L316" s="216"/>
      <c r="M316" s="216"/>
      <c r="N316" s="215"/>
      <c r="O316" s="215"/>
      <c r="P316" s="215"/>
      <c r="Q316" s="215"/>
      <c r="R316" s="215"/>
      <c r="S316" s="215"/>
      <c r="T316" s="215"/>
      <c r="U316" s="215"/>
      <c r="V316" s="215"/>
      <c r="W316" s="162"/>
      <c r="X316" s="162"/>
      <c r="Y316" s="162"/>
      <c r="Z316" s="162"/>
      <c r="AA316" s="162"/>
      <c r="AC316" s="233">
        <v>54</v>
      </c>
      <c r="AD316" s="162" t="s">
        <v>222</v>
      </c>
      <c r="AE316" s="162"/>
      <c r="AF316" s="162"/>
      <c r="AG316" s="162"/>
      <c r="AH316" s="163"/>
      <c r="AI316" s="163"/>
      <c r="AJ316" s="162"/>
      <c r="AK316" s="169"/>
      <c r="AL316" s="324"/>
      <c r="AM316" s="170"/>
      <c r="AN316" s="169"/>
      <c r="AO316" s="323"/>
      <c r="AP316" s="170"/>
      <c r="AQ316" s="162"/>
      <c r="AR316" s="162"/>
      <c r="AS316" s="162"/>
      <c r="AT316" s="169"/>
      <c r="AU316" s="323"/>
      <c r="AV316" s="170"/>
      <c r="AW316" s="169"/>
      <c r="AX316" s="323"/>
      <c r="AY316" s="170"/>
      <c r="AZ316" s="169"/>
      <c r="BA316" s="323"/>
      <c r="BB316" s="170"/>
      <c r="BC316" s="194"/>
      <c r="BD316" s="187"/>
      <c r="BE316" s="228"/>
      <c r="BF316" s="194"/>
    </row>
    <row r="317" spans="1:61" ht="14.25" customHeight="1">
      <c r="A317" s="162"/>
      <c r="B317" s="162"/>
      <c r="C317" s="162"/>
      <c r="D317" s="162"/>
      <c r="E317" s="162"/>
      <c r="F317" s="163"/>
      <c r="G317" s="163"/>
      <c r="H317" s="163"/>
      <c r="I317" s="163"/>
      <c r="J317" s="163"/>
      <c r="K317" s="163"/>
      <c r="L317" s="163"/>
      <c r="M317" s="163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  <c r="AA317" s="162"/>
      <c r="AC317" s="162"/>
      <c r="AD317" s="162"/>
      <c r="AE317" s="162"/>
      <c r="AF317" s="162"/>
      <c r="AG317" s="162"/>
      <c r="AH317" s="163"/>
      <c r="AI317" s="163"/>
      <c r="AJ317" s="162"/>
      <c r="AK317" s="169"/>
      <c r="AL317" s="324"/>
      <c r="AM317" s="170"/>
      <c r="AN317" s="169"/>
      <c r="AO317" s="323"/>
      <c r="AP317" s="170"/>
      <c r="AQ317" s="162"/>
      <c r="AR317" s="162"/>
      <c r="AS317" s="162"/>
      <c r="AT317" s="169"/>
      <c r="AU317" s="323"/>
      <c r="AV317" s="170"/>
      <c r="AW317" s="169"/>
      <c r="AX317" s="323"/>
      <c r="AY317" s="170"/>
      <c r="AZ317" s="169"/>
      <c r="BA317" s="323"/>
      <c r="BB317" s="170"/>
      <c r="BC317" s="194"/>
      <c r="BD317" s="187">
        <f>(AE135*10)+BD314</f>
        <v>132.5</v>
      </c>
      <c r="BE317" s="194"/>
    </row>
    <row r="318" spans="1:61" ht="14.25" customHeight="1">
      <c r="A318" s="162"/>
      <c r="B318" s="162" t="s">
        <v>223</v>
      </c>
      <c r="C318" s="162"/>
      <c r="D318" s="162"/>
      <c r="E318" s="162"/>
      <c r="F318" s="163"/>
      <c r="G318" s="163"/>
      <c r="H318" s="163"/>
      <c r="I318" s="163"/>
      <c r="J318" s="163"/>
      <c r="K318" s="163"/>
      <c r="L318" s="163"/>
      <c r="M318" s="163"/>
      <c r="N318" s="162"/>
      <c r="O318" s="162"/>
      <c r="P318" s="162"/>
      <c r="Q318" s="271" t="s">
        <v>142</v>
      </c>
      <c r="R318" s="497">
        <f>AY$78</f>
        <v>146.55000000000001</v>
      </c>
      <c r="S318" s="498"/>
      <c r="T318" s="499"/>
      <c r="U318" s="162" t="s">
        <v>120</v>
      </c>
      <c r="V318" s="162"/>
      <c r="W318" s="162"/>
      <c r="X318" s="162"/>
      <c r="Y318" s="162"/>
      <c r="Z318" s="162"/>
      <c r="AA318" s="162"/>
      <c r="AC318" s="162"/>
      <c r="AD318" s="343" t="s">
        <v>146</v>
      </c>
      <c r="AE318" s="162"/>
      <c r="AF318" s="162"/>
      <c r="AG318" s="162"/>
      <c r="AH318" s="163"/>
      <c r="AI318" s="163"/>
      <c r="AJ318" s="162"/>
      <c r="AK318" s="169"/>
      <c r="AL318" s="324"/>
      <c r="AM318" s="170"/>
      <c r="AN318" s="169"/>
      <c r="AO318" s="323"/>
      <c r="AP318" s="170"/>
      <c r="AQ318" s="162"/>
      <c r="AR318" s="162"/>
      <c r="AS318" s="162"/>
      <c r="AT318" s="169"/>
      <c r="AU318" s="323"/>
      <c r="AV318" s="170"/>
      <c r="AW318" s="169"/>
      <c r="AX318" s="323"/>
      <c r="AY318" s="170"/>
      <c r="AZ318" s="169"/>
      <c r="BA318" s="323"/>
      <c r="BB318" s="170"/>
      <c r="BC318" s="194"/>
      <c r="BD318" s="344">
        <f>(AE136*10)+BD317</f>
        <v>137.5</v>
      </c>
      <c r="BF318" s="194"/>
    </row>
    <row r="319" spans="1:61" ht="14.25" customHeight="1">
      <c r="A319" s="162"/>
      <c r="B319" s="162" t="s">
        <v>224</v>
      </c>
      <c r="C319" s="162"/>
      <c r="D319" s="162"/>
      <c r="E319" s="162"/>
      <c r="F319" s="163"/>
      <c r="G319" s="163"/>
      <c r="H319" s="163"/>
      <c r="I319" s="163"/>
      <c r="J319" s="163"/>
      <c r="K319" s="163"/>
      <c r="L319" s="163"/>
      <c r="M319" s="163"/>
      <c r="N319" s="162"/>
      <c r="O319" s="162"/>
      <c r="P319" s="162"/>
      <c r="Q319" s="271" t="s">
        <v>142</v>
      </c>
      <c r="R319" s="497">
        <f>AY$103</f>
        <v>116.55</v>
      </c>
      <c r="S319" s="498"/>
      <c r="T319" s="499"/>
      <c r="U319" s="162" t="s">
        <v>187</v>
      </c>
      <c r="V319" s="162"/>
      <c r="W319" s="162"/>
      <c r="X319" s="162"/>
      <c r="Y319" s="162"/>
      <c r="Z319" s="162"/>
      <c r="AA319" s="162"/>
      <c r="AC319" s="162"/>
      <c r="AD319" s="162" t="s">
        <v>141</v>
      </c>
      <c r="AE319" s="162"/>
      <c r="AF319" s="162"/>
      <c r="AG319" s="162"/>
      <c r="AH319" s="163"/>
      <c r="AI319" s="163"/>
      <c r="AJ319" s="162"/>
      <c r="AK319" s="169"/>
      <c r="AL319" s="324"/>
      <c r="AM319" s="170"/>
      <c r="AN319" s="169"/>
      <c r="AO319" s="323"/>
      <c r="AP319" s="170"/>
      <c r="AQ319" s="162"/>
      <c r="AR319" s="162"/>
      <c r="AS319" s="162" t="s">
        <v>104</v>
      </c>
      <c r="AT319" s="497">
        <f>$O$568</f>
        <v>0</v>
      </c>
      <c r="AU319" s="498"/>
      <c r="AV319" s="499"/>
      <c r="AW319" s="169" t="s">
        <v>120</v>
      </c>
      <c r="AX319" s="323"/>
      <c r="AY319" s="170"/>
      <c r="AZ319" s="169"/>
      <c r="BA319" s="323"/>
      <c r="BB319" s="170"/>
      <c r="BC319" s="205"/>
      <c r="BD319" s="194"/>
      <c r="BF319" s="194">
        <f>(AE140*10)+BF318</f>
        <v>118.99999999999999</v>
      </c>
    </row>
    <row r="320" spans="1:61" ht="14.25" customHeight="1">
      <c r="A320" s="162"/>
      <c r="B320" s="162"/>
      <c r="C320" s="162"/>
      <c r="D320" s="162"/>
      <c r="E320" s="162"/>
      <c r="F320" s="163"/>
      <c r="G320" s="163"/>
      <c r="H320" s="163"/>
      <c r="I320" s="163"/>
      <c r="J320" s="163"/>
      <c r="K320" s="163"/>
      <c r="L320" s="163"/>
      <c r="M320" s="163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  <c r="AA320" s="162"/>
      <c r="AC320" s="162"/>
      <c r="AD320" s="162" t="s">
        <v>145</v>
      </c>
      <c r="AE320" s="162"/>
      <c r="AF320" s="162"/>
      <c r="AG320" s="162"/>
      <c r="AH320" s="163"/>
      <c r="AI320" s="163"/>
      <c r="AJ320" s="162"/>
      <c r="AK320" s="169"/>
      <c r="AL320" s="324"/>
      <c r="AM320" s="170"/>
      <c r="AN320" s="169"/>
      <c r="AO320" s="323"/>
      <c r="AP320" s="170"/>
      <c r="AQ320" s="162"/>
      <c r="AR320" s="162"/>
      <c r="AS320" s="162" t="s">
        <v>104</v>
      </c>
      <c r="AT320" s="497">
        <f>$O$569</f>
        <v>0</v>
      </c>
      <c r="AU320" s="498"/>
      <c r="AV320" s="499"/>
      <c r="AW320" s="169" t="s">
        <v>120</v>
      </c>
      <c r="AX320" s="323"/>
      <c r="AY320" s="170"/>
      <c r="AZ320" s="169"/>
      <c r="BA320" s="323"/>
      <c r="BB320" s="170"/>
      <c r="BC320" s="203">
        <f>SUM(BC310:BC319)</f>
        <v>73.5</v>
      </c>
      <c r="BF320" s="285">
        <f>(AE141*10)+BF319</f>
        <v>129.49999999999997</v>
      </c>
      <c r="BG320" s="203"/>
    </row>
    <row r="321" spans="1:58" ht="14.25" customHeight="1">
      <c r="A321" s="162"/>
      <c r="B321" s="162"/>
      <c r="C321" s="162"/>
      <c r="D321" s="162"/>
      <c r="E321" s="162"/>
      <c r="F321" s="163"/>
      <c r="G321" s="163"/>
      <c r="H321" s="163"/>
      <c r="I321" s="163"/>
      <c r="J321" s="163"/>
      <c r="K321" s="163"/>
      <c r="L321" s="163"/>
      <c r="M321" s="163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  <c r="AA321" s="162"/>
      <c r="AC321" s="162"/>
      <c r="AD321" s="162"/>
      <c r="AE321" s="162"/>
      <c r="AF321" s="162"/>
      <c r="AG321" s="162"/>
      <c r="AH321" s="163"/>
      <c r="AI321" s="163"/>
      <c r="AJ321" s="162"/>
      <c r="AK321" s="169"/>
      <c r="AL321" s="324"/>
      <c r="AM321" s="170"/>
      <c r="AN321" s="169"/>
      <c r="AO321" s="323"/>
      <c r="AP321" s="170"/>
      <c r="AQ321" s="162"/>
      <c r="AR321" s="162"/>
      <c r="AS321" s="162"/>
      <c r="AT321" s="169"/>
      <c r="AU321" s="323"/>
      <c r="AV321" s="170"/>
      <c r="AW321" s="169"/>
      <c r="AX321" s="323"/>
      <c r="AY321" s="170"/>
      <c r="AZ321" s="169"/>
      <c r="BA321" s="323"/>
      <c r="BB321" s="170"/>
      <c r="BF321" s="194">
        <f>(AE142*10)+BF320</f>
        <v>153.49999999999997</v>
      </c>
    </row>
    <row r="322" spans="1:58" ht="14.25" customHeight="1">
      <c r="A322" s="162"/>
      <c r="B322" s="162"/>
      <c r="C322" s="162"/>
      <c r="D322" s="162"/>
      <c r="E322" s="162"/>
      <c r="F322" s="163"/>
      <c r="G322" s="163"/>
      <c r="H322" s="163"/>
      <c r="I322" s="163"/>
      <c r="J322" s="163"/>
      <c r="K322" s="163"/>
      <c r="L322" s="163"/>
      <c r="M322" s="163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  <c r="AA322" s="162"/>
      <c r="BF322" s="196">
        <f>(AE143*10)+BF321</f>
        <v>158.49999999999997</v>
      </c>
    </row>
    <row r="323" spans="1:58" ht="14.25" customHeight="1">
      <c r="A323" s="162"/>
      <c r="B323" s="162"/>
      <c r="C323" s="162"/>
      <c r="D323" s="162"/>
      <c r="E323" s="162"/>
      <c r="F323" s="163"/>
      <c r="G323" s="163"/>
      <c r="H323" s="163"/>
      <c r="I323" s="163"/>
      <c r="J323" s="163"/>
      <c r="K323" s="163"/>
      <c r="L323" s="163"/>
      <c r="M323" s="163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  <c r="AA323" s="162"/>
      <c r="AC323" s="233">
        <v>55</v>
      </c>
      <c r="AD323" s="162" t="s">
        <v>225</v>
      </c>
      <c r="AE323" s="162"/>
      <c r="AF323" s="162"/>
      <c r="AG323" s="162"/>
      <c r="AH323" s="163"/>
      <c r="AI323" s="163"/>
      <c r="AJ323" s="162"/>
      <c r="AK323" s="169"/>
      <c r="AL323" s="324"/>
      <c r="AM323" s="170"/>
      <c r="AN323" s="169"/>
      <c r="AO323" s="323"/>
      <c r="AP323" s="170"/>
      <c r="AQ323" s="162"/>
      <c r="AR323" s="162"/>
      <c r="AS323" s="162"/>
      <c r="AT323" s="169"/>
      <c r="AU323" s="323"/>
      <c r="AV323" s="170"/>
      <c r="AW323" s="169"/>
      <c r="AX323" s="323"/>
      <c r="AY323" s="170"/>
      <c r="AZ323" s="169"/>
      <c r="BA323" s="323"/>
    </row>
    <row r="324" spans="1:58" ht="14.25" customHeight="1">
      <c r="A324" s="162"/>
      <c r="B324" s="162"/>
      <c r="C324" s="162"/>
      <c r="D324" s="162"/>
      <c r="E324" s="162"/>
      <c r="F324" s="163"/>
      <c r="G324" s="163"/>
      <c r="H324" s="163"/>
      <c r="I324" s="163"/>
      <c r="J324" s="163"/>
      <c r="K324" s="163"/>
      <c r="L324" s="163"/>
      <c r="M324" s="163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C324" s="162"/>
      <c r="AD324" s="162"/>
      <c r="AE324" s="162"/>
      <c r="AF324" s="162"/>
      <c r="AG324" s="162"/>
      <c r="AH324" s="163"/>
      <c r="AI324" s="163"/>
      <c r="AJ324" s="162"/>
      <c r="AK324" s="169"/>
      <c r="AL324" s="324"/>
      <c r="AM324" s="170"/>
      <c r="AN324" s="169"/>
      <c r="AO324" s="323"/>
      <c r="AP324" s="170"/>
      <c r="AQ324" s="162"/>
      <c r="AR324" s="162"/>
      <c r="AS324" s="162"/>
      <c r="AT324" s="169"/>
      <c r="AU324" s="323"/>
      <c r="AV324" s="170"/>
      <c r="AW324" s="169"/>
      <c r="AX324" s="323"/>
      <c r="AY324" s="170"/>
      <c r="AZ324" s="169"/>
      <c r="BA324" s="323"/>
    </row>
    <row r="325" spans="1:58" ht="14.25" customHeight="1">
      <c r="A325" s="162"/>
      <c r="B325" s="162"/>
      <c r="C325" s="162"/>
      <c r="D325" s="162"/>
      <c r="E325" s="162"/>
      <c r="F325" s="163"/>
      <c r="G325" s="163"/>
      <c r="H325" s="163"/>
      <c r="I325" s="163"/>
      <c r="J325" s="163"/>
      <c r="K325" s="163"/>
      <c r="L325" s="163"/>
      <c r="M325" s="163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C325" s="162"/>
      <c r="AD325" s="343" t="s">
        <v>140</v>
      </c>
      <c r="AE325" s="162"/>
      <c r="AF325" s="162"/>
      <c r="AG325" s="162"/>
      <c r="AH325" s="163"/>
      <c r="AI325" s="163"/>
      <c r="AJ325" s="162"/>
      <c r="AK325" s="169"/>
      <c r="AL325" s="324"/>
      <c r="AM325" s="170"/>
      <c r="AN325" s="169"/>
      <c r="AO325" s="323"/>
      <c r="AP325" s="170"/>
      <c r="AQ325" s="162"/>
      <c r="AR325" s="162"/>
      <c r="AS325" s="162"/>
      <c r="AT325" s="169"/>
      <c r="AU325" s="323"/>
      <c r="AV325" s="170"/>
      <c r="AW325" s="169"/>
      <c r="AX325" s="323"/>
      <c r="AY325" s="170"/>
      <c r="AZ325" s="169"/>
      <c r="BA325" s="323"/>
    </row>
    <row r="326" spans="1:58" ht="14.25" customHeight="1">
      <c r="A326" s="162"/>
      <c r="B326" s="162"/>
      <c r="C326" s="162"/>
      <c r="D326" s="162"/>
      <c r="E326" s="162"/>
      <c r="F326" s="163"/>
      <c r="G326" s="163"/>
      <c r="H326" s="163"/>
      <c r="I326" s="163"/>
      <c r="J326" s="163"/>
      <c r="K326" s="163"/>
      <c r="L326" s="163"/>
      <c r="M326" s="163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C326" s="162"/>
      <c r="AD326" s="162"/>
      <c r="AE326" s="162"/>
      <c r="AF326" s="162"/>
      <c r="AG326" s="162"/>
      <c r="AH326" s="163"/>
      <c r="AI326" s="163"/>
      <c r="AJ326" s="162"/>
      <c r="AK326" s="169"/>
      <c r="AL326" s="324"/>
      <c r="AM326" s="170"/>
      <c r="AN326" s="169"/>
      <c r="AO326" s="327" t="s">
        <v>141</v>
      </c>
      <c r="AP326" s="328"/>
      <c r="AQ326" s="162"/>
      <c r="AR326" s="251"/>
      <c r="AS326" s="162" t="s">
        <v>104</v>
      </c>
      <c r="AT326" s="497">
        <f>O572</f>
        <v>0</v>
      </c>
      <c r="AU326" s="501"/>
      <c r="AV326" s="502"/>
      <c r="AW326" s="169" t="s">
        <v>120</v>
      </c>
      <c r="AX326" s="323"/>
      <c r="AY326" s="170"/>
      <c r="AZ326" s="169"/>
      <c r="BA326" s="323"/>
    </row>
    <row r="327" spans="1:58" ht="14.25" customHeight="1">
      <c r="A327" s="162"/>
      <c r="B327" s="162"/>
      <c r="C327" s="162"/>
      <c r="D327" s="162"/>
      <c r="E327" s="162"/>
      <c r="F327" s="163"/>
      <c r="G327" s="163"/>
      <c r="H327" s="163"/>
      <c r="I327" s="163"/>
      <c r="J327" s="163"/>
      <c r="K327" s="163"/>
      <c r="L327" s="163"/>
      <c r="M327" s="163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  <c r="AA327" s="162"/>
      <c r="AC327" s="162"/>
      <c r="AD327" s="162"/>
      <c r="AE327" s="162"/>
      <c r="AF327" s="162"/>
      <c r="AG327" s="162"/>
      <c r="AH327" s="163"/>
      <c r="AI327" s="163"/>
      <c r="AJ327" s="162"/>
      <c r="AK327" s="169"/>
      <c r="AL327" s="324"/>
      <c r="AM327" s="170"/>
      <c r="AN327" s="169"/>
      <c r="AO327" s="327" t="s">
        <v>145</v>
      </c>
      <c r="AP327" s="328"/>
      <c r="AQ327" s="162"/>
      <c r="AR327" s="251"/>
      <c r="AS327" s="162" t="s">
        <v>104</v>
      </c>
      <c r="AT327" s="497">
        <f>O573</f>
        <v>0</v>
      </c>
      <c r="AU327" s="501"/>
      <c r="AV327" s="502"/>
      <c r="AW327" s="169" t="s">
        <v>120</v>
      </c>
      <c r="AX327" s="323"/>
      <c r="AY327" s="170"/>
      <c r="AZ327" s="169"/>
      <c r="BA327" s="323"/>
    </row>
    <row r="328" spans="1:58" ht="14.25" customHeight="1">
      <c r="A328" s="162"/>
      <c r="B328" s="162"/>
      <c r="C328" s="162"/>
      <c r="D328" s="162"/>
      <c r="E328" s="162"/>
      <c r="F328" s="163"/>
      <c r="G328" s="163"/>
      <c r="H328" s="163"/>
      <c r="I328" s="163"/>
      <c r="J328" s="163"/>
      <c r="K328" s="163"/>
      <c r="L328" s="163"/>
      <c r="M328" s="163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</row>
    <row r="329" spans="1:58" ht="14.25" customHeight="1">
      <c r="A329" s="162"/>
      <c r="B329" s="162"/>
      <c r="C329" s="162"/>
      <c r="D329" s="162"/>
      <c r="E329" s="162"/>
      <c r="F329" s="163"/>
      <c r="G329" s="163"/>
      <c r="H329" s="163"/>
      <c r="I329" s="163"/>
      <c r="J329" s="163"/>
      <c r="K329" s="163"/>
      <c r="L329" s="163"/>
      <c r="M329" s="163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  <c r="AA329" s="162"/>
    </row>
    <row r="330" spans="1:58" ht="14.25" customHeight="1">
      <c r="A330" s="162"/>
      <c r="B330" s="215" t="s">
        <v>226</v>
      </c>
      <c r="C330" s="215"/>
      <c r="D330" s="215"/>
      <c r="E330" s="215"/>
      <c r="F330" s="216"/>
      <c r="G330" s="216"/>
      <c r="H330" s="216"/>
      <c r="I330" s="216"/>
      <c r="J330" s="216"/>
      <c r="K330" s="216"/>
      <c r="L330" s="216"/>
      <c r="M330" s="216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162"/>
      <c r="Y330" s="162"/>
      <c r="Z330" s="162"/>
      <c r="AA330" s="162"/>
    </row>
    <row r="331" spans="1:58" ht="14.25" customHeight="1">
      <c r="A331" s="162"/>
      <c r="B331" s="215" t="s">
        <v>221</v>
      </c>
      <c r="C331" s="215"/>
      <c r="D331" s="215"/>
      <c r="E331" s="215"/>
      <c r="F331" s="216"/>
      <c r="G331" s="216"/>
      <c r="H331" s="216"/>
      <c r="I331" s="216"/>
      <c r="J331" s="216"/>
      <c r="K331" s="216"/>
      <c r="L331" s="216"/>
      <c r="M331" s="216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162"/>
      <c r="Y331" s="162"/>
      <c r="Z331" s="162"/>
      <c r="AA331" s="162"/>
    </row>
    <row r="332" spans="1:58" ht="14.25" customHeight="1">
      <c r="A332" s="162"/>
      <c r="B332" s="162"/>
      <c r="C332" s="162"/>
      <c r="D332" s="162"/>
      <c r="E332" s="162"/>
      <c r="F332" s="163"/>
      <c r="G332" s="163"/>
      <c r="H332" s="163"/>
      <c r="I332" s="163"/>
      <c r="J332" s="163"/>
      <c r="K332" s="163"/>
      <c r="L332" s="163"/>
      <c r="M332" s="163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  <c r="AA332" s="162"/>
      <c r="BC332" s="162"/>
      <c r="BD332" s="162"/>
      <c r="BE332" s="162"/>
      <c r="BF332" s="162"/>
    </row>
    <row r="333" spans="1:58" ht="14.25" customHeight="1">
      <c r="A333" s="162"/>
      <c r="B333" s="162" t="s">
        <v>141</v>
      </c>
      <c r="C333" s="162"/>
      <c r="D333" s="162"/>
      <c r="E333" s="162"/>
      <c r="F333" s="163"/>
      <c r="G333" s="163"/>
      <c r="H333" s="163"/>
      <c r="I333" s="163"/>
      <c r="J333" s="163"/>
      <c r="K333" s="163"/>
      <c r="L333" s="163"/>
      <c r="M333" s="163"/>
      <c r="N333" s="162"/>
      <c r="O333" s="162"/>
      <c r="P333" s="162"/>
      <c r="Q333" s="271" t="s">
        <v>142</v>
      </c>
      <c r="R333" s="497">
        <f>BA$92</f>
        <v>120.05</v>
      </c>
      <c r="S333" s="498"/>
      <c r="T333" s="499"/>
      <c r="U333" s="162" t="s">
        <v>120</v>
      </c>
      <c r="V333" s="162"/>
      <c r="W333" s="162"/>
      <c r="X333" s="162"/>
      <c r="Y333" s="162"/>
      <c r="Z333" s="162"/>
      <c r="AA333" s="162"/>
      <c r="BC333" s="162"/>
      <c r="BD333" s="162"/>
      <c r="BE333" s="162"/>
      <c r="BF333" s="162"/>
    </row>
    <row r="334" spans="1:58" ht="14.25" hidden="1" customHeight="1">
      <c r="A334" s="162"/>
      <c r="B334" s="162" t="s">
        <v>143</v>
      </c>
      <c r="C334" s="162"/>
      <c r="D334" s="162"/>
      <c r="E334" s="162"/>
      <c r="F334" s="163"/>
      <c r="G334" s="163"/>
      <c r="H334" s="163"/>
      <c r="I334" s="163"/>
      <c r="J334" s="163"/>
      <c r="K334" s="163"/>
      <c r="L334" s="163"/>
      <c r="M334" s="163"/>
      <c r="N334" s="162"/>
      <c r="O334" s="162"/>
      <c r="P334" s="162"/>
      <c r="Q334" s="271" t="s">
        <v>142</v>
      </c>
      <c r="R334" s="497">
        <f>BA$97</f>
        <v>156.79999999999998</v>
      </c>
      <c r="S334" s="498"/>
      <c r="T334" s="499"/>
      <c r="U334" s="162" t="s">
        <v>187</v>
      </c>
      <c r="V334" s="162"/>
      <c r="W334" s="162"/>
      <c r="X334" s="162"/>
      <c r="Y334" s="162"/>
      <c r="Z334" s="162"/>
      <c r="AA334" s="162"/>
    </row>
    <row r="335" spans="1:58" ht="14.25" hidden="1" customHeight="1">
      <c r="A335" s="162"/>
      <c r="B335" s="162" t="s">
        <v>144</v>
      </c>
      <c r="C335" s="162"/>
      <c r="D335" s="162"/>
      <c r="E335" s="162"/>
      <c r="F335" s="163"/>
      <c r="G335" s="163"/>
      <c r="H335" s="163"/>
      <c r="I335" s="163"/>
      <c r="J335" s="163"/>
      <c r="K335" s="163"/>
      <c r="L335" s="163"/>
      <c r="M335" s="163"/>
      <c r="N335" s="162"/>
      <c r="O335" s="162"/>
      <c r="P335" s="162"/>
      <c r="Q335" s="271" t="s">
        <v>142</v>
      </c>
      <c r="R335" s="497">
        <f>BA$98</f>
        <v>164.14999999999998</v>
      </c>
      <c r="S335" s="498"/>
      <c r="T335" s="499"/>
      <c r="U335" s="162" t="s">
        <v>187</v>
      </c>
      <c r="V335" s="162"/>
      <c r="W335" s="162"/>
      <c r="X335" s="162"/>
      <c r="Y335" s="162"/>
      <c r="Z335" s="162"/>
      <c r="AA335" s="162"/>
      <c r="BC335" s="162"/>
      <c r="BD335" s="162"/>
      <c r="BE335" s="162"/>
      <c r="BF335" s="162"/>
    </row>
    <row r="336" spans="1:58" ht="14.25" customHeight="1">
      <c r="A336" s="162"/>
      <c r="B336" s="162" t="s">
        <v>145</v>
      </c>
      <c r="C336" s="162"/>
      <c r="D336" s="162"/>
      <c r="E336" s="162"/>
      <c r="F336" s="163"/>
      <c r="G336" s="163"/>
      <c r="H336" s="163"/>
      <c r="I336" s="163"/>
      <c r="J336" s="163"/>
      <c r="K336" s="163"/>
      <c r="L336" s="163"/>
      <c r="M336" s="163"/>
      <c r="N336" s="162"/>
      <c r="O336" s="162"/>
      <c r="P336" s="162"/>
      <c r="Q336" s="271" t="s">
        <v>142</v>
      </c>
      <c r="R336" s="497">
        <f>BA$101</f>
        <v>151.54999999999995</v>
      </c>
      <c r="S336" s="498"/>
      <c r="T336" s="499"/>
      <c r="U336" s="162" t="s">
        <v>120</v>
      </c>
      <c r="V336" s="162"/>
      <c r="W336" s="162"/>
      <c r="X336" s="162"/>
      <c r="Y336" s="162"/>
      <c r="Z336" s="162"/>
      <c r="AA336" s="162"/>
      <c r="BC336" s="162"/>
      <c r="BD336" s="162"/>
      <c r="BE336" s="162"/>
      <c r="BF336" s="162"/>
    </row>
    <row r="337" spans="1:58" ht="14.25" customHeight="1">
      <c r="A337" s="162"/>
      <c r="B337" s="162"/>
      <c r="C337" s="162"/>
      <c r="D337" s="162"/>
      <c r="E337" s="162"/>
      <c r="F337" s="163"/>
      <c r="G337" s="163"/>
      <c r="H337" s="163"/>
      <c r="I337" s="163"/>
      <c r="J337" s="163"/>
      <c r="K337" s="163"/>
      <c r="L337" s="163"/>
      <c r="M337" s="163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BC337" s="162"/>
      <c r="BD337" s="162"/>
      <c r="BE337" s="162"/>
      <c r="BF337" s="162"/>
    </row>
    <row r="338" spans="1:58" ht="14.25" customHeight="1">
      <c r="A338" s="162"/>
      <c r="B338" s="162"/>
      <c r="C338" s="162"/>
      <c r="D338" s="162"/>
      <c r="E338" s="162"/>
      <c r="F338" s="163"/>
      <c r="G338" s="163"/>
      <c r="H338" s="163"/>
      <c r="I338" s="163"/>
      <c r="J338" s="163"/>
      <c r="K338" s="163"/>
      <c r="L338" s="163"/>
      <c r="M338" s="163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BC338" s="162"/>
      <c r="BD338" s="162"/>
      <c r="BE338" s="162"/>
      <c r="BF338" s="162"/>
    </row>
    <row r="339" spans="1:58" ht="14.25" customHeight="1">
      <c r="A339" s="162"/>
      <c r="B339" s="162"/>
      <c r="C339" s="162"/>
      <c r="D339" s="162"/>
      <c r="E339" s="162"/>
      <c r="F339" s="163"/>
      <c r="G339" s="163"/>
      <c r="H339" s="163"/>
      <c r="I339" s="163"/>
      <c r="J339" s="163"/>
      <c r="K339" s="163"/>
      <c r="L339" s="163"/>
      <c r="M339" s="163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  <c r="AA339" s="162"/>
      <c r="AC339" s="162"/>
      <c r="AD339" s="162"/>
      <c r="AE339" s="162"/>
      <c r="AF339" s="162"/>
      <c r="AG339" s="162"/>
      <c r="AH339" s="163"/>
      <c r="AI339" s="163"/>
      <c r="AJ339" s="162"/>
      <c r="AK339" s="169"/>
      <c r="AL339" s="324"/>
      <c r="AM339" s="170"/>
      <c r="AN339" s="169"/>
      <c r="AO339" s="323"/>
      <c r="AP339" s="170"/>
      <c r="AQ339" s="162"/>
      <c r="AR339" s="162"/>
      <c r="AS339" s="162"/>
      <c r="AT339" s="169"/>
      <c r="AU339" s="345"/>
      <c r="AV339" s="497"/>
      <c r="AW339" s="498"/>
      <c r="AX339" s="499"/>
      <c r="AY339" s="170"/>
      <c r="AZ339" s="169"/>
      <c r="BA339" s="323"/>
      <c r="BC339" s="162"/>
      <c r="BD339" s="162"/>
      <c r="BE339" s="162"/>
      <c r="BF339" s="162"/>
    </row>
    <row r="340" spans="1:58" ht="14.25" customHeight="1">
      <c r="A340" s="162"/>
      <c r="B340" s="162"/>
      <c r="C340" s="162"/>
      <c r="D340" s="162"/>
      <c r="E340" s="162"/>
      <c r="F340" s="163"/>
      <c r="G340" s="163"/>
      <c r="H340" s="163"/>
      <c r="I340" s="163"/>
      <c r="J340" s="163"/>
      <c r="K340" s="163"/>
      <c r="L340" s="163"/>
      <c r="M340" s="163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  <c r="AA340" s="162"/>
      <c r="AC340" s="162"/>
      <c r="AD340" s="162"/>
      <c r="AE340" s="162"/>
      <c r="AF340" s="162"/>
      <c r="AG340" s="162"/>
      <c r="AH340" s="163"/>
      <c r="AI340" s="163"/>
      <c r="AJ340" s="162"/>
      <c r="AK340" s="169"/>
      <c r="AL340" s="324"/>
      <c r="AM340" s="170"/>
      <c r="AN340" s="169"/>
      <c r="AO340" s="323"/>
      <c r="AP340" s="170"/>
      <c r="AQ340" s="162"/>
      <c r="AR340" s="162"/>
      <c r="AS340" s="162"/>
      <c r="AT340" s="169"/>
      <c r="AU340" s="345"/>
      <c r="AV340" s="497"/>
      <c r="AW340" s="498"/>
      <c r="AX340" s="499"/>
      <c r="AY340" s="170"/>
      <c r="AZ340" s="169"/>
      <c r="BA340" s="323"/>
      <c r="BC340" s="162"/>
      <c r="BD340" s="162"/>
      <c r="BE340" s="162"/>
      <c r="BF340" s="162"/>
    </row>
    <row r="341" spans="1:58" ht="14.25" customHeight="1">
      <c r="A341" s="162"/>
      <c r="B341" s="162"/>
      <c r="C341" s="162"/>
      <c r="D341" s="162"/>
      <c r="E341" s="162"/>
      <c r="F341" s="163"/>
      <c r="G341" s="163"/>
      <c r="H341" s="163"/>
      <c r="I341" s="163"/>
      <c r="J341" s="163"/>
      <c r="K341" s="163"/>
      <c r="L341" s="163"/>
      <c r="M341" s="163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  <c r="AA341" s="162"/>
      <c r="AC341" s="162"/>
      <c r="AD341" s="162"/>
      <c r="AE341" s="162"/>
      <c r="AF341" s="162"/>
      <c r="AG341" s="162"/>
      <c r="AH341" s="163"/>
      <c r="AI341" s="163"/>
      <c r="AJ341" s="162"/>
      <c r="AK341" s="169"/>
      <c r="AL341" s="324"/>
      <c r="AM341" s="170"/>
      <c r="AN341" s="169"/>
      <c r="AO341" s="323"/>
      <c r="AP341" s="170"/>
      <c r="AQ341" s="162"/>
      <c r="AR341" s="162"/>
      <c r="AS341" s="162"/>
      <c r="AT341" s="169"/>
      <c r="AU341" s="345"/>
      <c r="AV341" s="497"/>
      <c r="AW341" s="498"/>
      <c r="AX341" s="499"/>
      <c r="AY341" s="170"/>
      <c r="AZ341" s="169"/>
      <c r="BA341" s="323"/>
      <c r="BC341" s="162"/>
      <c r="BD341" s="162"/>
      <c r="BE341" s="162"/>
      <c r="BF341" s="162"/>
    </row>
    <row r="342" spans="1:58" ht="14.25" customHeight="1">
      <c r="A342" s="162"/>
      <c r="B342" s="162"/>
      <c r="C342" s="162"/>
      <c r="D342" s="162"/>
      <c r="E342" s="162"/>
      <c r="F342" s="163"/>
      <c r="G342" s="163"/>
      <c r="H342" s="163"/>
      <c r="I342" s="163"/>
      <c r="J342" s="163"/>
      <c r="K342" s="163"/>
      <c r="L342" s="163"/>
      <c r="M342" s="163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C342" s="162"/>
      <c r="AD342" s="162"/>
      <c r="AE342" s="162"/>
      <c r="AF342" s="162"/>
      <c r="AG342" s="162"/>
      <c r="AH342" s="163"/>
      <c r="AI342" s="163"/>
      <c r="AJ342" s="162"/>
      <c r="AK342" s="169"/>
      <c r="AL342" s="324"/>
      <c r="AM342" s="170"/>
      <c r="AN342" s="169"/>
      <c r="AO342" s="323"/>
      <c r="AP342" s="170"/>
      <c r="AQ342" s="162"/>
      <c r="AR342" s="162"/>
      <c r="AS342" s="162"/>
      <c r="AT342" s="169"/>
      <c r="AU342" s="345"/>
      <c r="AV342" s="497"/>
      <c r="AW342" s="498"/>
      <c r="AX342" s="499"/>
      <c r="AY342" s="170"/>
      <c r="AZ342" s="169"/>
      <c r="BA342" s="323"/>
      <c r="BC342" s="162"/>
      <c r="BD342" s="162"/>
      <c r="BE342" s="162"/>
      <c r="BF342" s="162"/>
    </row>
    <row r="343" spans="1:58" ht="14.25" customHeight="1">
      <c r="A343" s="162"/>
      <c r="B343" s="162"/>
      <c r="C343" s="162"/>
      <c r="D343" s="162"/>
      <c r="E343" s="162"/>
      <c r="F343" s="163"/>
      <c r="G343" s="163"/>
      <c r="H343" s="163"/>
      <c r="I343" s="163"/>
      <c r="J343" s="163"/>
      <c r="K343" s="163"/>
      <c r="L343" s="163"/>
      <c r="M343" s="163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BC343" s="162"/>
      <c r="BD343" s="162"/>
      <c r="BE343" s="162"/>
      <c r="BF343" s="162"/>
    </row>
    <row r="344" spans="1:58" ht="14.25" customHeight="1">
      <c r="A344" s="162"/>
      <c r="B344" s="162"/>
      <c r="C344" s="162"/>
      <c r="D344" s="162"/>
      <c r="E344" s="162"/>
      <c r="F344" s="163"/>
      <c r="G344" s="163"/>
      <c r="H344" s="163"/>
      <c r="I344" s="163"/>
      <c r="J344" s="163"/>
      <c r="K344" s="163"/>
      <c r="L344" s="163"/>
      <c r="M344" s="163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BC344" s="162"/>
      <c r="BD344" s="162"/>
      <c r="BE344" s="162"/>
      <c r="BF344" s="162"/>
    </row>
    <row r="345" spans="1:58" ht="14.25" customHeight="1">
      <c r="A345" s="162"/>
      <c r="B345" s="215" t="s">
        <v>227</v>
      </c>
      <c r="C345" s="215"/>
      <c r="D345" s="215"/>
      <c r="E345" s="215"/>
      <c r="F345" s="216"/>
      <c r="G345" s="216"/>
      <c r="H345" s="216"/>
      <c r="I345" s="216"/>
      <c r="J345" s="216"/>
      <c r="K345" s="216"/>
      <c r="L345" s="216"/>
      <c r="M345" s="216"/>
      <c r="N345" s="215"/>
      <c r="O345" s="215"/>
      <c r="P345" s="215"/>
      <c r="Q345" s="215"/>
      <c r="R345" s="215"/>
      <c r="S345" s="215"/>
      <c r="T345" s="215"/>
      <c r="U345" s="215"/>
      <c r="V345" s="162"/>
      <c r="W345" s="162"/>
      <c r="X345" s="162"/>
      <c r="Y345" s="162"/>
      <c r="Z345" s="162"/>
      <c r="AA345" s="162"/>
    </row>
    <row r="346" spans="1:58" ht="14.25" customHeight="1">
      <c r="A346" s="162"/>
      <c r="B346" s="215" t="s">
        <v>221</v>
      </c>
      <c r="C346" s="215"/>
      <c r="D346" s="215"/>
      <c r="E346" s="215"/>
      <c r="F346" s="216"/>
      <c r="G346" s="216"/>
      <c r="H346" s="216"/>
      <c r="I346" s="216"/>
      <c r="J346" s="216"/>
      <c r="K346" s="216"/>
      <c r="L346" s="216"/>
      <c r="M346" s="216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162"/>
      <c r="Y346" s="162"/>
      <c r="Z346" s="162"/>
      <c r="AA346" s="162"/>
    </row>
    <row r="347" spans="1:58" ht="14.25" customHeight="1">
      <c r="A347" s="162"/>
      <c r="B347" s="162"/>
      <c r="C347" s="162"/>
      <c r="D347" s="162"/>
      <c r="E347" s="162"/>
      <c r="F347" s="163"/>
      <c r="G347" s="163"/>
      <c r="H347" s="163"/>
      <c r="I347" s="163"/>
      <c r="J347" s="163"/>
      <c r="K347" s="163"/>
      <c r="L347" s="163"/>
      <c r="M347" s="163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</row>
    <row r="348" spans="1:58" ht="14.25" customHeight="1">
      <c r="A348" s="162"/>
      <c r="B348" s="162" t="s">
        <v>141</v>
      </c>
      <c r="C348" s="162"/>
      <c r="D348" s="162"/>
      <c r="E348" s="162"/>
      <c r="F348" s="163"/>
      <c r="G348" s="163"/>
      <c r="H348" s="163"/>
      <c r="I348" s="163"/>
      <c r="J348" s="163"/>
      <c r="K348" s="163"/>
      <c r="L348" s="163"/>
      <c r="M348" s="163"/>
      <c r="N348" s="162"/>
      <c r="O348" s="162"/>
      <c r="P348" s="162"/>
      <c r="Q348" s="271" t="s">
        <v>142</v>
      </c>
      <c r="R348" s="497">
        <f>BA$67</f>
        <v>68.267008980910191</v>
      </c>
      <c r="S348" s="498"/>
      <c r="T348" s="499"/>
      <c r="U348" s="162" t="s">
        <v>120</v>
      </c>
      <c r="V348" s="162"/>
      <c r="W348" s="162"/>
      <c r="X348" s="162"/>
      <c r="Y348" s="162"/>
      <c r="Z348" s="162"/>
      <c r="AA348" s="162"/>
    </row>
    <row r="349" spans="1:58" ht="14.25" hidden="1" customHeight="1">
      <c r="A349" s="162"/>
      <c r="B349" s="162" t="s">
        <v>143</v>
      </c>
      <c r="C349" s="162"/>
      <c r="D349" s="162"/>
      <c r="E349" s="162"/>
      <c r="F349" s="163"/>
      <c r="G349" s="163"/>
      <c r="H349" s="163"/>
      <c r="I349" s="163"/>
      <c r="J349" s="163"/>
      <c r="K349" s="163"/>
      <c r="L349" s="163"/>
      <c r="M349" s="163"/>
      <c r="N349" s="162"/>
      <c r="O349" s="162"/>
      <c r="P349" s="162"/>
      <c r="Q349" s="271" t="s">
        <v>142</v>
      </c>
      <c r="R349" s="497">
        <f>BA$70</f>
        <v>78.298915332320178</v>
      </c>
      <c r="S349" s="498"/>
      <c r="T349" s="499"/>
      <c r="U349" s="162" t="s">
        <v>187</v>
      </c>
      <c r="V349" s="162"/>
      <c r="W349" s="162"/>
      <c r="X349" s="162"/>
      <c r="Y349" s="162"/>
      <c r="Z349" s="162"/>
      <c r="AA349" s="162"/>
    </row>
    <row r="350" spans="1:58" ht="14.25" hidden="1" customHeight="1">
      <c r="A350" s="162"/>
      <c r="B350" s="162" t="s">
        <v>144</v>
      </c>
      <c r="C350" s="162"/>
      <c r="D350" s="162"/>
      <c r="E350" s="162"/>
      <c r="F350" s="163"/>
      <c r="G350" s="163"/>
      <c r="H350" s="163"/>
      <c r="I350" s="163"/>
      <c r="J350" s="163"/>
      <c r="K350" s="163"/>
      <c r="L350" s="163"/>
      <c r="M350" s="163"/>
      <c r="N350" s="162"/>
      <c r="O350" s="162"/>
      <c r="P350" s="162"/>
      <c r="Q350" s="271" t="s">
        <v>142</v>
      </c>
      <c r="R350" s="497">
        <f>BA$71</f>
        <v>81.642884116123497</v>
      </c>
      <c r="S350" s="498"/>
      <c r="T350" s="499"/>
      <c r="U350" s="162" t="s">
        <v>187</v>
      </c>
      <c r="V350" s="162"/>
      <c r="W350" s="162"/>
      <c r="X350" s="162"/>
      <c r="Y350" s="162"/>
      <c r="Z350" s="162"/>
      <c r="AA350" s="162"/>
      <c r="BC350" s="162"/>
      <c r="BD350" s="162"/>
      <c r="BE350" s="162"/>
      <c r="BF350" s="162"/>
    </row>
    <row r="351" spans="1:58" ht="14.25" customHeight="1">
      <c r="A351" s="162"/>
      <c r="B351" s="162" t="s">
        <v>145</v>
      </c>
      <c r="C351" s="162"/>
      <c r="D351" s="162"/>
      <c r="E351" s="162"/>
      <c r="F351" s="163"/>
      <c r="G351" s="163"/>
      <c r="H351" s="163"/>
      <c r="I351" s="163"/>
      <c r="J351" s="163"/>
      <c r="K351" s="163"/>
      <c r="L351" s="163"/>
      <c r="M351" s="163"/>
      <c r="N351" s="162"/>
      <c r="O351" s="162"/>
      <c r="P351" s="162"/>
      <c r="Q351" s="271" t="s">
        <v>142</v>
      </c>
      <c r="R351" s="497">
        <f>BA$76</f>
        <v>82.598303768638729</v>
      </c>
      <c r="S351" s="498"/>
      <c r="T351" s="499"/>
      <c r="U351" s="162" t="s">
        <v>120</v>
      </c>
      <c r="V351" s="162"/>
      <c r="W351" s="162"/>
      <c r="X351" s="162"/>
      <c r="Y351" s="162"/>
      <c r="Z351" s="162"/>
      <c r="AA351" s="162"/>
      <c r="BC351" s="162"/>
      <c r="BD351" s="162"/>
      <c r="BE351" s="162"/>
      <c r="BF351" s="162"/>
    </row>
    <row r="352" spans="1:58" ht="14.25" customHeight="1">
      <c r="A352" s="162"/>
      <c r="B352" s="162"/>
      <c r="C352" s="162"/>
      <c r="D352" s="162"/>
      <c r="E352" s="162"/>
      <c r="F352" s="163"/>
      <c r="G352" s="163"/>
      <c r="H352" s="163"/>
      <c r="I352" s="163"/>
      <c r="J352" s="163"/>
      <c r="K352" s="163"/>
      <c r="L352" s="163"/>
      <c r="M352" s="163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  <c r="AA352" s="162"/>
      <c r="BC352" s="162"/>
      <c r="BD352" s="162"/>
      <c r="BE352" s="162"/>
      <c r="BF352" s="162"/>
    </row>
    <row r="353" spans="1:58" ht="14.25" customHeight="1">
      <c r="A353" s="162"/>
      <c r="B353" s="162"/>
      <c r="C353" s="162"/>
      <c r="D353" s="162"/>
      <c r="E353" s="162"/>
      <c r="F353" s="163"/>
      <c r="G353" s="163"/>
      <c r="H353" s="163"/>
      <c r="I353" s="163"/>
      <c r="J353" s="163"/>
      <c r="K353" s="163"/>
      <c r="L353" s="163"/>
      <c r="M353" s="163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  <c r="AA353" s="162"/>
      <c r="BC353" s="162"/>
      <c r="BD353" s="162"/>
      <c r="BE353" s="162"/>
      <c r="BF353" s="162"/>
    </row>
    <row r="354" spans="1:58" ht="14.25" customHeight="1">
      <c r="A354" s="162"/>
      <c r="B354" s="162"/>
      <c r="C354" s="162"/>
      <c r="D354" s="162"/>
      <c r="E354" s="162"/>
      <c r="F354" s="163"/>
      <c r="G354" s="163"/>
      <c r="H354" s="163"/>
      <c r="I354" s="163"/>
      <c r="J354" s="163"/>
      <c r="K354" s="163"/>
      <c r="L354" s="163"/>
      <c r="M354" s="163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  <c r="AA354" s="162"/>
      <c r="BC354" s="162"/>
      <c r="BD354" s="162"/>
      <c r="BE354" s="162"/>
      <c r="BF354" s="162"/>
    </row>
    <row r="355" spans="1:58" ht="14.25" customHeight="1">
      <c r="A355" s="162"/>
      <c r="B355" s="162"/>
      <c r="C355" s="162"/>
      <c r="D355" s="162"/>
      <c r="E355" s="162"/>
      <c r="F355" s="163"/>
      <c r="G355" s="163"/>
      <c r="H355" s="163"/>
      <c r="I355" s="163"/>
      <c r="J355" s="163"/>
      <c r="K355" s="163"/>
      <c r="L355" s="163"/>
      <c r="M355" s="163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  <c r="AA355" s="162"/>
      <c r="BC355" s="162"/>
      <c r="BD355" s="162"/>
      <c r="BE355" s="162"/>
      <c r="BF355" s="162"/>
    </row>
    <row r="356" spans="1:58" ht="14.25" customHeight="1">
      <c r="A356" s="162"/>
      <c r="B356" s="162"/>
      <c r="C356" s="162"/>
      <c r="D356" s="162"/>
      <c r="E356" s="162"/>
      <c r="F356" s="163"/>
      <c r="G356" s="163"/>
      <c r="H356" s="163"/>
      <c r="I356" s="163"/>
      <c r="J356" s="163"/>
      <c r="K356" s="163"/>
      <c r="L356" s="163"/>
      <c r="M356" s="163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  <c r="AA356" s="162"/>
      <c r="BC356" s="162"/>
      <c r="BD356" s="162"/>
      <c r="BE356" s="162"/>
      <c r="BF356" s="162"/>
    </row>
    <row r="357" spans="1:58" ht="14.25" customHeight="1">
      <c r="A357" s="162"/>
      <c r="B357" s="162"/>
      <c r="C357" s="162"/>
      <c r="D357" s="162"/>
      <c r="E357" s="162"/>
      <c r="F357" s="163"/>
      <c r="G357" s="163"/>
      <c r="H357" s="163"/>
      <c r="I357" s="163"/>
      <c r="J357" s="163"/>
      <c r="K357" s="163"/>
      <c r="L357" s="163"/>
      <c r="M357" s="163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  <c r="AA357" s="162"/>
      <c r="BC357" s="162"/>
      <c r="BD357" s="162"/>
      <c r="BE357" s="162"/>
      <c r="BF357" s="162"/>
    </row>
    <row r="358" spans="1:58" ht="14.25" customHeight="1">
      <c r="A358" s="162"/>
      <c r="B358" s="162"/>
      <c r="C358" s="162"/>
      <c r="D358" s="162"/>
      <c r="E358" s="162"/>
      <c r="F358" s="163"/>
      <c r="G358" s="163"/>
      <c r="H358" s="163"/>
      <c r="I358" s="163"/>
      <c r="J358" s="163"/>
      <c r="K358" s="163"/>
      <c r="L358" s="163"/>
      <c r="M358" s="163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  <c r="AA358" s="162"/>
      <c r="BC358" s="162"/>
      <c r="BD358" s="162"/>
      <c r="BE358" s="162"/>
      <c r="BF358" s="162"/>
    </row>
    <row r="359" spans="1:58" ht="14.25" customHeight="1">
      <c r="A359" s="162"/>
      <c r="B359" s="162"/>
      <c r="C359" s="162"/>
      <c r="D359" s="162"/>
      <c r="E359" s="162"/>
      <c r="F359" s="163"/>
      <c r="G359" s="163"/>
      <c r="H359" s="163"/>
      <c r="I359" s="163"/>
      <c r="J359" s="163"/>
      <c r="K359" s="163"/>
      <c r="L359" s="163"/>
      <c r="M359" s="163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  <c r="AA359" s="162"/>
      <c r="BC359" s="162"/>
      <c r="BD359" s="162"/>
      <c r="BE359" s="162"/>
      <c r="BF359" s="162"/>
    </row>
    <row r="360" spans="1:58" ht="14.25" customHeight="1">
      <c r="A360" s="162"/>
      <c r="B360" s="162"/>
      <c r="C360" s="162"/>
      <c r="D360" s="162"/>
      <c r="E360" s="162"/>
      <c r="F360" s="163"/>
      <c r="G360" s="163"/>
      <c r="H360" s="163"/>
      <c r="I360" s="163"/>
      <c r="J360" s="163"/>
      <c r="K360" s="163"/>
      <c r="L360" s="163"/>
      <c r="M360" s="163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  <c r="AA360" s="162"/>
      <c r="BC360" s="162"/>
      <c r="BD360" s="162"/>
      <c r="BE360" s="162"/>
      <c r="BF360" s="162"/>
    </row>
    <row r="361" spans="1:58" ht="14.25" customHeight="1">
      <c r="A361" s="393" t="s">
        <v>0</v>
      </c>
      <c r="B361" s="394"/>
      <c r="C361" s="395"/>
      <c r="D361" s="412" t="str">
        <f>$D$1</f>
        <v xml:space="preserve">Megaspine </v>
      </c>
      <c r="E361" s="413"/>
      <c r="F361" s="413"/>
      <c r="G361" s="413"/>
      <c r="H361" s="413"/>
      <c r="I361" s="413"/>
      <c r="J361" s="413"/>
      <c r="K361" s="413"/>
      <c r="L361" s="413"/>
      <c r="M361" s="413"/>
      <c r="N361" s="413"/>
      <c r="O361" s="413"/>
      <c r="P361" s="413"/>
      <c r="Q361" s="414"/>
      <c r="R361" s="389" t="s">
        <v>2</v>
      </c>
      <c r="S361" s="389"/>
      <c r="T361" s="389"/>
      <c r="U361" s="390">
        <f>$U$1</f>
        <v>0</v>
      </c>
      <c r="V361" s="391"/>
      <c r="W361" s="391"/>
      <c r="X361" s="392"/>
      <c r="Y361" s="380"/>
      <c r="Z361" s="381"/>
      <c r="AA361" s="382"/>
    </row>
    <row r="362" spans="1:58" ht="14.25" customHeight="1">
      <c r="A362" s="399"/>
      <c r="B362" s="400"/>
      <c r="C362" s="401"/>
      <c r="D362" s="415"/>
      <c r="E362" s="416"/>
      <c r="F362" s="416"/>
      <c r="G362" s="416"/>
      <c r="H362" s="416"/>
      <c r="I362" s="416"/>
      <c r="J362" s="416"/>
      <c r="K362" s="416"/>
      <c r="L362" s="416"/>
      <c r="M362" s="416"/>
      <c r="N362" s="416"/>
      <c r="O362" s="416"/>
      <c r="P362" s="416"/>
      <c r="Q362" s="417"/>
      <c r="R362" s="389" t="s">
        <v>3</v>
      </c>
      <c r="S362" s="389"/>
      <c r="T362" s="389"/>
      <c r="U362" s="390" t="str">
        <f>$U$2</f>
        <v>PSM</v>
      </c>
      <c r="V362" s="391"/>
      <c r="W362" s="391"/>
      <c r="X362" s="392"/>
      <c r="Y362" s="383"/>
      <c r="Z362" s="384"/>
      <c r="AA362" s="385"/>
    </row>
    <row r="363" spans="1:58" ht="14.25" customHeight="1">
      <c r="A363" s="393" t="s">
        <v>5</v>
      </c>
      <c r="B363" s="394"/>
      <c r="C363" s="395"/>
      <c r="D363" s="380" t="str">
        <f>$D$3</f>
        <v>North of ATB (CST) - Section Test</v>
      </c>
      <c r="E363" s="381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2"/>
      <c r="R363" s="389" t="s">
        <v>6</v>
      </c>
      <c r="S363" s="389"/>
      <c r="T363" s="389"/>
      <c r="U363" s="390" t="str">
        <f>$U$3</f>
        <v>JRS</v>
      </c>
      <c r="V363" s="391"/>
      <c r="W363" s="391"/>
      <c r="X363" s="392"/>
      <c r="Y363" s="383"/>
      <c r="Z363" s="384"/>
      <c r="AA363" s="385"/>
    </row>
    <row r="364" spans="1:58" ht="14.25" customHeight="1">
      <c r="A364" s="396"/>
      <c r="B364" s="397"/>
      <c r="C364" s="398"/>
      <c r="D364" s="489" t="str">
        <f>$D$4</f>
        <v xml:space="preserve">Load Calculation </v>
      </c>
      <c r="E364" s="490"/>
      <c r="F364" s="490"/>
      <c r="G364" s="490"/>
      <c r="H364" s="490"/>
      <c r="I364" s="490"/>
      <c r="J364" s="490"/>
      <c r="K364" s="490"/>
      <c r="L364" s="490"/>
      <c r="M364" s="490"/>
      <c r="N364" s="490"/>
      <c r="O364" s="490"/>
      <c r="P364" s="490"/>
      <c r="Q364" s="491"/>
      <c r="R364" s="389" t="s">
        <v>9</v>
      </c>
      <c r="S364" s="389"/>
      <c r="T364" s="389"/>
      <c r="U364" s="390" t="str">
        <f>$U$4</f>
        <v>MYPQ</v>
      </c>
      <c r="V364" s="391"/>
      <c r="W364" s="391"/>
      <c r="X364" s="392"/>
      <c r="Y364" s="386"/>
      <c r="Z364" s="387"/>
      <c r="AA364" s="388"/>
    </row>
    <row r="365" spans="1:58" ht="14.25" customHeight="1">
      <c r="A365" s="399"/>
      <c r="B365" s="400"/>
      <c r="C365" s="401"/>
      <c r="D365" s="415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7"/>
      <c r="R365" s="389" t="s">
        <v>11</v>
      </c>
      <c r="S365" s="389"/>
      <c r="T365" s="389"/>
      <c r="U365" s="411">
        <f ca="1">$U$5</f>
        <v>45183</v>
      </c>
      <c r="V365" s="492"/>
      <c r="W365" s="492"/>
      <c r="X365" s="493"/>
      <c r="Y365" s="418" t="s">
        <v>12</v>
      </c>
      <c r="Z365" s="419"/>
      <c r="AA365" s="183" t="str">
        <f>8&amp;"/"&amp;AB5</f>
        <v>8/14</v>
      </c>
    </row>
    <row r="366" spans="1:58" ht="14.25" customHeight="1">
      <c r="A366" s="162"/>
      <c r="B366" s="162"/>
      <c r="C366" s="162"/>
      <c r="D366" s="162"/>
      <c r="E366" s="162"/>
      <c r="F366" s="163"/>
      <c r="G366" s="163"/>
      <c r="H366" s="163"/>
      <c r="I366" s="163"/>
      <c r="J366" s="163"/>
      <c r="K366" s="163"/>
      <c r="L366" s="163"/>
      <c r="M366" s="163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  <c r="AA366" s="162"/>
    </row>
    <row r="367" spans="1:58" ht="14.25" customHeight="1">
      <c r="A367" s="162"/>
      <c r="B367" s="215" t="s">
        <v>228</v>
      </c>
      <c r="C367" s="162"/>
      <c r="D367" s="162"/>
      <c r="E367" s="162"/>
      <c r="F367" s="163"/>
      <c r="G367" s="163"/>
      <c r="H367" s="163"/>
      <c r="I367" s="163"/>
      <c r="J367" s="163"/>
      <c r="K367" s="163"/>
      <c r="L367" s="163"/>
      <c r="M367" s="163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  <c r="AA367" s="162"/>
    </row>
    <row r="368" spans="1:58" ht="14.25" customHeight="1">
      <c r="A368" s="162"/>
      <c r="B368" s="215" t="s">
        <v>458</v>
      </c>
      <c r="C368" s="162"/>
      <c r="D368" s="162"/>
      <c r="E368" s="162"/>
      <c r="F368" s="163"/>
      <c r="G368" s="163"/>
      <c r="H368" s="163"/>
      <c r="I368" s="163"/>
      <c r="J368" s="163"/>
      <c r="K368" s="163"/>
      <c r="L368" s="163"/>
      <c r="M368" s="163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  <c r="AA368" s="162"/>
    </row>
    <row r="369" spans="1:27" ht="14.25" customHeight="1">
      <c r="A369" s="162"/>
      <c r="B369" s="162"/>
      <c r="C369" s="162"/>
      <c r="D369" s="162" t="s">
        <v>460</v>
      </c>
      <c r="E369" s="162"/>
      <c r="F369" s="163"/>
      <c r="G369" s="163"/>
      <c r="H369" s="163"/>
      <c r="I369" s="163"/>
      <c r="J369" s="163"/>
      <c r="K369" s="163"/>
      <c r="L369" s="163"/>
      <c r="M369" s="163"/>
      <c r="N369" s="162"/>
      <c r="O369" s="162"/>
      <c r="P369" s="162"/>
      <c r="Q369" s="162" t="s">
        <v>142</v>
      </c>
      <c r="R369" s="497">
        <f>AG$131</f>
        <v>118.5</v>
      </c>
      <c r="S369" s="501"/>
      <c r="T369" s="502"/>
      <c r="U369" s="162" t="s">
        <v>229</v>
      </c>
      <c r="V369" s="162"/>
      <c r="W369" s="162"/>
      <c r="X369" s="162"/>
      <c r="Y369" s="162"/>
      <c r="Z369" s="162"/>
      <c r="AA369" s="162"/>
    </row>
    <row r="370" spans="1:27" ht="14.25" customHeight="1">
      <c r="A370" s="162"/>
      <c r="B370" s="162"/>
      <c r="C370" s="162"/>
      <c r="D370" s="162" t="s">
        <v>459</v>
      </c>
      <c r="E370" s="162"/>
      <c r="F370" s="163"/>
      <c r="G370" s="163"/>
      <c r="H370" s="163"/>
      <c r="I370" s="163"/>
      <c r="J370" s="163"/>
      <c r="K370" s="163"/>
      <c r="L370" s="163"/>
      <c r="M370" s="163"/>
      <c r="N370" s="162"/>
      <c r="O370" s="162"/>
      <c r="P370" s="162"/>
      <c r="Q370" s="162" t="s">
        <v>142</v>
      </c>
      <c r="R370" s="497">
        <f>BH$145</f>
        <v>73.5</v>
      </c>
      <c r="S370" s="501"/>
      <c r="T370" s="502"/>
      <c r="U370" s="162" t="s">
        <v>229</v>
      </c>
      <c r="V370" s="162"/>
      <c r="W370" s="162"/>
      <c r="X370" s="162"/>
      <c r="Y370" s="162"/>
      <c r="Z370" s="162"/>
      <c r="AA370" s="162"/>
    </row>
    <row r="371" spans="1:27" ht="14.25" customHeight="1">
      <c r="A371" s="162"/>
      <c r="B371" s="162"/>
      <c r="C371" s="162"/>
      <c r="D371" s="162"/>
      <c r="E371" s="162"/>
      <c r="F371" s="163"/>
      <c r="G371" s="163"/>
      <c r="H371" s="163"/>
      <c r="I371" s="163"/>
      <c r="J371" s="163"/>
      <c r="K371" s="163"/>
      <c r="L371" s="163"/>
      <c r="M371" s="163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  <c r="AA371" s="162"/>
    </row>
    <row r="372" spans="1:27" ht="14.25" customHeight="1">
      <c r="A372" s="162"/>
      <c r="B372" s="162"/>
      <c r="C372" s="162"/>
      <c r="D372" s="162"/>
      <c r="E372" s="162"/>
      <c r="F372" s="163"/>
      <c r="G372" s="163"/>
      <c r="H372" s="163"/>
      <c r="I372" s="163"/>
      <c r="J372" s="163"/>
      <c r="K372" s="163"/>
      <c r="L372" s="163"/>
      <c r="M372" s="163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  <c r="AA372" s="162"/>
    </row>
    <row r="373" spans="1:27" ht="14.25" customHeight="1">
      <c r="A373" s="162"/>
      <c r="B373" s="162"/>
      <c r="C373" s="162"/>
      <c r="D373" s="162"/>
      <c r="E373" s="162"/>
      <c r="F373" s="163"/>
      <c r="G373" s="163"/>
      <c r="H373" s="163"/>
      <c r="I373" s="163"/>
      <c r="J373" s="163"/>
      <c r="K373" s="163"/>
      <c r="L373" s="163"/>
      <c r="M373" s="163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  <c r="AA373" s="162"/>
    </row>
    <row r="374" spans="1:27" ht="14.25" customHeight="1">
      <c r="A374" s="162"/>
      <c r="B374" s="162"/>
      <c r="C374" s="162"/>
      <c r="D374" s="162"/>
      <c r="E374" s="162"/>
      <c r="F374" s="163"/>
      <c r="G374" s="163"/>
      <c r="H374" s="163"/>
      <c r="I374" s="163"/>
      <c r="J374" s="163"/>
      <c r="K374" s="163"/>
      <c r="L374" s="163"/>
      <c r="M374" s="163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  <c r="AA374" s="162"/>
    </row>
    <row r="375" spans="1:27" ht="14.25" customHeight="1">
      <c r="A375" s="162"/>
      <c r="B375" s="162"/>
      <c r="C375" s="162"/>
      <c r="D375" s="162"/>
      <c r="E375" s="162"/>
      <c r="F375" s="163"/>
      <c r="G375" s="163"/>
      <c r="H375" s="163"/>
      <c r="I375" s="163"/>
      <c r="J375" s="163"/>
      <c r="K375" s="163"/>
      <c r="L375" s="163"/>
      <c r="M375" s="163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  <c r="AA375" s="162"/>
    </row>
    <row r="376" spans="1:27" ht="14.25" customHeight="1">
      <c r="A376" s="162"/>
      <c r="B376" s="162"/>
      <c r="C376" s="162"/>
      <c r="D376" s="162"/>
      <c r="E376" s="162"/>
      <c r="F376" s="163"/>
      <c r="G376" s="163"/>
      <c r="H376" s="163"/>
      <c r="I376" s="163"/>
      <c r="J376" s="163"/>
      <c r="K376" s="163"/>
      <c r="L376" s="163"/>
      <c r="M376" s="163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</row>
    <row r="377" spans="1:27" ht="14.25" customHeight="1">
      <c r="A377" s="162"/>
      <c r="B377" s="162"/>
      <c r="C377" s="162"/>
      <c r="D377" s="162"/>
      <c r="E377" s="162"/>
      <c r="F377" s="163"/>
      <c r="G377" s="163"/>
      <c r="H377" s="163"/>
      <c r="I377" s="163"/>
      <c r="J377" s="163"/>
      <c r="K377" s="163"/>
      <c r="L377" s="163"/>
      <c r="M377" s="163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  <c r="AA377" s="162"/>
    </row>
    <row r="378" spans="1:27" ht="14.25" customHeight="1">
      <c r="A378" s="162"/>
      <c r="B378" s="162"/>
      <c r="C378" s="162"/>
      <c r="D378" s="162"/>
      <c r="E378" s="162"/>
      <c r="F378" s="163"/>
      <c r="G378" s="163"/>
      <c r="H378" s="163"/>
      <c r="I378" s="163"/>
      <c r="J378" s="163"/>
      <c r="K378" s="163"/>
      <c r="L378" s="163"/>
      <c r="M378" s="163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</row>
    <row r="379" spans="1:27" ht="14.25" customHeight="1">
      <c r="A379" s="162"/>
      <c r="B379" s="162"/>
      <c r="C379" s="162"/>
      <c r="D379" s="162"/>
      <c r="E379" s="162"/>
      <c r="F379" s="163"/>
      <c r="G379" s="163"/>
      <c r="H379" s="163"/>
      <c r="I379" s="163"/>
      <c r="J379" s="163"/>
      <c r="K379" s="163"/>
      <c r="L379" s="163"/>
      <c r="M379" s="163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  <c r="AA379" s="162"/>
    </row>
    <row r="380" spans="1:27" ht="14.25" customHeight="1">
      <c r="A380" s="162"/>
      <c r="B380" s="215" t="s">
        <v>230</v>
      </c>
      <c r="C380" s="162"/>
      <c r="D380" s="162"/>
      <c r="E380" s="162"/>
      <c r="F380" s="163"/>
      <c r="G380" s="163"/>
      <c r="H380" s="163"/>
      <c r="I380" s="163"/>
      <c r="J380" s="163"/>
      <c r="K380" s="163"/>
      <c r="L380" s="163"/>
      <c r="M380" s="163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</row>
    <row r="381" spans="1:27" ht="14.25" customHeight="1">
      <c r="A381" s="162"/>
      <c r="B381" s="162"/>
      <c r="C381" s="162"/>
      <c r="D381" s="162"/>
      <c r="E381" s="162"/>
      <c r="F381" s="163"/>
      <c r="G381" s="163"/>
      <c r="H381" s="163"/>
      <c r="I381" s="163"/>
      <c r="J381" s="163"/>
      <c r="K381" s="163"/>
      <c r="L381" s="163"/>
      <c r="M381" s="163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  <c r="AA381" s="162"/>
    </row>
    <row r="382" spans="1:27" ht="14.25" customHeight="1">
      <c r="A382" s="162"/>
      <c r="B382" s="162"/>
      <c r="C382" s="162"/>
      <c r="D382" s="162" t="s">
        <v>231</v>
      </c>
      <c r="E382" s="162"/>
      <c r="F382" s="163"/>
      <c r="G382" s="163"/>
      <c r="H382" s="163"/>
      <c r="I382" s="163"/>
      <c r="J382" s="163"/>
      <c r="K382" s="163"/>
      <c r="L382" s="163"/>
      <c r="M382" s="163"/>
      <c r="N382" s="162"/>
      <c r="O382" s="162"/>
      <c r="P382" s="162"/>
      <c r="Q382" s="162" t="s">
        <v>142</v>
      </c>
      <c r="R382" s="497">
        <f>AH$132</f>
        <v>123.5</v>
      </c>
      <c r="S382" s="501"/>
      <c r="T382" s="502"/>
      <c r="U382" s="162" t="s">
        <v>187</v>
      </c>
      <c r="V382" s="162"/>
      <c r="W382" s="162"/>
      <c r="X382" s="162"/>
      <c r="Y382" s="162"/>
      <c r="Z382" s="162"/>
      <c r="AA382" s="162"/>
    </row>
    <row r="383" spans="1:27" ht="14.25" customHeight="1">
      <c r="A383" s="162"/>
      <c r="B383" s="162"/>
      <c r="C383" s="162"/>
      <c r="D383" s="162" t="s">
        <v>232</v>
      </c>
      <c r="E383" s="162"/>
      <c r="F383" s="163"/>
      <c r="G383" s="163"/>
      <c r="H383" s="163"/>
      <c r="I383" s="163"/>
      <c r="J383" s="163"/>
      <c r="K383" s="163"/>
      <c r="L383" s="163"/>
      <c r="M383" s="163"/>
      <c r="N383" s="162"/>
      <c r="O383" s="162"/>
      <c r="P383" s="162"/>
      <c r="Q383" s="162" t="s">
        <v>142</v>
      </c>
      <c r="R383" s="497">
        <f>AH$135</f>
        <v>168.5</v>
      </c>
      <c r="S383" s="501"/>
      <c r="T383" s="502"/>
      <c r="U383" s="162" t="s">
        <v>187</v>
      </c>
      <c r="V383" s="162"/>
      <c r="W383" s="162"/>
      <c r="X383" s="162"/>
      <c r="Y383" s="162"/>
      <c r="Z383" s="162"/>
      <c r="AA383" s="162"/>
    </row>
    <row r="384" spans="1:27" ht="14.25" customHeight="1">
      <c r="A384" s="162"/>
      <c r="B384" s="162"/>
      <c r="C384" s="162"/>
      <c r="D384" s="162"/>
      <c r="E384" s="162"/>
      <c r="F384" s="163"/>
      <c r="G384" s="163"/>
      <c r="H384" s="163"/>
      <c r="I384" s="163"/>
      <c r="J384" s="163"/>
      <c r="K384" s="163"/>
      <c r="L384" s="163"/>
      <c r="M384" s="163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</row>
    <row r="385" spans="1:56" ht="14.25" customHeight="1">
      <c r="A385" s="162"/>
      <c r="B385" s="162"/>
      <c r="C385" s="162"/>
      <c r="D385" s="162"/>
      <c r="E385" s="162"/>
      <c r="F385" s="163"/>
      <c r="G385" s="163"/>
      <c r="H385" s="163"/>
      <c r="I385" s="163"/>
      <c r="J385" s="163"/>
      <c r="K385" s="163"/>
      <c r="L385" s="163"/>
      <c r="M385" s="163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</row>
    <row r="386" spans="1:56" ht="14.25" customHeight="1">
      <c r="A386" s="162"/>
      <c r="B386" s="162"/>
      <c r="C386" s="162"/>
      <c r="D386" s="162"/>
      <c r="E386" s="162"/>
      <c r="F386" s="163"/>
      <c r="G386" s="163"/>
      <c r="H386" s="163"/>
      <c r="I386" s="163"/>
      <c r="J386" s="163"/>
      <c r="K386" s="163"/>
      <c r="L386" s="163"/>
      <c r="M386" s="163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</row>
    <row r="387" spans="1:56" ht="14.25" customHeight="1">
      <c r="A387" s="162"/>
      <c r="B387" s="162"/>
      <c r="C387" s="162"/>
      <c r="D387" s="162"/>
      <c r="E387" s="162"/>
      <c r="F387" s="163"/>
      <c r="G387" s="163"/>
      <c r="H387" s="163"/>
      <c r="I387" s="163"/>
      <c r="J387" s="163"/>
      <c r="K387" s="163"/>
      <c r="L387" s="163"/>
      <c r="M387" s="163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</row>
    <row r="388" spans="1:56" ht="14.25" customHeight="1">
      <c r="A388" s="162"/>
      <c r="B388" s="162"/>
      <c r="C388" s="162"/>
      <c r="D388" s="162"/>
      <c r="E388" s="162"/>
      <c r="F388" s="163"/>
      <c r="G388" s="163"/>
      <c r="H388" s="163"/>
      <c r="I388" s="163"/>
      <c r="J388" s="163"/>
      <c r="K388" s="163"/>
      <c r="L388" s="163"/>
      <c r="M388" s="163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</row>
    <row r="389" spans="1:56" ht="14.25" customHeight="1">
      <c r="A389" s="162"/>
      <c r="B389" s="162"/>
      <c r="C389" s="162"/>
      <c r="D389" s="162"/>
      <c r="E389" s="162"/>
      <c r="F389" s="163"/>
      <c r="G389" s="163"/>
      <c r="H389" s="163"/>
      <c r="I389" s="163"/>
      <c r="J389" s="163"/>
      <c r="K389" s="163"/>
      <c r="L389" s="163"/>
      <c r="M389" s="163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  <c r="AA389" s="162"/>
    </row>
    <row r="390" spans="1:56" ht="14.25" customHeight="1">
      <c r="A390" s="162"/>
      <c r="B390" s="162"/>
      <c r="C390" s="162"/>
      <c r="D390" s="162"/>
      <c r="E390" s="162"/>
      <c r="F390" s="163"/>
      <c r="G390" s="163"/>
      <c r="H390" s="163"/>
      <c r="I390" s="163"/>
      <c r="J390" s="163"/>
      <c r="K390" s="163"/>
      <c r="L390" s="163"/>
      <c r="M390" s="163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</row>
    <row r="391" spans="1:56" ht="14.25" customHeight="1">
      <c r="A391" s="162"/>
      <c r="B391" s="162"/>
      <c r="C391" s="162"/>
      <c r="D391" s="162"/>
      <c r="E391" s="162"/>
      <c r="F391" s="163"/>
      <c r="G391" s="163"/>
      <c r="H391" s="163"/>
      <c r="I391" s="163"/>
      <c r="J391" s="163"/>
      <c r="K391" s="163"/>
      <c r="L391" s="163"/>
      <c r="M391" s="163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</row>
    <row r="392" spans="1:56" ht="14.25" customHeight="1">
      <c r="A392" s="162"/>
      <c r="B392" s="215" t="s">
        <v>233</v>
      </c>
      <c r="C392" s="215"/>
      <c r="D392" s="162"/>
      <c r="E392" s="162"/>
      <c r="F392" s="163"/>
      <c r="G392" s="163"/>
      <c r="H392" s="163"/>
      <c r="I392" s="163"/>
      <c r="J392" s="163"/>
      <c r="K392" s="163"/>
      <c r="L392" s="163"/>
      <c r="M392" s="163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</row>
    <row r="393" spans="1:56" ht="14.25" customHeight="1">
      <c r="A393" s="162"/>
      <c r="B393" s="162"/>
      <c r="C393" s="162"/>
      <c r="D393" s="162"/>
      <c r="E393" s="162"/>
      <c r="F393" s="163"/>
      <c r="G393" s="163"/>
      <c r="H393" s="163"/>
      <c r="I393" s="163"/>
      <c r="J393" s="163"/>
      <c r="K393" s="163"/>
      <c r="L393" s="163"/>
      <c r="M393" s="163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</row>
    <row r="394" spans="1:56" ht="14.25" customHeight="1">
      <c r="A394" s="162"/>
      <c r="B394" s="162"/>
      <c r="C394" s="162"/>
      <c r="D394" s="162" t="s">
        <v>234</v>
      </c>
      <c r="E394" s="162"/>
      <c r="F394" s="163"/>
      <c r="G394" s="163"/>
      <c r="H394" s="163"/>
      <c r="I394" s="163"/>
      <c r="J394" s="163"/>
      <c r="K394" s="163"/>
      <c r="L394" s="163"/>
      <c r="M394" s="163"/>
      <c r="N394" s="162"/>
      <c r="O394" s="162"/>
      <c r="P394" s="162"/>
      <c r="Q394" s="162"/>
      <c r="R394" s="162" t="s">
        <v>142</v>
      </c>
      <c r="S394" s="497">
        <f>AI$136</f>
        <v>173.5</v>
      </c>
      <c r="T394" s="498"/>
      <c r="U394" s="499"/>
      <c r="V394" s="162" t="s">
        <v>187</v>
      </c>
      <c r="W394" s="162"/>
      <c r="X394" s="162"/>
      <c r="Y394" s="162"/>
      <c r="Z394" s="162"/>
      <c r="AA394" s="162"/>
    </row>
    <row r="395" spans="1:56" ht="14.25" customHeight="1">
      <c r="A395" s="162"/>
      <c r="B395" s="162"/>
      <c r="C395" s="162"/>
      <c r="D395" s="162"/>
      <c r="E395" s="162"/>
      <c r="F395" s="163"/>
      <c r="G395" s="163"/>
      <c r="H395" s="163"/>
      <c r="I395" s="163"/>
      <c r="J395" s="163"/>
      <c r="K395" s="163"/>
      <c r="L395" s="163"/>
      <c r="M395" s="163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  <c r="AA395" s="162"/>
      <c r="BC395" s="162"/>
      <c r="BD395" s="162"/>
    </row>
    <row r="396" spans="1:56" ht="14.25" customHeight="1">
      <c r="A396" s="162"/>
      <c r="B396" s="162"/>
      <c r="C396" s="162"/>
      <c r="D396" s="162"/>
      <c r="E396" s="162"/>
      <c r="F396" s="163"/>
      <c r="G396" s="163"/>
      <c r="H396" s="163"/>
      <c r="I396" s="163"/>
      <c r="J396" s="163"/>
      <c r="K396" s="163"/>
      <c r="L396" s="163"/>
      <c r="M396" s="163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  <c r="AA396" s="162"/>
      <c r="BC396" s="162"/>
      <c r="BD396" s="162"/>
    </row>
    <row r="397" spans="1:56" ht="14.25" customHeight="1">
      <c r="A397" s="162"/>
      <c r="B397" s="162"/>
      <c r="C397" s="162"/>
      <c r="D397" s="162"/>
      <c r="E397" s="162"/>
      <c r="F397" s="163"/>
      <c r="G397" s="163"/>
      <c r="H397" s="163"/>
      <c r="I397" s="163"/>
      <c r="J397" s="163"/>
      <c r="K397" s="163"/>
      <c r="L397" s="163"/>
      <c r="M397" s="163"/>
      <c r="N397" s="162"/>
      <c r="O397" s="162"/>
      <c r="P397" s="162"/>
      <c r="Q397" s="329"/>
      <c r="R397" s="162"/>
      <c r="S397" s="162"/>
      <c r="T397" s="497"/>
      <c r="U397" s="501"/>
      <c r="V397" s="502"/>
      <c r="W397" s="162"/>
      <c r="X397" s="162"/>
      <c r="Y397" s="162"/>
      <c r="Z397" s="162"/>
      <c r="AA397" s="162"/>
    </row>
    <row r="398" spans="1:56" ht="14.25" customHeight="1">
      <c r="A398" s="162"/>
      <c r="B398" s="162"/>
      <c r="C398" s="162"/>
      <c r="D398" s="162"/>
      <c r="E398" s="162"/>
      <c r="F398" s="163"/>
      <c r="G398" s="163"/>
      <c r="H398" s="163"/>
      <c r="I398" s="163"/>
      <c r="J398" s="163"/>
      <c r="K398" s="163"/>
      <c r="L398" s="163"/>
      <c r="M398" s="163"/>
      <c r="N398" s="162"/>
      <c r="O398" s="162"/>
      <c r="P398" s="162"/>
      <c r="Q398" s="329"/>
      <c r="R398" s="162"/>
      <c r="S398" s="162"/>
      <c r="T398" s="497"/>
      <c r="U398" s="501"/>
      <c r="V398" s="502"/>
      <c r="W398" s="162"/>
      <c r="X398" s="162"/>
      <c r="Y398" s="162"/>
      <c r="Z398" s="162"/>
      <c r="AA398" s="162"/>
    </row>
    <row r="399" spans="1:56" ht="14.25" customHeight="1">
      <c r="A399" s="162"/>
      <c r="B399" s="166"/>
      <c r="C399" s="162"/>
      <c r="D399" s="162"/>
      <c r="E399" s="162"/>
      <c r="F399" s="163"/>
      <c r="G399" s="163"/>
      <c r="H399" s="163"/>
      <c r="I399" s="163"/>
      <c r="J399" s="163"/>
      <c r="K399" s="163"/>
      <c r="L399" s="163"/>
      <c r="M399" s="163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  <c r="AA399" s="162"/>
    </row>
    <row r="400" spans="1:56" ht="14.25" customHeight="1">
      <c r="A400" s="162"/>
      <c r="B400" s="162"/>
      <c r="C400" s="162"/>
      <c r="D400" s="162"/>
      <c r="E400" s="162"/>
      <c r="F400" s="163"/>
      <c r="G400" s="163"/>
      <c r="H400" s="163"/>
      <c r="I400" s="163"/>
      <c r="J400" s="163"/>
      <c r="K400" s="163"/>
      <c r="L400" s="163"/>
      <c r="M400" s="163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  <c r="AA400" s="162"/>
    </row>
    <row r="401" spans="1:56" ht="14.25" customHeight="1">
      <c r="A401" s="162"/>
      <c r="B401" s="162"/>
      <c r="C401" s="162"/>
      <c r="D401" s="162"/>
      <c r="E401" s="162"/>
      <c r="F401" s="163"/>
      <c r="G401" s="163"/>
      <c r="H401" s="163"/>
      <c r="I401" s="163"/>
      <c r="J401" s="163"/>
      <c r="K401" s="163"/>
      <c r="L401" s="163"/>
      <c r="M401" s="163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  <c r="AA401" s="162"/>
    </row>
    <row r="402" spans="1:56" ht="14.25" customHeight="1">
      <c r="A402" s="162"/>
      <c r="B402" s="162"/>
      <c r="C402" s="162"/>
      <c r="D402" s="162"/>
      <c r="E402" s="162"/>
      <c r="F402" s="163"/>
      <c r="G402" s="163"/>
      <c r="H402" s="163"/>
      <c r="I402" s="163"/>
      <c r="J402" s="163"/>
      <c r="K402" s="163"/>
      <c r="L402" s="163"/>
      <c r="M402" s="163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  <c r="AA402" s="162"/>
    </row>
    <row r="403" spans="1:56" ht="14.25" customHeight="1">
      <c r="A403" s="162"/>
      <c r="B403" s="215" t="s">
        <v>235</v>
      </c>
      <c r="C403" s="162"/>
      <c r="D403" s="162"/>
      <c r="E403" s="162"/>
      <c r="F403" s="163"/>
      <c r="G403" s="163"/>
      <c r="H403" s="163"/>
      <c r="I403" s="163"/>
      <c r="J403" s="163"/>
      <c r="K403" s="163"/>
      <c r="L403" s="163"/>
      <c r="M403" s="163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  <c r="AA403" s="162"/>
    </row>
    <row r="404" spans="1:56" ht="14.25" customHeight="1">
      <c r="A404" s="233"/>
      <c r="B404" s="162"/>
      <c r="C404" s="162"/>
      <c r="D404" s="162"/>
      <c r="E404" s="162"/>
      <c r="F404" s="163"/>
      <c r="G404" s="163"/>
      <c r="H404" s="163"/>
      <c r="I404" s="163"/>
      <c r="J404" s="163"/>
      <c r="K404" s="163"/>
      <c r="L404" s="163"/>
      <c r="M404" s="163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</row>
    <row r="405" spans="1:56" ht="14.25" customHeight="1">
      <c r="A405" s="162"/>
      <c r="B405" s="162"/>
      <c r="C405" s="162"/>
      <c r="D405" s="162" t="s">
        <v>236</v>
      </c>
      <c r="E405" s="162"/>
      <c r="F405" s="163"/>
      <c r="G405" s="163"/>
      <c r="H405" s="163"/>
      <c r="I405" s="163"/>
      <c r="J405" s="163"/>
      <c r="K405" s="163"/>
      <c r="L405" s="163"/>
      <c r="M405" s="163"/>
      <c r="N405" s="162"/>
      <c r="O405" s="162"/>
      <c r="P405" s="162"/>
      <c r="Q405" s="162"/>
      <c r="R405" s="162" t="s">
        <v>142</v>
      </c>
      <c r="S405" s="497">
        <f>AJ$131</f>
        <v>128.5</v>
      </c>
      <c r="T405" s="501"/>
      <c r="U405" s="502"/>
      <c r="V405" s="162" t="s">
        <v>187</v>
      </c>
      <c r="W405" s="162"/>
      <c r="X405" s="162"/>
      <c r="Y405" s="162"/>
      <c r="Z405" s="162"/>
      <c r="AA405" s="162"/>
    </row>
    <row r="406" spans="1:56" ht="14.25" customHeight="1">
      <c r="A406" s="162"/>
      <c r="B406" s="162"/>
      <c r="C406" s="162"/>
      <c r="D406" s="162" t="s">
        <v>231</v>
      </c>
      <c r="E406" s="162"/>
      <c r="F406" s="163"/>
      <c r="G406" s="163"/>
      <c r="H406" s="163"/>
      <c r="I406" s="163"/>
      <c r="J406" s="163"/>
      <c r="K406" s="163"/>
      <c r="L406" s="163"/>
      <c r="M406" s="163"/>
      <c r="N406" s="162"/>
      <c r="O406" s="162"/>
      <c r="P406" s="162"/>
      <c r="Q406" s="162"/>
      <c r="R406" s="162" t="s">
        <v>142</v>
      </c>
      <c r="S406" s="497">
        <f>AJ$132</f>
        <v>133.5</v>
      </c>
      <c r="T406" s="501"/>
      <c r="U406" s="502"/>
      <c r="V406" s="162" t="s">
        <v>187</v>
      </c>
      <c r="W406" s="162"/>
      <c r="X406" s="162"/>
      <c r="Y406" s="162"/>
      <c r="Z406" s="162"/>
      <c r="AA406" s="162"/>
    </row>
    <row r="407" spans="1:56" ht="14.25" customHeight="1">
      <c r="A407" s="162"/>
      <c r="B407" s="162"/>
      <c r="C407" s="162"/>
      <c r="D407" s="162" t="s">
        <v>232</v>
      </c>
      <c r="E407" s="162"/>
      <c r="F407" s="163"/>
      <c r="G407" s="163"/>
      <c r="H407" s="163"/>
      <c r="I407" s="163"/>
      <c r="J407" s="163"/>
      <c r="K407" s="163"/>
      <c r="L407" s="163"/>
      <c r="M407" s="163"/>
      <c r="N407" s="162"/>
      <c r="O407" s="162"/>
      <c r="P407" s="162"/>
      <c r="Q407" s="162"/>
      <c r="R407" s="162" t="s">
        <v>142</v>
      </c>
      <c r="S407" s="497">
        <f>AJ$135</f>
        <v>178.5</v>
      </c>
      <c r="T407" s="501"/>
      <c r="U407" s="502"/>
      <c r="V407" s="162" t="s">
        <v>187</v>
      </c>
      <c r="W407" s="162"/>
      <c r="X407" s="162"/>
      <c r="Y407" s="162"/>
      <c r="Z407" s="162"/>
      <c r="AA407" s="162"/>
    </row>
    <row r="408" spans="1:56" ht="14.25" customHeight="1">
      <c r="A408" s="162"/>
      <c r="B408" s="162"/>
      <c r="C408" s="162"/>
      <c r="D408" s="162" t="s">
        <v>234</v>
      </c>
      <c r="E408" s="162"/>
      <c r="F408" s="163"/>
      <c r="G408" s="163"/>
      <c r="H408" s="163"/>
      <c r="I408" s="163"/>
      <c r="J408" s="163"/>
      <c r="K408" s="163"/>
      <c r="L408" s="163"/>
      <c r="M408" s="163"/>
      <c r="N408" s="162"/>
      <c r="O408" s="162"/>
      <c r="P408" s="162"/>
      <c r="Q408" s="162"/>
      <c r="R408" s="162" t="s">
        <v>142</v>
      </c>
      <c r="S408" s="497">
        <f>AJ$136</f>
        <v>183.5</v>
      </c>
      <c r="T408" s="498"/>
      <c r="U408" s="499"/>
      <c r="V408" s="162" t="s">
        <v>187</v>
      </c>
      <c r="W408" s="162"/>
      <c r="X408" s="162"/>
      <c r="Y408" s="162"/>
      <c r="Z408" s="162"/>
      <c r="AA408" s="162"/>
    </row>
    <row r="409" spans="1:56" ht="14.25" customHeight="1">
      <c r="A409" s="162"/>
      <c r="B409" s="331"/>
      <c r="C409" s="162"/>
      <c r="D409" s="162"/>
      <c r="E409" s="162"/>
      <c r="F409" s="163"/>
      <c r="G409" s="163"/>
      <c r="H409" s="163"/>
      <c r="I409" s="163"/>
      <c r="J409" s="163"/>
      <c r="K409" s="163"/>
      <c r="L409" s="163"/>
      <c r="M409" s="163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BC409" s="162"/>
      <c r="BD409" s="162"/>
    </row>
    <row r="410" spans="1:56" ht="14.25" customHeight="1">
      <c r="A410" s="162"/>
      <c r="B410" s="162"/>
      <c r="C410" s="162"/>
      <c r="D410" s="162"/>
      <c r="E410" s="162"/>
      <c r="F410" s="163"/>
      <c r="G410" s="163"/>
      <c r="H410" s="163"/>
      <c r="I410" s="163"/>
      <c r="J410" s="163"/>
      <c r="K410" s="163"/>
      <c r="L410" s="163"/>
      <c r="M410" s="163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  <c r="AA410" s="162"/>
      <c r="BC410" s="162"/>
      <c r="BD410" s="162"/>
    </row>
    <row r="411" spans="1:56" ht="14.25" customHeight="1">
      <c r="A411" s="162"/>
      <c r="B411" s="162"/>
      <c r="C411" s="162"/>
      <c r="D411" s="162"/>
      <c r="E411" s="162"/>
      <c r="F411" s="163"/>
      <c r="G411" s="163"/>
      <c r="H411" s="163"/>
      <c r="I411" s="163"/>
      <c r="J411" s="163"/>
      <c r="K411" s="163"/>
      <c r="L411" s="163"/>
      <c r="M411" s="163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BC411" s="162"/>
      <c r="BD411" s="162"/>
    </row>
    <row r="412" spans="1:56" ht="14.25" customHeight="1">
      <c r="A412" s="162"/>
      <c r="B412" s="162"/>
      <c r="C412" s="162"/>
      <c r="D412" s="162"/>
      <c r="E412" s="162"/>
      <c r="F412" s="163"/>
      <c r="G412" s="163"/>
      <c r="H412" s="163"/>
      <c r="I412" s="163"/>
      <c r="J412" s="163"/>
      <c r="K412" s="163"/>
      <c r="L412" s="163"/>
      <c r="M412" s="163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</row>
    <row r="413" spans="1:56" ht="14.25" customHeight="1">
      <c r="A413" s="393" t="s">
        <v>0</v>
      </c>
      <c r="B413" s="394"/>
      <c r="C413" s="395"/>
      <c r="D413" s="412" t="str">
        <f>$D$1</f>
        <v xml:space="preserve">Megaspine </v>
      </c>
      <c r="E413" s="413"/>
      <c r="F413" s="413"/>
      <c r="G413" s="413"/>
      <c r="H413" s="413"/>
      <c r="I413" s="413"/>
      <c r="J413" s="413"/>
      <c r="K413" s="413"/>
      <c r="L413" s="413"/>
      <c r="M413" s="413"/>
      <c r="N413" s="413"/>
      <c r="O413" s="413"/>
      <c r="P413" s="413"/>
      <c r="Q413" s="414"/>
      <c r="R413" s="389" t="s">
        <v>2</v>
      </c>
      <c r="S413" s="389"/>
      <c r="T413" s="389"/>
      <c r="U413" s="390">
        <f>$U$1</f>
        <v>0</v>
      </c>
      <c r="V413" s="391"/>
      <c r="W413" s="391"/>
      <c r="X413" s="392"/>
      <c r="Y413" s="380"/>
      <c r="Z413" s="381"/>
      <c r="AA413" s="382"/>
      <c r="BC413" s="162"/>
    </row>
    <row r="414" spans="1:56" ht="14.25" customHeight="1">
      <c r="A414" s="399"/>
      <c r="B414" s="400"/>
      <c r="C414" s="401"/>
      <c r="D414" s="415"/>
      <c r="E414" s="416"/>
      <c r="F414" s="416"/>
      <c r="G414" s="416"/>
      <c r="H414" s="416"/>
      <c r="I414" s="416"/>
      <c r="J414" s="416"/>
      <c r="K414" s="416"/>
      <c r="L414" s="416"/>
      <c r="M414" s="416"/>
      <c r="N414" s="416"/>
      <c r="O414" s="416"/>
      <c r="P414" s="416"/>
      <c r="Q414" s="417"/>
      <c r="R414" s="389" t="s">
        <v>3</v>
      </c>
      <c r="S414" s="389"/>
      <c r="T414" s="389"/>
      <c r="U414" s="390" t="str">
        <f>$U$2</f>
        <v>PSM</v>
      </c>
      <c r="V414" s="391"/>
      <c r="W414" s="391"/>
      <c r="X414" s="392"/>
      <c r="Y414" s="383"/>
      <c r="Z414" s="384"/>
      <c r="AA414" s="385"/>
      <c r="BC414" s="162"/>
    </row>
    <row r="415" spans="1:56" ht="14.25" customHeight="1">
      <c r="A415" s="393" t="s">
        <v>5</v>
      </c>
      <c r="B415" s="394"/>
      <c r="C415" s="395"/>
      <c r="D415" s="380" t="str">
        <f>$D$3</f>
        <v>North of ATB (CST) - Section Test</v>
      </c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81"/>
      <c r="P415" s="381"/>
      <c r="Q415" s="382"/>
      <c r="R415" s="389" t="s">
        <v>6</v>
      </c>
      <c r="S415" s="389"/>
      <c r="T415" s="389"/>
      <c r="U415" s="390" t="str">
        <f>$U$3</f>
        <v>JRS</v>
      </c>
      <c r="V415" s="391"/>
      <c r="W415" s="391"/>
      <c r="X415" s="392"/>
      <c r="Y415" s="383"/>
      <c r="Z415" s="384"/>
      <c r="AA415" s="385"/>
    </row>
    <row r="416" spans="1:56" ht="14.25" customHeight="1">
      <c r="A416" s="396"/>
      <c r="B416" s="397"/>
      <c r="C416" s="398"/>
      <c r="D416" s="489" t="str">
        <f>$D$4</f>
        <v xml:space="preserve">Load Calculation </v>
      </c>
      <c r="E416" s="490"/>
      <c r="F416" s="490"/>
      <c r="G416" s="490"/>
      <c r="H416" s="490"/>
      <c r="I416" s="490"/>
      <c r="J416" s="490"/>
      <c r="K416" s="490"/>
      <c r="L416" s="490"/>
      <c r="M416" s="490"/>
      <c r="N416" s="490"/>
      <c r="O416" s="490"/>
      <c r="P416" s="490"/>
      <c r="Q416" s="491"/>
      <c r="R416" s="389" t="s">
        <v>9</v>
      </c>
      <c r="S416" s="389"/>
      <c r="T416" s="389"/>
      <c r="U416" s="390" t="str">
        <f>$U$4</f>
        <v>MYPQ</v>
      </c>
      <c r="V416" s="391"/>
      <c r="W416" s="391"/>
      <c r="X416" s="392"/>
      <c r="Y416" s="386"/>
      <c r="Z416" s="387"/>
      <c r="AA416" s="388"/>
      <c r="BC416" s="162"/>
    </row>
    <row r="417" spans="1:55" ht="14.25" customHeight="1">
      <c r="A417" s="399"/>
      <c r="B417" s="400"/>
      <c r="C417" s="401"/>
      <c r="D417" s="415"/>
      <c r="E417" s="416"/>
      <c r="F417" s="416"/>
      <c r="G417" s="416"/>
      <c r="H417" s="416"/>
      <c r="I417" s="416"/>
      <c r="J417" s="416"/>
      <c r="K417" s="416"/>
      <c r="L417" s="416"/>
      <c r="M417" s="416"/>
      <c r="N417" s="416"/>
      <c r="O417" s="416"/>
      <c r="P417" s="416"/>
      <c r="Q417" s="417"/>
      <c r="R417" s="389" t="s">
        <v>11</v>
      </c>
      <c r="S417" s="389"/>
      <c r="T417" s="389"/>
      <c r="U417" s="411">
        <f ca="1">$U$5</f>
        <v>45183</v>
      </c>
      <c r="V417" s="492"/>
      <c r="W417" s="492"/>
      <c r="X417" s="493"/>
      <c r="Y417" s="418" t="s">
        <v>12</v>
      </c>
      <c r="Z417" s="419"/>
      <c r="AA417" s="183" t="str">
        <f>9&amp;"/"&amp;AB5</f>
        <v>9/14</v>
      </c>
      <c r="BC417" s="162"/>
    </row>
    <row r="418" spans="1:55" ht="14.25" customHeight="1">
      <c r="A418" s="162"/>
      <c r="B418" s="162"/>
      <c r="C418" s="162"/>
      <c r="D418" s="162"/>
      <c r="E418" s="162"/>
      <c r="F418" s="163"/>
      <c r="G418" s="163"/>
      <c r="H418" s="163"/>
      <c r="I418" s="163"/>
      <c r="J418" s="163"/>
      <c r="K418" s="163"/>
      <c r="L418" s="163"/>
      <c r="M418" s="163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  <c r="AA418" s="162"/>
    </row>
    <row r="419" spans="1:55" ht="14.25" customHeight="1">
      <c r="A419" s="162"/>
      <c r="B419" s="162"/>
      <c r="C419" s="162"/>
      <c r="D419" s="162"/>
      <c r="E419" s="162"/>
      <c r="F419" s="163"/>
      <c r="G419" s="163"/>
      <c r="H419" s="163"/>
      <c r="I419" s="163"/>
      <c r="J419" s="163"/>
      <c r="K419" s="163"/>
      <c r="L419" s="163"/>
      <c r="M419" s="163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  <c r="AA419" s="162"/>
    </row>
    <row r="420" spans="1:55" ht="14.25" customHeight="1">
      <c r="A420" s="162"/>
      <c r="B420" s="162"/>
      <c r="C420" s="162"/>
      <c r="D420" s="162"/>
      <c r="E420" s="162"/>
      <c r="F420" s="163"/>
      <c r="G420" s="163"/>
      <c r="H420" s="163"/>
      <c r="I420" s="163"/>
      <c r="J420" s="163"/>
      <c r="K420" s="163"/>
      <c r="L420" s="163"/>
      <c r="M420" s="163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  <c r="AA420" s="162"/>
    </row>
    <row r="421" spans="1:55" ht="14.25" customHeight="1">
      <c r="A421" s="162"/>
      <c r="B421" s="162"/>
      <c r="C421" s="162"/>
      <c r="D421" s="162"/>
      <c r="E421" s="162"/>
      <c r="F421" s="163"/>
      <c r="G421" s="163"/>
      <c r="H421" s="163"/>
      <c r="I421" s="163"/>
      <c r="J421" s="163"/>
      <c r="K421" s="163"/>
      <c r="L421" s="163"/>
      <c r="M421" s="163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  <c r="AA421" s="162"/>
    </row>
    <row r="422" spans="1:55" ht="14.25" customHeight="1">
      <c r="A422" s="162"/>
      <c r="B422" s="162"/>
      <c r="C422" s="162"/>
      <c r="D422" s="162"/>
      <c r="E422" s="162"/>
      <c r="F422" s="163"/>
      <c r="G422" s="163"/>
      <c r="H422" s="163"/>
      <c r="I422" s="163"/>
      <c r="J422" s="163"/>
      <c r="K422" s="163"/>
      <c r="L422" s="163"/>
      <c r="M422" s="163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</row>
    <row r="423" spans="1:55" ht="14.25" customHeight="1">
      <c r="A423" s="162"/>
      <c r="B423" s="162"/>
      <c r="C423" s="162"/>
      <c r="D423" s="162"/>
      <c r="E423" s="162"/>
      <c r="F423" s="163"/>
      <c r="G423" s="163"/>
      <c r="H423" s="163"/>
      <c r="I423" s="163"/>
      <c r="J423" s="163"/>
      <c r="K423" s="163"/>
      <c r="L423" s="163"/>
      <c r="M423" s="163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</row>
    <row r="424" spans="1:55" ht="14.25" customHeight="1">
      <c r="A424" s="162"/>
      <c r="B424" s="162"/>
      <c r="C424" s="162"/>
      <c r="D424" s="162"/>
      <c r="E424" s="162"/>
      <c r="F424" s="163"/>
      <c r="G424" s="163"/>
      <c r="H424" s="163"/>
      <c r="I424" s="163"/>
      <c r="J424" s="163"/>
      <c r="K424" s="163"/>
      <c r="L424" s="163"/>
      <c r="M424" s="163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</row>
    <row r="425" spans="1:55" ht="14.25" customHeight="1">
      <c r="A425" s="162"/>
      <c r="B425" s="162"/>
      <c r="C425" s="162"/>
      <c r="D425" s="162"/>
      <c r="E425" s="162"/>
      <c r="F425" s="163"/>
      <c r="G425" s="163"/>
      <c r="H425" s="163"/>
      <c r="I425" s="163"/>
      <c r="J425" s="163"/>
      <c r="K425" s="163"/>
      <c r="L425" s="163"/>
      <c r="M425" s="163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</row>
    <row r="426" spans="1:55" ht="14.25" customHeight="1">
      <c r="A426" s="162"/>
      <c r="B426" s="162"/>
      <c r="C426" s="162"/>
      <c r="D426" s="162"/>
      <c r="E426" s="162"/>
      <c r="F426" s="163"/>
      <c r="G426" s="163"/>
      <c r="H426" s="163"/>
      <c r="I426" s="163"/>
      <c r="J426" s="163"/>
      <c r="K426" s="163"/>
      <c r="L426" s="163"/>
      <c r="M426" s="163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</row>
    <row r="427" spans="1:55" ht="14.25" customHeight="1">
      <c r="A427" s="162"/>
      <c r="B427" s="215" t="s">
        <v>237</v>
      </c>
      <c r="C427" s="162"/>
      <c r="D427" s="162"/>
      <c r="E427" s="162"/>
      <c r="F427" s="163"/>
      <c r="G427" s="163"/>
      <c r="H427" s="163"/>
      <c r="I427" s="163"/>
      <c r="J427" s="163"/>
      <c r="K427" s="163"/>
      <c r="L427" s="163"/>
      <c r="M427" s="163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</row>
    <row r="428" spans="1:55" ht="14.25" customHeight="1">
      <c r="A428" s="162"/>
      <c r="B428" s="162"/>
      <c r="C428" s="162"/>
      <c r="D428" s="162"/>
      <c r="E428" s="162"/>
      <c r="F428" s="163"/>
      <c r="G428" s="163"/>
      <c r="H428" s="163"/>
      <c r="I428" s="163"/>
      <c r="J428" s="163"/>
      <c r="K428" s="163"/>
      <c r="L428" s="163"/>
      <c r="M428" s="163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</row>
    <row r="429" spans="1:55" ht="14.25" customHeight="1">
      <c r="A429" s="162"/>
      <c r="B429" s="162"/>
      <c r="C429" s="162"/>
      <c r="D429" s="162" t="s">
        <v>236</v>
      </c>
      <c r="E429" s="162"/>
      <c r="F429" s="163"/>
      <c r="G429" s="163"/>
      <c r="H429" s="163"/>
      <c r="I429" s="163"/>
      <c r="J429" s="163"/>
      <c r="K429" s="163"/>
      <c r="L429" s="163"/>
      <c r="M429" s="163"/>
      <c r="N429" s="162"/>
      <c r="O429" s="162"/>
      <c r="P429" s="162"/>
      <c r="Q429" s="162"/>
      <c r="R429" s="162" t="s">
        <v>142</v>
      </c>
      <c r="S429" s="497">
        <f>AM$131</f>
        <v>68.5</v>
      </c>
      <c r="T429" s="501"/>
      <c r="U429" s="502"/>
      <c r="V429" s="162" t="s">
        <v>187</v>
      </c>
      <c r="W429" s="162"/>
      <c r="X429" s="162"/>
      <c r="Y429" s="162"/>
      <c r="Z429" s="162"/>
      <c r="AA429" s="162"/>
    </row>
    <row r="430" spans="1:55" ht="14.25" customHeight="1">
      <c r="A430" s="162"/>
      <c r="B430" s="162"/>
      <c r="C430" s="162"/>
      <c r="D430" s="162" t="s">
        <v>234</v>
      </c>
      <c r="E430" s="162"/>
      <c r="F430" s="163"/>
      <c r="G430" s="163"/>
      <c r="H430" s="163"/>
      <c r="I430" s="163"/>
      <c r="J430" s="163"/>
      <c r="K430" s="163"/>
      <c r="L430" s="163"/>
      <c r="M430" s="163"/>
      <c r="N430" s="162"/>
      <c r="O430" s="162"/>
      <c r="P430" s="162"/>
      <c r="Q430" s="162"/>
      <c r="R430" s="162" t="s">
        <v>142</v>
      </c>
      <c r="S430" s="497">
        <f>AM$136</f>
        <v>123.5</v>
      </c>
      <c r="T430" s="498"/>
      <c r="U430" s="499"/>
      <c r="V430" s="162" t="s">
        <v>187</v>
      </c>
      <c r="W430" s="162"/>
      <c r="X430" s="162"/>
      <c r="Y430" s="162"/>
      <c r="Z430" s="162"/>
      <c r="AA430" s="162"/>
    </row>
    <row r="431" spans="1:55" ht="14.25" customHeight="1">
      <c r="A431" s="162"/>
      <c r="B431" s="162"/>
      <c r="C431" s="162"/>
      <c r="D431" s="162"/>
      <c r="E431" s="162"/>
      <c r="F431" s="163"/>
      <c r="G431" s="163"/>
      <c r="H431" s="163"/>
      <c r="I431" s="163"/>
      <c r="J431" s="163"/>
      <c r="K431" s="163"/>
      <c r="L431" s="163"/>
      <c r="M431" s="163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  <c r="AA431" s="162"/>
    </row>
    <row r="432" spans="1:55" ht="14.25" customHeight="1">
      <c r="A432" s="162"/>
      <c r="B432" s="162"/>
      <c r="C432" s="162"/>
      <c r="D432" s="162"/>
      <c r="E432" s="162"/>
      <c r="F432" s="163"/>
      <c r="G432" s="163"/>
      <c r="H432" s="163"/>
      <c r="I432" s="163"/>
      <c r="J432" s="163"/>
      <c r="K432" s="163"/>
      <c r="L432" s="163"/>
      <c r="M432" s="163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</row>
    <row r="433" spans="1:27" ht="14.25" customHeight="1">
      <c r="A433" s="162"/>
      <c r="B433" s="162"/>
      <c r="C433" s="162"/>
      <c r="D433" s="162"/>
      <c r="E433" s="162"/>
      <c r="F433" s="163"/>
      <c r="G433" s="163"/>
      <c r="H433" s="163"/>
      <c r="I433" s="163"/>
      <c r="J433" s="163"/>
      <c r="K433" s="163"/>
      <c r="L433" s="163"/>
      <c r="M433" s="163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</row>
    <row r="434" spans="1:27" ht="14.25" customHeight="1">
      <c r="A434" s="162"/>
      <c r="B434" s="162"/>
      <c r="C434" s="162"/>
      <c r="D434" s="162"/>
      <c r="E434" s="162"/>
      <c r="F434" s="163"/>
      <c r="G434" s="163"/>
      <c r="H434" s="163"/>
      <c r="I434" s="163"/>
      <c r="J434" s="163"/>
      <c r="K434" s="163"/>
      <c r="L434" s="163"/>
      <c r="M434" s="163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  <c r="AA434" s="162"/>
    </row>
    <row r="435" spans="1:27" ht="14.25" customHeight="1">
      <c r="A435" s="162"/>
      <c r="B435" s="162"/>
      <c r="C435" s="162"/>
      <c r="D435" s="162"/>
      <c r="E435" s="162"/>
      <c r="F435" s="163"/>
      <c r="G435" s="163"/>
      <c r="H435" s="163"/>
      <c r="I435" s="163"/>
      <c r="J435" s="163"/>
      <c r="K435" s="163"/>
      <c r="L435" s="163"/>
      <c r="M435" s="163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</row>
    <row r="436" spans="1:27" ht="14.25" customHeight="1">
      <c r="A436" s="162"/>
      <c r="B436" s="162"/>
      <c r="C436" s="162"/>
      <c r="D436" s="162"/>
      <c r="E436" s="162"/>
      <c r="F436" s="163"/>
      <c r="G436" s="163"/>
      <c r="H436" s="163"/>
      <c r="I436" s="163"/>
      <c r="J436" s="163"/>
      <c r="K436" s="163"/>
      <c r="L436" s="163"/>
      <c r="M436" s="163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  <c r="AA436" s="162"/>
    </row>
    <row r="437" spans="1:27" ht="14.25" customHeight="1">
      <c r="A437" s="162"/>
      <c r="B437" s="162"/>
      <c r="C437" s="162"/>
      <c r="D437" s="162"/>
      <c r="E437" s="162"/>
      <c r="F437" s="163"/>
      <c r="G437" s="163"/>
      <c r="H437" s="163"/>
      <c r="I437" s="163"/>
      <c r="J437" s="163"/>
      <c r="K437" s="163"/>
      <c r="L437" s="163"/>
      <c r="M437" s="163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</row>
    <row r="438" spans="1:27" ht="14.25" customHeight="1">
      <c r="A438" s="162"/>
      <c r="B438" s="162"/>
      <c r="C438" s="162"/>
      <c r="D438" s="162"/>
      <c r="E438" s="162"/>
      <c r="F438" s="163"/>
      <c r="G438" s="163"/>
      <c r="H438" s="163"/>
      <c r="I438" s="163"/>
      <c r="J438" s="163"/>
      <c r="K438" s="163"/>
      <c r="L438" s="163"/>
      <c r="M438" s="163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</row>
    <row r="439" spans="1:27" ht="14.25" customHeight="1">
      <c r="A439" s="162"/>
      <c r="B439" s="162"/>
      <c r="C439" s="162"/>
      <c r="D439" s="162"/>
      <c r="E439" s="162"/>
      <c r="F439" s="163"/>
      <c r="G439" s="163"/>
      <c r="H439" s="163"/>
      <c r="I439" s="163"/>
      <c r="J439" s="163"/>
      <c r="K439" s="163"/>
      <c r="L439" s="163"/>
      <c r="M439" s="163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  <c r="AA439" s="162"/>
    </row>
    <row r="440" spans="1:27" ht="14.25" customHeight="1">
      <c r="A440" s="162"/>
      <c r="B440" s="215" t="s">
        <v>238</v>
      </c>
      <c r="C440" s="162"/>
      <c r="D440" s="162"/>
      <c r="E440" s="162"/>
      <c r="F440" s="163"/>
      <c r="G440" s="163"/>
      <c r="H440" s="163"/>
      <c r="I440" s="163"/>
      <c r="J440" s="163"/>
      <c r="K440" s="163"/>
      <c r="L440" s="163"/>
      <c r="M440" s="163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  <c r="AA440" s="162"/>
    </row>
    <row r="441" spans="1:27" ht="14.25" customHeight="1">
      <c r="A441" s="162"/>
      <c r="B441" s="162"/>
      <c r="C441" s="162"/>
      <c r="D441" s="162"/>
      <c r="E441" s="162"/>
      <c r="F441" s="163"/>
      <c r="G441" s="163"/>
      <c r="H441" s="163"/>
      <c r="I441" s="163"/>
      <c r="J441" s="163"/>
      <c r="K441" s="163"/>
      <c r="L441" s="163"/>
      <c r="M441" s="163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  <c r="AA441" s="162"/>
    </row>
    <row r="442" spans="1:27" ht="14.25" customHeight="1">
      <c r="A442" s="162"/>
      <c r="B442" s="162"/>
      <c r="C442" s="162"/>
      <c r="D442" s="162" t="s">
        <v>231</v>
      </c>
      <c r="E442" s="162"/>
      <c r="F442" s="163"/>
      <c r="G442" s="163"/>
      <c r="H442" s="163"/>
      <c r="I442" s="163"/>
      <c r="J442" s="163"/>
      <c r="K442" s="163"/>
      <c r="L442" s="163"/>
      <c r="M442" s="163"/>
      <c r="N442" s="162"/>
      <c r="O442" s="162"/>
      <c r="P442" s="162"/>
      <c r="Q442" s="162"/>
      <c r="R442" s="162" t="s">
        <v>142</v>
      </c>
      <c r="S442" s="497">
        <f>AN$132</f>
        <v>73.5</v>
      </c>
      <c r="T442" s="501"/>
      <c r="U442" s="502"/>
      <c r="V442" s="162" t="s">
        <v>187</v>
      </c>
      <c r="W442" s="162"/>
      <c r="X442" s="162"/>
      <c r="Y442" s="162"/>
      <c r="Z442" s="162"/>
      <c r="AA442" s="162"/>
    </row>
    <row r="443" spans="1:27" ht="14.25" customHeight="1">
      <c r="A443" s="162"/>
      <c r="B443" s="162"/>
      <c r="C443" s="162"/>
      <c r="D443" s="162" t="s">
        <v>232</v>
      </c>
      <c r="E443" s="162"/>
      <c r="F443" s="163"/>
      <c r="G443" s="163"/>
      <c r="H443" s="163"/>
      <c r="I443" s="163"/>
      <c r="J443" s="163"/>
      <c r="K443" s="163"/>
      <c r="L443" s="163"/>
      <c r="M443" s="163"/>
      <c r="N443" s="162"/>
      <c r="O443" s="162"/>
      <c r="P443" s="162"/>
      <c r="Q443" s="162"/>
      <c r="R443" s="162" t="s">
        <v>142</v>
      </c>
      <c r="S443" s="497">
        <f>AN$135</f>
        <v>118.5</v>
      </c>
      <c r="T443" s="501"/>
      <c r="U443" s="502"/>
      <c r="V443" s="162" t="s">
        <v>187</v>
      </c>
      <c r="W443" s="162"/>
      <c r="X443" s="162"/>
      <c r="Y443" s="162"/>
      <c r="Z443" s="162"/>
      <c r="AA443" s="162"/>
    </row>
    <row r="444" spans="1:27" ht="14.25" customHeight="1">
      <c r="A444" s="162"/>
      <c r="B444" s="162"/>
      <c r="C444" s="162"/>
      <c r="D444" s="162"/>
      <c r="E444" s="162"/>
      <c r="F444" s="163"/>
      <c r="G444" s="163"/>
      <c r="H444" s="163"/>
      <c r="I444" s="163"/>
      <c r="J444" s="163"/>
      <c r="K444" s="163"/>
      <c r="L444" s="163"/>
      <c r="M444" s="497"/>
      <c r="N444" s="498"/>
      <c r="O444" s="499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  <c r="AA444" s="162"/>
    </row>
    <row r="445" spans="1:27" ht="14.25" customHeight="1">
      <c r="A445" s="162"/>
      <c r="B445" s="233"/>
      <c r="C445" s="162"/>
      <c r="D445" s="162"/>
      <c r="E445" s="162"/>
      <c r="F445" s="163"/>
      <c r="G445" s="163"/>
      <c r="H445" s="163"/>
      <c r="I445" s="163"/>
      <c r="J445" s="163"/>
      <c r="K445" s="163"/>
      <c r="L445" s="163"/>
      <c r="M445" s="163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  <c r="AA445" s="162"/>
    </row>
    <row r="446" spans="1:27" ht="14.25" customHeight="1">
      <c r="A446" s="162"/>
      <c r="B446" s="162"/>
      <c r="C446" s="162"/>
      <c r="D446" s="162"/>
      <c r="E446" s="162"/>
      <c r="F446" s="163"/>
      <c r="G446" s="163"/>
      <c r="H446" s="163"/>
      <c r="I446" s="163"/>
      <c r="J446" s="163"/>
      <c r="K446" s="163"/>
      <c r="L446" s="163"/>
      <c r="M446" s="163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</row>
    <row r="447" spans="1:27" ht="14.25" customHeight="1">
      <c r="A447" s="162"/>
      <c r="B447" s="162"/>
      <c r="C447" s="162"/>
      <c r="D447" s="162"/>
      <c r="E447" s="162"/>
      <c r="F447" s="163"/>
      <c r="G447" s="163"/>
      <c r="H447" s="163"/>
      <c r="I447" s="163"/>
      <c r="J447" s="163"/>
      <c r="K447" s="163"/>
      <c r="L447" s="163"/>
      <c r="M447" s="163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</row>
    <row r="448" spans="1:27" ht="14.25" customHeight="1">
      <c r="A448" s="162"/>
      <c r="B448" s="162"/>
      <c r="C448" s="162"/>
      <c r="D448" s="162"/>
      <c r="E448" s="162"/>
      <c r="F448" s="163"/>
      <c r="G448" s="163"/>
      <c r="H448" s="163"/>
      <c r="I448" s="163"/>
      <c r="J448" s="163"/>
      <c r="K448" s="163"/>
      <c r="L448" s="163"/>
      <c r="M448" s="163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</row>
    <row r="449" spans="1:58" ht="14.25" customHeight="1">
      <c r="A449" s="162"/>
      <c r="B449" s="162"/>
      <c r="C449" s="162"/>
      <c r="D449" s="162"/>
      <c r="E449" s="162"/>
      <c r="F449" s="163"/>
      <c r="G449" s="163"/>
      <c r="H449" s="163"/>
      <c r="I449" s="163"/>
      <c r="J449" s="163"/>
      <c r="K449" s="163"/>
      <c r="L449" s="163"/>
      <c r="M449" s="163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  <c r="AA449" s="162"/>
    </row>
    <row r="450" spans="1:58" ht="14.25" customHeight="1">
      <c r="A450" s="162"/>
      <c r="B450" s="162"/>
      <c r="C450" s="162"/>
      <c r="D450" s="162"/>
      <c r="E450" s="162"/>
      <c r="F450" s="163"/>
      <c r="G450" s="163"/>
      <c r="H450" s="163"/>
      <c r="I450" s="163"/>
      <c r="J450" s="163"/>
      <c r="K450" s="163"/>
      <c r="L450" s="163"/>
      <c r="M450" s="163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</row>
    <row r="451" spans="1:58" ht="14.25" customHeight="1">
      <c r="A451" s="162"/>
      <c r="B451" s="162"/>
      <c r="C451" s="162"/>
      <c r="D451" s="162"/>
      <c r="E451" s="162"/>
      <c r="F451" s="163"/>
      <c r="G451" s="163"/>
      <c r="H451" s="163"/>
      <c r="I451" s="163"/>
      <c r="J451" s="163"/>
      <c r="K451" s="163"/>
      <c r="L451" s="163"/>
      <c r="M451" s="163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BC451" s="162"/>
      <c r="BD451" s="162"/>
      <c r="BE451" s="162"/>
      <c r="BF451" s="162"/>
    </row>
    <row r="452" spans="1:58" ht="14.25" customHeight="1">
      <c r="A452" s="233"/>
      <c r="B452" s="215" t="s">
        <v>239</v>
      </c>
      <c r="C452" s="162"/>
      <c r="D452" s="162"/>
      <c r="E452" s="162"/>
      <c r="F452" s="163"/>
      <c r="G452" s="163"/>
      <c r="H452" s="163"/>
      <c r="I452" s="163"/>
      <c r="J452" s="163"/>
      <c r="K452" s="163"/>
      <c r="L452" s="163"/>
      <c r="M452" s="163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BC452" s="162"/>
      <c r="BD452" s="162"/>
      <c r="BE452" s="162"/>
      <c r="BF452" s="162"/>
    </row>
    <row r="453" spans="1:58" ht="14.25" customHeight="1">
      <c r="A453" s="162"/>
      <c r="B453" s="162"/>
      <c r="C453" s="162"/>
      <c r="D453" s="162"/>
      <c r="E453" s="162"/>
      <c r="F453" s="163"/>
      <c r="G453" s="163"/>
      <c r="H453" s="163"/>
      <c r="I453" s="163"/>
      <c r="J453" s="163"/>
      <c r="K453" s="163"/>
      <c r="L453" s="163"/>
      <c r="M453" s="163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BC453" s="162"/>
      <c r="BD453" s="162"/>
      <c r="BE453" s="162"/>
      <c r="BF453" s="162"/>
    </row>
    <row r="454" spans="1:58" ht="14.25" customHeight="1">
      <c r="A454" s="162"/>
      <c r="B454" s="162"/>
      <c r="C454" s="162"/>
      <c r="D454" s="162" t="s">
        <v>236</v>
      </c>
      <c r="E454" s="162"/>
      <c r="F454" s="163"/>
      <c r="G454" s="163"/>
      <c r="H454" s="163"/>
      <c r="I454" s="163"/>
      <c r="J454" s="163"/>
      <c r="K454" s="163"/>
      <c r="L454" s="163"/>
      <c r="M454" s="163"/>
      <c r="N454" s="162"/>
      <c r="O454" s="162"/>
      <c r="P454" s="162"/>
      <c r="Q454" s="162"/>
      <c r="R454" s="162" t="s">
        <v>142</v>
      </c>
      <c r="S454" s="497">
        <f>AS$131</f>
        <v>103.5</v>
      </c>
      <c r="T454" s="501"/>
      <c r="U454" s="502"/>
      <c r="V454" s="162" t="s">
        <v>187</v>
      </c>
      <c r="W454" s="162"/>
      <c r="X454" s="162"/>
      <c r="Y454" s="162"/>
      <c r="Z454" s="162"/>
      <c r="AA454" s="162"/>
      <c r="BC454" s="162"/>
      <c r="BD454" s="162"/>
      <c r="BE454" s="162"/>
      <c r="BF454" s="162"/>
    </row>
    <row r="455" spans="1:58" ht="14.25" customHeight="1">
      <c r="A455" s="162"/>
      <c r="B455" s="162"/>
      <c r="C455" s="162"/>
      <c r="D455" s="162" t="s">
        <v>234</v>
      </c>
      <c r="E455" s="162"/>
      <c r="F455" s="163"/>
      <c r="G455" s="163"/>
      <c r="H455" s="163"/>
      <c r="I455" s="163"/>
      <c r="J455" s="163"/>
      <c r="K455" s="163"/>
      <c r="L455" s="163"/>
      <c r="M455" s="163"/>
      <c r="N455" s="162"/>
      <c r="O455" s="162"/>
      <c r="P455" s="162"/>
      <c r="Q455" s="162"/>
      <c r="R455" s="162" t="s">
        <v>142</v>
      </c>
      <c r="S455" s="497">
        <f>AS$136</f>
        <v>158.5</v>
      </c>
      <c r="T455" s="498"/>
      <c r="U455" s="499"/>
      <c r="V455" s="162" t="s">
        <v>187</v>
      </c>
      <c r="W455" s="162"/>
      <c r="X455" s="162"/>
      <c r="Y455" s="162"/>
      <c r="Z455" s="162"/>
      <c r="AA455" s="162"/>
      <c r="BC455" s="162"/>
      <c r="BD455" s="162"/>
      <c r="BE455" s="162"/>
      <c r="BF455" s="162"/>
    </row>
    <row r="456" spans="1:58" ht="14.25" customHeight="1">
      <c r="A456" s="162"/>
      <c r="B456" s="162"/>
      <c r="C456" s="162"/>
      <c r="D456" s="162"/>
      <c r="E456" s="162"/>
      <c r="F456" s="163"/>
      <c r="G456" s="163"/>
      <c r="H456" s="163"/>
      <c r="I456" s="163"/>
      <c r="J456" s="163"/>
      <c r="K456" s="163"/>
      <c r="L456" s="163"/>
      <c r="M456" s="163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BC456" s="162"/>
      <c r="BD456" s="162"/>
      <c r="BE456" s="162"/>
      <c r="BF456" s="162"/>
    </row>
    <row r="457" spans="1:58" ht="14.25" customHeight="1">
      <c r="A457" s="162"/>
      <c r="B457" s="162"/>
      <c r="C457" s="162"/>
      <c r="D457" s="162"/>
      <c r="E457" s="162"/>
      <c r="F457" s="163"/>
      <c r="G457" s="163"/>
      <c r="H457" s="163"/>
      <c r="I457" s="163"/>
      <c r="J457" s="163"/>
      <c r="K457" s="163"/>
      <c r="L457" s="163"/>
      <c r="M457" s="163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</row>
    <row r="458" spans="1:58" ht="14.25" customHeight="1">
      <c r="A458" s="162"/>
      <c r="B458" s="162"/>
      <c r="C458" s="162"/>
      <c r="D458" s="162"/>
      <c r="E458" s="162"/>
      <c r="F458" s="163"/>
      <c r="G458" s="163"/>
      <c r="H458" s="163"/>
      <c r="I458" s="163"/>
      <c r="J458" s="163"/>
      <c r="K458" s="163"/>
      <c r="L458" s="163"/>
      <c r="M458" s="163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</row>
    <row r="459" spans="1:58" ht="14.25" customHeight="1">
      <c r="A459" s="162"/>
      <c r="B459" s="162"/>
      <c r="C459" s="162"/>
      <c r="D459" s="162"/>
      <c r="E459" s="162"/>
      <c r="F459" s="163"/>
      <c r="G459" s="163"/>
      <c r="H459" s="163"/>
      <c r="I459" s="163"/>
      <c r="J459" s="163"/>
      <c r="K459" s="163"/>
      <c r="L459" s="163"/>
      <c r="M459" s="163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</row>
    <row r="460" spans="1:58" ht="14.25" customHeight="1">
      <c r="A460" s="162"/>
      <c r="B460" s="162"/>
      <c r="C460" s="162"/>
      <c r="D460" s="162"/>
      <c r="E460" s="162"/>
      <c r="F460" s="163"/>
      <c r="G460" s="163"/>
      <c r="H460" s="163"/>
      <c r="I460" s="163"/>
      <c r="J460" s="163"/>
      <c r="K460" s="163"/>
      <c r="L460" s="163"/>
      <c r="M460" s="163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</row>
    <row r="461" spans="1:58" ht="14.25" customHeight="1">
      <c r="A461" s="162"/>
      <c r="B461" s="162"/>
      <c r="C461" s="162"/>
      <c r="D461" s="162"/>
      <c r="E461" s="162"/>
      <c r="F461" s="163"/>
      <c r="G461" s="163"/>
      <c r="H461" s="163"/>
      <c r="I461" s="163"/>
      <c r="J461" s="163"/>
      <c r="K461" s="163"/>
      <c r="L461" s="163"/>
      <c r="M461" s="163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</row>
    <row r="462" spans="1:58" ht="14.25" customHeight="1">
      <c r="A462" s="162"/>
      <c r="B462" s="162"/>
      <c r="C462" s="162"/>
      <c r="D462" s="162"/>
      <c r="E462" s="162"/>
      <c r="F462" s="163"/>
      <c r="G462" s="163"/>
      <c r="H462" s="163"/>
      <c r="I462" s="163"/>
      <c r="J462" s="163"/>
      <c r="K462" s="163"/>
      <c r="L462" s="163"/>
      <c r="M462" s="163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</row>
    <row r="463" spans="1:58" ht="14.25" customHeight="1">
      <c r="A463" s="233"/>
      <c r="B463" s="162"/>
      <c r="C463" s="162"/>
      <c r="D463" s="162"/>
      <c r="E463" s="162"/>
      <c r="F463" s="163"/>
      <c r="G463" s="163"/>
      <c r="H463" s="163"/>
      <c r="I463" s="163"/>
      <c r="J463" s="163"/>
      <c r="K463" s="163"/>
      <c r="L463" s="163"/>
      <c r="M463" s="163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  <c r="AA463" s="162"/>
    </row>
    <row r="464" spans="1:58" ht="14.25" customHeight="1">
      <c r="A464" s="162"/>
      <c r="B464" s="162"/>
      <c r="C464" s="162"/>
      <c r="D464" s="162"/>
      <c r="E464" s="162"/>
      <c r="F464" s="163"/>
      <c r="G464" s="163"/>
      <c r="H464" s="163"/>
      <c r="I464" s="163"/>
      <c r="J464" s="163"/>
      <c r="K464" s="163"/>
      <c r="L464" s="163"/>
      <c r="M464" s="163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</row>
    <row r="465" spans="1:27" ht="14.25" customHeight="1">
      <c r="A465" s="393" t="s">
        <v>0</v>
      </c>
      <c r="B465" s="394"/>
      <c r="C465" s="395"/>
      <c r="D465" s="412" t="str">
        <f>$D$1</f>
        <v xml:space="preserve">Megaspine </v>
      </c>
      <c r="E465" s="413"/>
      <c r="F465" s="413"/>
      <c r="G465" s="413"/>
      <c r="H465" s="413"/>
      <c r="I465" s="413"/>
      <c r="J465" s="413"/>
      <c r="K465" s="413"/>
      <c r="L465" s="413"/>
      <c r="M465" s="413"/>
      <c r="N465" s="413"/>
      <c r="O465" s="413"/>
      <c r="P465" s="413"/>
      <c r="Q465" s="414"/>
      <c r="R465" s="389" t="s">
        <v>2</v>
      </c>
      <c r="S465" s="389"/>
      <c r="T465" s="389"/>
      <c r="U465" s="390">
        <f>$U$1</f>
        <v>0</v>
      </c>
      <c r="V465" s="391"/>
      <c r="W465" s="391"/>
      <c r="X465" s="392"/>
      <c r="Y465" s="380"/>
      <c r="Z465" s="381"/>
      <c r="AA465" s="382"/>
    </row>
    <row r="466" spans="1:27" ht="14.25" customHeight="1">
      <c r="A466" s="399"/>
      <c r="B466" s="400"/>
      <c r="C466" s="401"/>
      <c r="D466" s="415"/>
      <c r="E466" s="416"/>
      <c r="F466" s="416"/>
      <c r="G466" s="416"/>
      <c r="H466" s="416"/>
      <c r="I466" s="416"/>
      <c r="J466" s="416"/>
      <c r="K466" s="416"/>
      <c r="L466" s="416"/>
      <c r="M466" s="416"/>
      <c r="N466" s="416"/>
      <c r="O466" s="416"/>
      <c r="P466" s="416"/>
      <c r="Q466" s="417"/>
      <c r="R466" s="389" t="s">
        <v>3</v>
      </c>
      <c r="S466" s="389"/>
      <c r="T466" s="389"/>
      <c r="U466" s="390" t="str">
        <f>$U$2</f>
        <v>PSM</v>
      </c>
      <c r="V466" s="391"/>
      <c r="W466" s="391"/>
      <c r="X466" s="392"/>
      <c r="Y466" s="383"/>
      <c r="Z466" s="384"/>
      <c r="AA466" s="385"/>
    </row>
    <row r="467" spans="1:27" ht="14.25" customHeight="1">
      <c r="A467" s="393" t="s">
        <v>5</v>
      </c>
      <c r="B467" s="394"/>
      <c r="C467" s="395"/>
      <c r="D467" s="380" t="str">
        <f>$D$3</f>
        <v>North of ATB (CST) - Section Test</v>
      </c>
      <c r="E467" s="381"/>
      <c r="F467" s="381"/>
      <c r="G467" s="381"/>
      <c r="H467" s="381"/>
      <c r="I467" s="381"/>
      <c r="J467" s="381"/>
      <c r="K467" s="381"/>
      <c r="L467" s="381"/>
      <c r="M467" s="381"/>
      <c r="N467" s="381"/>
      <c r="O467" s="381"/>
      <c r="P467" s="381"/>
      <c r="Q467" s="382"/>
      <c r="R467" s="389" t="s">
        <v>6</v>
      </c>
      <c r="S467" s="389"/>
      <c r="T467" s="389"/>
      <c r="U467" s="390" t="str">
        <f>$U$3</f>
        <v>JRS</v>
      </c>
      <c r="V467" s="391"/>
      <c r="W467" s="391"/>
      <c r="X467" s="392"/>
      <c r="Y467" s="383"/>
      <c r="Z467" s="384"/>
      <c r="AA467" s="385"/>
    </row>
    <row r="468" spans="1:27" ht="14.25" customHeight="1">
      <c r="A468" s="396"/>
      <c r="B468" s="397"/>
      <c r="C468" s="398"/>
      <c r="D468" s="489" t="str">
        <f>$D$4</f>
        <v xml:space="preserve">Load Calculation </v>
      </c>
      <c r="E468" s="490"/>
      <c r="F468" s="490"/>
      <c r="G468" s="490"/>
      <c r="H468" s="490"/>
      <c r="I468" s="490"/>
      <c r="J468" s="490"/>
      <c r="K468" s="490"/>
      <c r="L468" s="490"/>
      <c r="M468" s="490"/>
      <c r="N468" s="490"/>
      <c r="O468" s="490"/>
      <c r="P468" s="490"/>
      <c r="Q468" s="491"/>
      <c r="R468" s="389" t="s">
        <v>9</v>
      </c>
      <c r="S468" s="389"/>
      <c r="T468" s="389"/>
      <c r="U468" s="390" t="str">
        <f>$U$4</f>
        <v>MYPQ</v>
      </c>
      <c r="V468" s="391"/>
      <c r="W468" s="391"/>
      <c r="X468" s="392"/>
      <c r="Y468" s="386"/>
      <c r="Z468" s="387"/>
      <c r="AA468" s="388"/>
    </row>
    <row r="469" spans="1:27" ht="14.25" customHeight="1">
      <c r="A469" s="399"/>
      <c r="B469" s="400"/>
      <c r="C469" s="401"/>
      <c r="D469" s="415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7"/>
      <c r="R469" s="389" t="s">
        <v>11</v>
      </c>
      <c r="S469" s="389"/>
      <c r="T469" s="389"/>
      <c r="U469" s="411">
        <f ca="1">$U$5</f>
        <v>45183</v>
      </c>
      <c r="V469" s="492"/>
      <c r="W469" s="492"/>
      <c r="X469" s="493"/>
      <c r="Y469" s="418" t="s">
        <v>12</v>
      </c>
      <c r="Z469" s="419"/>
      <c r="AA469" s="183" t="str">
        <f>10&amp;"/"&amp;AB5</f>
        <v>10/14</v>
      </c>
    </row>
    <row r="470" spans="1:27" ht="14.25" customHeight="1">
      <c r="A470" s="162"/>
      <c r="B470" s="162"/>
      <c r="C470" s="162"/>
      <c r="D470" s="162"/>
      <c r="E470" s="162"/>
      <c r="F470" s="163"/>
      <c r="G470" s="163"/>
      <c r="H470" s="163"/>
      <c r="I470" s="163"/>
      <c r="J470" s="163"/>
      <c r="K470" s="163"/>
      <c r="L470" s="163"/>
      <c r="M470" s="163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  <c r="AA470" s="162"/>
    </row>
    <row r="471" spans="1:27" ht="14.25" customHeight="1">
      <c r="A471" s="162"/>
      <c r="B471" s="215" t="s">
        <v>240</v>
      </c>
      <c r="C471" s="162"/>
      <c r="D471" s="162"/>
      <c r="E471" s="162"/>
      <c r="F471" s="163"/>
      <c r="G471" s="163"/>
      <c r="H471" s="163"/>
      <c r="I471" s="163"/>
      <c r="J471" s="163"/>
      <c r="K471" s="163"/>
      <c r="L471" s="163"/>
      <c r="M471" s="163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  <c r="AA471" s="162"/>
    </row>
    <row r="472" spans="1:27" ht="14.25" customHeight="1">
      <c r="A472" s="162"/>
      <c r="B472" s="162"/>
      <c r="C472" s="162"/>
      <c r="D472" s="162"/>
      <c r="E472" s="162"/>
      <c r="F472" s="163"/>
      <c r="G472" s="163"/>
      <c r="H472" s="163"/>
      <c r="I472" s="163"/>
      <c r="J472" s="163"/>
      <c r="K472" s="163"/>
      <c r="L472" s="163"/>
      <c r="M472" s="163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</row>
    <row r="473" spans="1:27" ht="14.25" customHeight="1">
      <c r="A473" s="162"/>
      <c r="B473" s="162"/>
      <c r="C473" s="162"/>
      <c r="D473" s="162" t="s">
        <v>241</v>
      </c>
      <c r="E473" s="162"/>
      <c r="F473" s="163"/>
      <c r="G473" s="163"/>
      <c r="H473" s="163"/>
      <c r="I473" s="163"/>
      <c r="J473" s="163"/>
      <c r="K473" s="163"/>
      <c r="L473" s="163"/>
      <c r="M473" s="163"/>
      <c r="N473" s="162"/>
      <c r="O473" s="162"/>
      <c r="P473" s="162"/>
      <c r="Q473" s="162"/>
      <c r="R473" s="162" t="s">
        <v>142</v>
      </c>
      <c r="S473" s="497">
        <f>AU$137</f>
        <v>103.5</v>
      </c>
      <c r="T473" s="501"/>
      <c r="U473" s="502"/>
      <c r="V473" s="162" t="s">
        <v>187</v>
      </c>
      <c r="W473" s="162"/>
      <c r="X473" s="162"/>
      <c r="Y473" s="162"/>
      <c r="Z473" s="162"/>
      <c r="AA473" s="162"/>
    </row>
    <row r="474" spans="1:27" ht="14.25" customHeight="1">
      <c r="A474" s="162"/>
      <c r="B474" s="162"/>
      <c r="C474" s="162"/>
      <c r="D474" s="162" t="s">
        <v>242</v>
      </c>
      <c r="E474" s="162"/>
      <c r="F474" s="163"/>
      <c r="G474" s="163"/>
      <c r="H474" s="163"/>
      <c r="I474" s="163"/>
      <c r="J474" s="163"/>
      <c r="K474" s="163"/>
      <c r="L474" s="163"/>
      <c r="M474" s="163"/>
      <c r="N474" s="162"/>
      <c r="O474" s="162"/>
      <c r="P474" s="162"/>
      <c r="Q474" s="162"/>
      <c r="R474" s="162" t="s">
        <v>142</v>
      </c>
      <c r="S474" s="497">
        <f>AT$137</f>
        <v>73.5</v>
      </c>
      <c r="T474" s="498"/>
      <c r="U474" s="499"/>
      <c r="V474" s="162" t="s">
        <v>187</v>
      </c>
      <c r="W474" s="162"/>
      <c r="X474" s="162"/>
      <c r="Y474" s="162"/>
      <c r="Z474" s="162"/>
      <c r="AA474" s="162"/>
    </row>
    <row r="475" spans="1:27" ht="14.25" customHeight="1">
      <c r="A475" s="162"/>
      <c r="B475" s="162"/>
      <c r="C475" s="162"/>
      <c r="D475" s="162"/>
      <c r="E475" s="162"/>
      <c r="F475" s="163"/>
      <c r="G475" s="163"/>
      <c r="H475" s="163"/>
      <c r="I475" s="163"/>
      <c r="J475" s="163"/>
      <c r="K475" s="163"/>
      <c r="L475" s="163"/>
      <c r="M475" s="163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  <c r="AA475" s="162"/>
    </row>
    <row r="476" spans="1:27" ht="14.25" customHeight="1">
      <c r="A476" s="162"/>
      <c r="B476" s="162"/>
      <c r="C476" s="162"/>
      <c r="D476" s="162"/>
      <c r="E476" s="162"/>
      <c r="F476" s="163"/>
      <c r="G476" s="163"/>
      <c r="H476" s="163"/>
      <c r="I476" s="163"/>
      <c r="J476" s="163"/>
      <c r="K476" s="163"/>
      <c r="L476" s="163"/>
      <c r="M476" s="163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  <c r="AA476" s="162"/>
    </row>
    <row r="477" spans="1:27" ht="14.25" customHeight="1">
      <c r="A477" s="162"/>
      <c r="B477" s="162"/>
      <c r="C477" s="162"/>
      <c r="D477" s="162"/>
      <c r="E477" s="162"/>
      <c r="F477" s="163"/>
      <c r="G477" s="163"/>
      <c r="H477" s="163"/>
      <c r="I477" s="163"/>
      <c r="J477" s="163"/>
      <c r="K477" s="163"/>
      <c r="L477" s="163"/>
      <c r="M477" s="163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  <c r="AA477" s="162"/>
    </row>
    <row r="478" spans="1:27" ht="14.25" customHeight="1">
      <c r="A478" s="162"/>
      <c r="B478" s="162"/>
      <c r="C478" s="162"/>
      <c r="D478" s="162"/>
      <c r="E478" s="162"/>
      <c r="F478" s="163"/>
      <c r="G478" s="163"/>
      <c r="H478" s="163"/>
      <c r="I478" s="163"/>
      <c r="J478" s="163"/>
      <c r="K478" s="163"/>
      <c r="L478" s="163"/>
      <c r="M478" s="163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  <c r="AA478" s="162"/>
    </row>
    <row r="479" spans="1:27" ht="14.25" customHeight="1">
      <c r="A479" s="162"/>
      <c r="B479" s="162"/>
      <c r="C479" s="162"/>
      <c r="D479" s="162"/>
      <c r="E479" s="162"/>
      <c r="F479" s="163"/>
      <c r="G479" s="163"/>
      <c r="H479" s="163"/>
      <c r="I479" s="163"/>
      <c r="J479" s="163"/>
      <c r="K479" s="163"/>
      <c r="L479" s="163"/>
      <c r="M479" s="163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</row>
    <row r="480" spans="1:27" ht="14.25" customHeight="1">
      <c r="A480" s="162"/>
      <c r="B480" s="162"/>
      <c r="C480" s="162"/>
      <c r="D480" s="162"/>
      <c r="E480" s="162"/>
      <c r="F480" s="163"/>
      <c r="G480" s="163"/>
      <c r="H480" s="163"/>
      <c r="I480" s="163"/>
      <c r="J480" s="163"/>
      <c r="K480" s="163"/>
      <c r="L480" s="163"/>
      <c r="M480" s="163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</row>
    <row r="481" spans="1:27" ht="14.25" customHeight="1">
      <c r="A481" s="162"/>
      <c r="B481" s="162"/>
      <c r="C481" s="162"/>
      <c r="D481" s="162"/>
      <c r="E481" s="162"/>
      <c r="F481" s="163"/>
      <c r="G481" s="163"/>
      <c r="H481" s="163"/>
      <c r="I481" s="163"/>
      <c r="J481" s="163"/>
      <c r="K481" s="163"/>
      <c r="L481" s="163"/>
      <c r="M481" s="163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</row>
    <row r="482" spans="1:27" ht="14.25" customHeight="1">
      <c r="A482" s="162"/>
      <c r="B482" s="162"/>
      <c r="C482" s="162"/>
      <c r="D482" s="162"/>
      <c r="E482" s="162"/>
      <c r="F482" s="163"/>
      <c r="G482" s="163"/>
      <c r="H482" s="163"/>
      <c r="I482" s="163"/>
      <c r="J482" s="163"/>
      <c r="K482" s="163"/>
      <c r="L482" s="163"/>
      <c r="M482" s="163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</row>
    <row r="483" spans="1:27" ht="14.25" customHeight="1">
      <c r="A483" s="162"/>
      <c r="B483" s="162"/>
      <c r="C483" s="162"/>
      <c r="D483" s="162"/>
      <c r="E483" s="162"/>
      <c r="F483" s="163"/>
      <c r="G483" s="163"/>
      <c r="H483" s="163"/>
      <c r="I483" s="163"/>
      <c r="J483" s="163"/>
      <c r="K483" s="163"/>
      <c r="L483" s="163"/>
      <c r="M483" s="163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</row>
    <row r="484" spans="1:27" ht="14.25" customHeight="1">
      <c r="A484" s="162"/>
      <c r="B484" s="162"/>
      <c r="C484" s="162"/>
      <c r="D484" s="162"/>
      <c r="E484" s="162"/>
      <c r="F484" s="163"/>
      <c r="G484" s="163"/>
      <c r="H484" s="163"/>
      <c r="I484" s="163"/>
      <c r="J484" s="163"/>
      <c r="K484" s="163"/>
      <c r="L484" s="163"/>
      <c r="M484" s="163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</row>
    <row r="485" spans="1:27" ht="14.25" customHeight="1">
      <c r="A485" s="162"/>
      <c r="B485" s="215" t="s">
        <v>243</v>
      </c>
      <c r="C485" s="162"/>
      <c r="D485" s="162"/>
      <c r="E485" s="162"/>
      <c r="F485" s="163"/>
      <c r="G485" s="163"/>
      <c r="H485" s="163"/>
      <c r="I485" s="163"/>
      <c r="J485" s="163"/>
      <c r="K485" s="163"/>
      <c r="L485" s="163"/>
      <c r="M485" s="163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  <c r="AA485" s="162"/>
    </row>
    <row r="486" spans="1:27" ht="14.25" customHeight="1">
      <c r="A486" s="162"/>
      <c r="B486" s="215" t="s">
        <v>244</v>
      </c>
      <c r="C486" s="162"/>
      <c r="D486" s="162"/>
      <c r="E486" s="162"/>
      <c r="F486" s="163"/>
      <c r="G486" s="163"/>
      <c r="H486" s="163"/>
      <c r="I486" s="163"/>
      <c r="J486" s="163"/>
      <c r="K486" s="163"/>
      <c r="L486" s="163"/>
      <c r="M486" s="163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</row>
    <row r="487" spans="1:27" ht="14.25" customHeight="1">
      <c r="A487" s="162"/>
      <c r="B487" s="162"/>
      <c r="C487" s="162"/>
      <c r="D487" s="162"/>
      <c r="E487" s="162"/>
      <c r="F487" s="163"/>
      <c r="G487" s="163"/>
      <c r="H487" s="163"/>
      <c r="I487" s="163"/>
      <c r="J487" s="163"/>
      <c r="K487" s="163"/>
      <c r="L487" s="163"/>
      <c r="M487" s="163"/>
      <c r="N487" s="162"/>
      <c r="O487" s="162"/>
      <c r="P487" s="162"/>
      <c r="Q487" s="162"/>
      <c r="R487" s="162"/>
      <c r="S487" s="169"/>
      <c r="T487" s="334"/>
      <c r="U487" s="170"/>
      <c r="V487" s="162"/>
      <c r="W487" s="162"/>
      <c r="X487" s="162"/>
      <c r="Y487" s="162"/>
      <c r="Z487" s="162"/>
      <c r="AA487" s="162"/>
    </row>
    <row r="488" spans="1:27" ht="14.25" customHeight="1">
      <c r="A488" s="162"/>
      <c r="B488" s="162"/>
      <c r="C488" s="162"/>
      <c r="D488" s="162" t="s">
        <v>245</v>
      </c>
      <c r="E488" s="162"/>
      <c r="F488" s="163"/>
      <c r="G488" s="163"/>
      <c r="H488" s="163"/>
      <c r="I488" s="163"/>
      <c r="J488" s="163"/>
      <c r="K488" s="163"/>
      <c r="L488" s="163"/>
      <c r="M488" s="163"/>
      <c r="N488" s="162"/>
      <c r="O488" s="162"/>
      <c r="P488" s="162"/>
      <c r="Q488" s="162"/>
      <c r="R488" s="162" t="s">
        <v>142</v>
      </c>
      <c r="S488" s="497">
        <f>AY$132</f>
        <v>108.5</v>
      </c>
      <c r="T488" s="498"/>
      <c r="U488" s="499"/>
      <c r="V488" s="162" t="s">
        <v>187</v>
      </c>
      <c r="W488" s="162"/>
      <c r="X488" s="162"/>
      <c r="Y488" s="162"/>
      <c r="Z488" s="162"/>
      <c r="AA488" s="162"/>
    </row>
    <row r="489" spans="1:27" ht="14.25" customHeight="1">
      <c r="A489" s="162"/>
      <c r="B489" s="162"/>
      <c r="C489" s="162"/>
      <c r="D489" s="162" t="s">
        <v>246</v>
      </c>
      <c r="E489" s="162"/>
      <c r="F489" s="163"/>
      <c r="G489" s="163"/>
      <c r="H489" s="163"/>
      <c r="I489" s="163"/>
      <c r="J489" s="163"/>
      <c r="K489" s="163"/>
      <c r="L489" s="163"/>
      <c r="M489" s="163"/>
      <c r="N489" s="162"/>
      <c r="O489" s="162"/>
      <c r="P489" s="162"/>
      <c r="Q489" s="162"/>
      <c r="R489" s="162" t="s">
        <v>142</v>
      </c>
      <c r="S489" s="497">
        <f>AY$135</f>
        <v>153.5</v>
      </c>
      <c r="T489" s="498"/>
      <c r="U489" s="499"/>
      <c r="V489" s="162" t="s">
        <v>187</v>
      </c>
      <c r="W489" s="162"/>
      <c r="X489" s="162"/>
      <c r="Y489" s="162"/>
      <c r="Z489" s="162"/>
      <c r="AA489" s="162"/>
    </row>
    <row r="490" spans="1:27" ht="14.25" customHeight="1">
      <c r="A490" s="162"/>
      <c r="B490" s="162"/>
      <c r="C490" s="162"/>
      <c r="D490" s="162" t="s">
        <v>247</v>
      </c>
      <c r="E490" s="162"/>
      <c r="F490" s="163"/>
      <c r="G490" s="163"/>
      <c r="H490" s="163"/>
      <c r="I490" s="163"/>
      <c r="J490" s="163"/>
      <c r="K490" s="163"/>
      <c r="L490" s="163"/>
      <c r="M490" s="163"/>
      <c r="N490" s="162"/>
      <c r="O490" s="162"/>
      <c r="P490" s="162"/>
      <c r="Q490" s="162"/>
      <c r="R490" s="162" t="s">
        <v>142</v>
      </c>
      <c r="S490" s="497">
        <f>AW$132</f>
        <v>78.5</v>
      </c>
      <c r="T490" s="498"/>
      <c r="U490" s="499"/>
      <c r="V490" s="162" t="s">
        <v>187</v>
      </c>
      <c r="W490" s="162"/>
      <c r="X490" s="162"/>
      <c r="Y490" s="162"/>
      <c r="Z490" s="162"/>
      <c r="AA490" s="162"/>
    </row>
    <row r="491" spans="1:27" ht="14.25" customHeight="1">
      <c r="A491" s="162"/>
      <c r="B491" s="162"/>
      <c r="C491" s="162"/>
      <c r="D491" s="162" t="s">
        <v>248</v>
      </c>
      <c r="E491" s="162"/>
      <c r="F491" s="163"/>
      <c r="G491" s="163"/>
      <c r="H491" s="163"/>
      <c r="I491" s="163"/>
      <c r="J491" s="163"/>
      <c r="K491" s="163"/>
      <c r="L491" s="163"/>
      <c r="M491" s="163"/>
      <c r="N491" s="162"/>
      <c r="O491" s="162"/>
      <c r="P491" s="162"/>
      <c r="Q491" s="162"/>
      <c r="R491" s="162" t="s">
        <v>142</v>
      </c>
      <c r="S491" s="497">
        <f>AW$135</f>
        <v>123.5</v>
      </c>
      <c r="T491" s="498"/>
      <c r="U491" s="499"/>
      <c r="V491" s="162" t="s">
        <v>187</v>
      </c>
      <c r="W491" s="162"/>
      <c r="X491" s="162"/>
      <c r="Y491" s="162"/>
      <c r="Z491" s="162"/>
      <c r="AA491" s="162"/>
    </row>
    <row r="492" spans="1:27" ht="14.25" customHeight="1">
      <c r="A492" s="162"/>
      <c r="B492" s="162"/>
      <c r="C492" s="162"/>
      <c r="D492" s="162"/>
      <c r="E492" s="162"/>
      <c r="F492" s="163"/>
      <c r="G492" s="163"/>
      <c r="H492" s="163"/>
      <c r="I492" s="163"/>
      <c r="J492" s="163"/>
      <c r="K492" s="163"/>
      <c r="L492" s="163"/>
      <c r="M492" s="497"/>
      <c r="N492" s="498"/>
      <c r="O492" s="499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  <c r="AA492" s="162"/>
    </row>
    <row r="493" spans="1:27" ht="14.25" customHeight="1">
      <c r="A493" s="162"/>
      <c r="B493" s="233"/>
      <c r="C493" s="162"/>
      <c r="D493" s="162"/>
      <c r="E493" s="162"/>
      <c r="F493" s="163"/>
      <c r="G493" s="163"/>
      <c r="H493" s="163"/>
      <c r="I493" s="163"/>
      <c r="J493" s="163"/>
      <c r="K493" s="163"/>
      <c r="L493" s="163"/>
      <c r="M493" s="163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</row>
    <row r="494" spans="1:27" ht="14.25" customHeight="1">
      <c r="A494" s="162"/>
      <c r="B494" s="162"/>
      <c r="C494" s="162"/>
      <c r="D494" s="162"/>
      <c r="E494" s="162"/>
      <c r="F494" s="163"/>
      <c r="G494" s="163"/>
      <c r="H494" s="163"/>
      <c r="I494" s="163"/>
      <c r="J494" s="163"/>
      <c r="K494" s="163"/>
      <c r="L494" s="163"/>
      <c r="M494" s="163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</row>
    <row r="495" spans="1:27" ht="14.25" customHeight="1">
      <c r="A495" s="162"/>
      <c r="B495" s="162"/>
      <c r="C495" s="162"/>
      <c r="D495" s="162"/>
      <c r="E495" s="162"/>
      <c r="F495" s="163"/>
      <c r="G495" s="163"/>
      <c r="H495" s="163"/>
      <c r="I495" s="163"/>
      <c r="J495" s="163"/>
      <c r="K495" s="163"/>
      <c r="L495" s="163"/>
      <c r="M495" s="163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  <c r="AA495" s="162"/>
    </row>
    <row r="496" spans="1:27" ht="14.25" customHeight="1">
      <c r="A496" s="162"/>
      <c r="B496" s="162"/>
      <c r="C496" s="162"/>
      <c r="D496" s="162"/>
      <c r="E496" s="162"/>
      <c r="F496" s="163"/>
      <c r="G496" s="163"/>
      <c r="H496" s="163"/>
      <c r="I496" s="163"/>
      <c r="J496" s="163"/>
      <c r="K496" s="163"/>
      <c r="L496" s="163"/>
      <c r="M496" s="163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</row>
    <row r="497" spans="1:44" ht="14.25" customHeight="1">
      <c r="A497" s="162"/>
      <c r="B497" s="162"/>
      <c r="C497" s="162"/>
      <c r="D497" s="162"/>
      <c r="E497" s="162"/>
      <c r="F497" s="163"/>
      <c r="G497" s="163"/>
      <c r="H497" s="163"/>
      <c r="I497" s="163"/>
      <c r="J497" s="163"/>
      <c r="K497" s="163"/>
      <c r="L497" s="163"/>
      <c r="M497" s="163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</row>
    <row r="498" spans="1:44" ht="14.25" customHeight="1">
      <c r="A498" s="162"/>
      <c r="B498" s="162"/>
      <c r="C498" s="162"/>
      <c r="D498" s="162"/>
      <c r="E498" s="162"/>
      <c r="F498" s="163"/>
      <c r="G498" s="163"/>
      <c r="H498" s="163"/>
      <c r="I498" s="163"/>
      <c r="J498" s="163"/>
      <c r="K498" s="163"/>
      <c r="L498" s="163"/>
      <c r="M498" s="163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  <c r="AA498" s="162"/>
    </row>
    <row r="499" spans="1:44" ht="14.25" customHeight="1">
      <c r="A499" s="162"/>
      <c r="B499" s="162"/>
      <c r="C499" s="162"/>
      <c r="D499" s="162"/>
      <c r="E499" s="162"/>
      <c r="F499" s="163"/>
      <c r="G499" s="163"/>
      <c r="H499" s="163"/>
      <c r="I499" s="163"/>
      <c r="J499" s="163"/>
      <c r="K499" s="163"/>
      <c r="L499" s="163"/>
      <c r="M499" s="163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</row>
    <row r="500" spans="1:44" ht="14.25" customHeight="1">
      <c r="A500" s="162"/>
      <c r="B500" s="215" t="s">
        <v>249</v>
      </c>
      <c r="C500" s="162"/>
      <c r="D500" s="162"/>
      <c r="E500" s="162"/>
      <c r="F500" s="163"/>
      <c r="G500" s="163"/>
      <c r="H500" s="163"/>
      <c r="I500" s="163"/>
      <c r="J500" s="163"/>
      <c r="K500" s="163"/>
      <c r="L500" s="163"/>
      <c r="M500" s="163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  <c r="AA500" s="162"/>
    </row>
    <row r="501" spans="1:44" ht="14.25" customHeight="1">
      <c r="A501" s="162"/>
      <c r="B501" s="162"/>
      <c r="C501" s="162"/>
      <c r="D501" s="162"/>
      <c r="E501" s="162"/>
      <c r="F501" s="163"/>
      <c r="G501" s="163"/>
      <c r="H501" s="163"/>
      <c r="I501" s="163"/>
      <c r="J501" s="163"/>
      <c r="K501" s="163"/>
      <c r="L501" s="163"/>
      <c r="M501" s="163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  <c r="AA501" s="162"/>
    </row>
    <row r="502" spans="1:44" ht="14.25" customHeight="1">
      <c r="A502" s="162"/>
      <c r="B502" s="162"/>
      <c r="C502" s="162"/>
      <c r="D502" s="162" t="s">
        <v>250</v>
      </c>
      <c r="E502" s="162"/>
      <c r="F502" s="163"/>
      <c r="G502" s="163"/>
      <c r="H502" s="163"/>
      <c r="I502" s="163"/>
      <c r="J502" s="163"/>
      <c r="K502" s="163"/>
      <c r="L502" s="163"/>
      <c r="M502" s="163"/>
      <c r="N502" s="162"/>
      <c r="O502" s="162"/>
      <c r="P502" s="162"/>
      <c r="Q502" s="162"/>
      <c r="R502" s="162" t="s">
        <v>142</v>
      </c>
      <c r="S502" s="497">
        <f>BA$136</f>
        <v>158.5</v>
      </c>
      <c r="T502" s="498"/>
      <c r="U502" s="499"/>
      <c r="V502" s="162" t="s">
        <v>187</v>
      </c>
      <c r="W502" s="162"/>
      <c r="X502" s="162"/>
      <c r="Y502" s="162"/>
      <c r="Z502" s="162"/>
      <c r="AA502" s="162"/>
    </row>
    <row r="503" spans="1:44" ht="14.25" customHeight="1">
      <c r="A503" s="162"/>
      <c r="B503" s="162"/>
      <c r="C503" s="162"/>
      <c r="D503" s="162" t="s">
        <v>251</v>
      </c>
      <c r="E503" s="162"/>
      <c r="F503" s="163"/>
      <c r="G503" s="163"/>
      <c r="H503" s="163"/>
      <c r="I503" s="163"/>
      <c r="J503" s="163"/>
      <c r="K503" s="163"/>
      <c r="L503" s="163"/>
      <c r="M503" s="163"/>
      <c r="N503" s="162"/>
      <c r="O503" s="162"/>
      <c r="P503" s="162"/>
      <c r="Q503" s="162"/>
      <c r="R503" s="162" t="s">
        <v>142</v>
      </c>
      <c r="S503" s="497">
        <f>AZ$136</f>
        <v>128.5</v>
      </c>
      <c r="T503" s="498"/>
      <c r="U503" s="499"/>
      <c r="V503" s="162" t="s">
        <v>187</v>
      </c>
      <c r="W503" s="162"/>
      <c r="X503" s="162"/>
      <c r="Y503" s="162"/>
      <c r="Z503" s="162"/>
      <c r="AA503" s="162"/>
    </row>
    <row r="504" spans="1:44" ht="14.25" customHeight="1">
      <c r="A504" s="162"/>
      <c r="B504" s="162"/>
      <c r="C504" s="162"/>
      <c r="D504" s="162"/>
      <c r="E504" s="162"/>
      <c r="F504" s="163"/>
      <c r="G504" s="163"/>
      <c r="H504" s="163"/>
      <c r="I504" s="163"/>
      <c r="J504" s="163"/>
      <c r="K504" s="163"/>
      <c r="L504" s="163"/>
      <c r="M504" s="497"/>
      <c r="N504" s="498"/>
      <c r="O504" s="499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  <c r="AA504" s="162"/>
    </row>
    <row r="505" spans="1:44" ht="14.25" customHeight="1">
      <c r="A505" s="162"/>
      <c r="B505" s="162"/>
      <c r="C505" s="162"/>
      <c r="D505" s="162"/>
      <c r="E505" s="162"/>
      <c r="F505" s="163"/>
      <c r="G505" s="163"/>
      <c r="H505" s="163"/>
      <c r="I505" s="163"/>
      <c r="J505" s="163"/>
      <c r="K505" s="163"/>
      <c r="L505" s="163"/>
      <c r="M505" s="497"/>
      <c r="N505" s="498"/>
      <c r="O505" s="499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  <c r="AA505" s="162"/>
      <c r="AC505" s="238" t="s">
        <v>252</v>
      </c>
    </row>
    <row r="506" spans="1:44" ht="14.25" customHeight="1">
      <c r="A506" s="162"/>
      <c r="B506" s="162"/>
      <c r="C506" s="162"/>
      <c r="D506" s="162"/>
      <c r="E506" s="162"/>
      <c r="F506" s="163"/>
      <c r="G506" s="163"/>
      <c r="H506" s="163"/>
      <c r="I506" s="163"/>
      <c r="J506" s="163"/>
      <c r="K506" s="163"/>
      <c r="L506" s="163"/>
      <c r="M506" s="163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  <c r="AA506" s="162"/>
    </row>
    <row r="507" spans="1:44" ht="14.25" customHeight="1">
      <c r="A507" s="162"/>
      <c r="B507" s="162"/>
      <c r="C507" s="162"/>
      <c r="D507" s="162"/>
      <c r="E507" s="162"/>
      <c r="F507" s="163"/>
      <c r="G507" s="163"/>
      <c r="H507" s="163"/>
      <c r="I507" s="163"/>
      <c r="J507" s="163"/>
      <c r="K507" s="163"/>
      <c r="L507" s="163"/>
      <c r="M507" s="163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  <c r="AA507" s="162"/>
      <c r="AC507" s="459" t="s">
        <v>53</v>
      </c>
      <c r="AD507" s="517" t="s">
        <v>54</v>
      </c>
      <c r="AE507" s="463" t="s">
        <v>55</v>
      </c>
      <c r="AF507" s="534" t="s">
        <v>58</v>
      </c>
      <c r="AG507" s="534" t="s">
        <v>59</v>
      </c>
      <c r="AH507" s="536" t="s">
        <v>76</v>
      </c>
      <c r="AJ507" s="459" t="s">
        <v>124</v>
      </c>
      <c r="AK507" s="534" t="s">
        <v>125</v>
      </c>
      <c r="AL507" s="538" t="s">
        <v>55</v>
      </c>
      <c r="AM507" s="534" t="s">
        <v>58</v>
      </c>
      <c r="AN507" s="534" t="s">
        <v>59</v>
      </c>
      <c r="AO507" s="479" t="s">
        <v>76</v>
      </c>
      <c r="AP507" s="261"/>
      <c r="AQ507" s="534" t="s">
        <v>59</v>
      </c>
      <c r="AR507" s="261"/>
    </row>
    <row r="508" spans="1:44" ht="14.25" customHeight="1">
      <c r="A508" s="162"/>
      <c r="B508" s="162"/>
      <c r="C508" s="162"/>
      <c r="D508" s="162"/>
      <c r="E508" s="162"/>
      <c r="F508" s="163"/>
      <c r="G508" s="163"/>
      <c r="H508" s="163"/>
      <c r="I508" s="163"/>
      <c r="J508" s="163"/>
      <c r="K508" s="163"/>
      <c r="L508" s="163"/>
      <c r="M508" s="163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C508" s="459"/>
      <c r="AD508" s="517"/>
      <c r="AE508" s="463"/>
      <c r="AF508" s="534"/>
      <c r="AG508" s="534"/>
      <c r="AH508" s="536"/>
      <c r="AJ508" s="459"/>
      <c r="AK508" s="534"/>
      <c r="AL508" s="538"/>
      <c r="AM508" s="534"/>
      <c r="AN508" s="534"/>
      <c r="AO508" s="479"/>
      <c r="AP508" s="261"/>
      <c r="AQ508" s="534"/>
      <c r="AR508" s="261"/>
    </row>
    <row r="509" spans="1:44" ht="14.25" customHeight="1">
      <c r="A509" s="162"/>
      <c r="B509" s="162"/>
      <c r="C509" s="162"/>
      <c r="D509" s="162"/>
      <c r="E509" s="162"/>
      <c r="F509" s="163"/>
      <c r="G509" s="163"/>
      <c r="H509" s="163"/>
      <c r="I509" s="163"/>
      <c r="J509" s="163"/>
      <c r="K509" s="163"/>
      <c r="L509" s="163"/>
      <c r="M509" s="163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C509" s="460"/>
      <c r="AD509" s="518"/>
      <c r="AE509" s="464"/>
      <c r="AF509" s="535"/>
      <c r="AG509" s="535"/>
      <c r="AH509" s="537"/>
      <c r="AJ509" s="460"/>
      <c r="AK509" s="535"/>
      <c r="AL509" s="539"/>
      <c r="AM509" s="535"/>
      <c r="AN509" s="535"/>
      <c r="AO509" s="480"/>
      <c r="AP509" s="261"/>
      <c r="AQ509" s="535"/>
      <c r="AR509" s="261"/>
    </row>
    <row r="510" spans="1:44" ht="14.25" customHeight="1">
      <c r="A510" s="162"/>
      <c r="B510" s="162"/>
      <c r="C510" s="162"/>
      <c r="D510" s="162"/>
      <c r="E510" s="162"/>
      <c r="F510" s="163"/>
      <c r="G510" s="163"/>
      <c r="H510" s="163"/>
      <c r="I510" s="163"/>
      <c r="J510" s="163"/>
      <c r="K510" s="163"/>
      <c r="L510" s="163"/>
      <c r="M510" s="163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C510" s="193" t="s">
        <v>85</v>
      </c>
      <c r="AD510" s="230">
        <v>103.5</v>
      </c>
      <c r="AE510" s="187" t="s">
        <v>86</v>
      </c>
      <c r="AF510" s="187" t="s">
        <v>86</v>
      </c>
      <c r="AG510" s="187" t="s">
        <v>86</v>
      </c>
      <c r="AJ510" s="193" t="s">
        <v>85</v>
      </c>
      <c r="AK510" s="332">
        <v>103.5</v>
      </c>
      <c r="AL510" s="346" t="s">
        <v>86</v>
      </c>
      <c r="AM510" s="187" t="s">
        <v>86</v>
      </c>
      <c r="AN510" s="187" t="s">
        <v>86</v>
      </c>
      <c r="AQ510" s="187" t="s">
        <v>86</v>
      </c>
    </row>
    <row r="511" spans="1:44" ht="14.25" customHeight="1">
      <c r="A511" s="162"/>
      <c r="B511" s="162"/>
      <c r="C511" s="162"/>
      <c r="D511" s="162"/>
      <c r="E511" s="162"/>
      <c r="F511" s="163"/>
      <c r="G511" s="163"/>
      <c r="H511" s="163"/>
      <c r="I511" s="163"/>
      <c r="J511" s="163"/>
      <c r="K511" s="163"/>
      <c r="L511" s="163"/>
      <c r="M511" s="163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C511" s="201" t="s">
        <v>88</v>
      </c>
      <c r="AD511" s="230">
        <v>102</v>
      </c>
      <c r="AE511" s="188">
        <f t="shared" ref="AE511:AE525" si="73">AD510-AD511</f>
        <v>1.5</v>
      </c>
      <c r="AF511" s="347"/>
      <c r="AG511" s="229"/>
      <c r="AH511" s="186"/>
      <c r="AJ511" s="201" t="s">
        <v>88</v>
      </c>
      <c r="AK511" s="332">
        <v>102</v>
      </c>
      <c r="AL511" s="348">
        <f t="shared" ref="AL511:AL519" si="74">AK510-AK511</f>
        <v>1.5</v>
      </c>
      <c r="AM511" s="347"/>
      <c r="AN511" s="229"/>
      <c r="AO511" s="275"/>
      <c r="AP511" s="194"/>
      <c r="AQ511" s="229"/>
      <c r="AR511" s="194"/>
    </row>
    <row r="512" spans="1:44" ht="14.25" customHeight="1">
      <c r="A512" s="162"/>
      <c r="B512" s="162"/>
      <c r="C512" s="162"/>
      <c r="D512" s="162"/>
      <c r="E512" s="162"/>
      <c r="F512" s="163"/>
      <c r="G512" s="163"/>
      <c r="H512" s="163"/>
      <c r="I512" s="163"/>
      <c r="J512" s="163"/>
      <c r="K512" s="163"/>
      <c r="L512" s="163"/>
      <c r="M512" s="163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  <c r="AA512" s="162"/>
      <c r="AC512" s="201"/>
      <c r="AD512" s="230">
        <v>102</v>
      </c>
      <c r="AE512" s="188">
        <f t="shared" si="73"/>
        <v>0</v>
      </c>
      <c r="AF512" s="347"/>
      <c r="AG512" s="229"/>
      <c r="AH512" s="278"/>
      <c r="AJ512" s="229" t="s">
        <v>98</v>
      </c>
      <c r="AK512" s="332">
        <f>$AD$64</f>
        <v>-6.35</v>
      </c>
      <c r="AL512" s="348">
        <f t="shared" si="74"/>
        <v>108.35</v>
      </c>
      <c r="AM512" s="347">
        <f>AH91</f>
        <v>1</v>
      </c>
      <c r="AN512" s="347">
        <f>AI91</f>
        <v>0.45496173929297024</v>
      </c>
      <c r="AO512" s="202">
        <f t="shared" ref="AO512:AO519" si="75">$AO$290*AM512</f>
        <v>47.5</v>
      </c>
      <c r="AP512" s="203"/>
      <c r="AQ512" s="347">
        <f>AL91</f>
        <v>0</v>
      </c>
      <c r="AR512" s="203"/>
    </row>
    <row r="513" spans="1:44" ht="14.25" customHeight="1">
      <c r="A513" s="162"/>
      <c r="B513" s="162"/>
      <c r="C513" s="162"/>
      <c r="D513" s="162"/>
      <c r="E513" s="162"/>
      <c r="F513" s="163"/>
      <c r="G513" s="163"/>
      <c r="H513" s="163"/>
      <c r="I513" s="163"/>
      <c r="J513" s="163"/>
      <c r="K513" s="163"/>
      <c r="L513" s="163"/>
      <c r="M513" s="163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C513" s="193"/>
      <c r="AD513" s="186">
        <v>102</v>
      </c>
      <c r="AE513" s="188">
        <f t="shared" si="73"/>
        <v>0</v>
      </c>
      <c r="AF513" s="347"/>
      <c r="AG513" s="229"/>
      <c r="AH513" s="186"/>
      <c r="AJ513" s="229" t="s">
        <v>101</v>
      </c>
      <c r="AK513" s="332">
        <f>$AD$67</f>
        <v>-6.85</v>
      </c>
      <c r="AL513" s="348">
        <f t="shared" si="74"/>
        <v>0.5</v>
      </c>
      <c r="AM513" s="347">
        <f>AH92</f>
        <v>1</v>
      </c>
      <c r="AN513" s="347">
        <f>AI92</f>
        <v>0.45496173929297024</v>
      </c>
      <c r="AO513" s="202">
        <f t="shared" si="75"/>
        <v>47.5</v>
      </c>
      <c r="AP513" s="203"/>
      <c r="AQ513" s="347">
        <f>AL92</f>
        <v>105.05</v>
      </c>
      <c r="AR513" s="203"/>
    </row>
    <row r="514" spans="1:44" ht="14.25" customHeight="1">
      <c r="A514" s="233"/>
      <c r="B514" s="162"/>
      <c r="C514" s="162"/>
      <c r="D514" s="162"/>
      <c r="E514" s="162"/>
      <c r="F514" s="163"/>
      <c r="G514" s="163"/>
      <c r="H514" s="163"/>
      <c r="I514" s="163"/>
      <c r="J514" s="163"/>
      <c r="K514" s="163"/>
      <c r="L514" s="163"/>
      <c r="M514" s="163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C514" s="229"/>
      <c r="AD514" s="230">
        <v>102</v>
      </c>
      <c r="AE514" s="188">
        <f t="shared" si="73"/>
        <v>0</v>
      </c>
      <c r="AF514" s="347"/>
      <c r="AG514" s="229"/>
      <c r="AH514" s="278"/>
      <c r="AJ514" s="201" t="s">
        <v>253</v>
      </c>
      <c r="AK514" s="332">
        <v>95</v>
      </c>
      <c r="AL514" s="348">
        <f t="shared" si="74"/>
        <v>-101.85</v>
      </c>
      <c r="AM514" s="347">
        <f t="shared" ref="AM514:AN519" si="76">AH95</f>
        <v>1</v>
      </c>
      <c r="AN514" s="347">
        <f t="shared" si="76"/>
        <v>0.45496173929297024</v>
      </c>
      <c r="AO514" s="202">
        <f t="shared" si="75"/>
        <v>47.5</v>
      </c>
      <c r="AP514" s="203"/>
      <c r="AQ514" s="347">
        <f t="shared" ref="AQ514:AQ519" si="77">AL95</f>
        <v>127.1</v>
      </c>
      <c r="AR514" s="203"/>
    </row>
    <row r="515" spans="1:44" ht="14.25" customHeight="1">
      <c r="A515" s="162"/>
      <c r="B515" s="162"/>
      <c r="C515" s="162"/>
      <c r="D515" s="162"/>
      <c r="E515" s="162"/>
      <c r="F515" s="163"/>
      <c r="G515" s="163"/>
      <c r="H515" s="163"/>
      <c r="I515" s="163"/>
      <c r="J515" s="163"/>
      <c r="K515" s="163"/>
      <c r="L515" s="163"/>
      <c r="M515" s="163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  <c r="AA515" s="162"/>
      <c r="AC515" s="229"/>
      <c r="AD515" s="230">
        <v>102</v>
      </c>
      <c r="AE515" s="188">
        <f t="shared" si="73"/>
        <v>0</v>
      </c>
      <c r="AF515" s="347"/>
      <c r="AG515" s="229"/>
      <c r="AH515" s="278"/>
      <c r="AJ515" s="193" t="s">
        <v>28</v>
      </c>
      <c r="AK515" s="333">
        <v>95</v>
      </c>
      <c r="AL515" s="348">
        <f t="shared" si="74"/>
        <v>0</v>
      </c>
      <c r="AM515" s="347">
        <f t="shared" si="76"/>
        <v>1</v>
      </c>
      <c r="AN515" s="347">
        <f t="shared" si="76"/>
        <v>0.45496173929297024</v>
      </c>
      <c r="AO515" s="202">
        <f t="shared" si="75"/>
        <v>47.5</v>
      </c>
      <c r="AP515" s="203"/>
      <c r="AQ515" s="347">
        <f t="shared" si="77"/>
        <v>134.44999999999999</v>
      </c>
      <c r="AR515" s="203"/>
    </row>
    <row r="516" spans="1:44" ht="14.25" customHeight="1">
      <c r="A516" s="162"/>
      <c r="B516" s="162"/>
      <c r="C516" s="162"/>
      <c r="D516" s="162"/>
      <c r="E516" s="162"/>
      <c r="F516" s="163"/>
      <c r="G516" s="163"/>
      <c r="H516" s="163"/>
      <c r="I516" s="163"/>
      <c r="J516" s="163"/>
      <c r="K516" s="163"/>
      <c r="L516" s="163"/>
      <c r="M516" s="163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  <c r="AA516" s="162"/>
      <c r="AC516" s="193" t="s">
        <v>98</v>
      </c>
      <c r="AD516" s="230">
        <f>$AD$64</f>
        <v>-6.35</v>
      </c>
      <c r="AE516" s="188">
        <f t="shared" si="73"/>
        <v>108.35</v>
      </c>
      <c r="AF516" s="347">
        <f>AH64</f>
        <v>1</v>
      </c>
      <c r="AG516" s="347">
        <f>AI64</f>
        <v>0.45496173929297024</v>
      </c>
      <c r="AH516" s="349">
        <f t="shared" ref="AH516:AH525" si="78">$AO$290*AF516</f>
        <v>47.5</v>
      </c>
      <c r="AJ516" s="229" t="s">
        <v>28</v>
      </c>
      <c r="AK516" s="332">
        <v>94</v>
      </c>
      <c r="AL516" s="348">
        <f t="shared" si="74"/>
        <v>1</v>
      </c>
      <c r="AM516" s="347">
        <f t="shared" si="76"/>
        <v>1</v>
      </c>
      <c r="AN516" s="347">
        <f t="shared" si="76"/>
        <v>0.45496173929297024</v>
      </c>
      <c r="AO516" s="202">
        <f t="shared" si="75"/>
        <v>47.5</v>
      </c>
      <c r="AP516" s="203"/>
      <c r="AQ516" s="347">
        <f t="shared" si="77"/>
        <v>141.79999999999998</v>
      </c>
      <c r="AR516" s="203"/>
    </row>
    <row r="517" spans="1:44" ht="14.25" customHeight="1">
      <c r="A517" s="393" t="s">
        <v>0</v>
      </c>
      <c r="B517" s="394"/>
      <c r="C517" s="395"/>
      <c r="D517" s="412" t="str">
        <f>$D$1</f>
        <v xml:space="preserve">Megaspine </v>
      </c>
      <c r="E517" s="413"/>
      <c r="F517" s="413"/>
      <c r="G517" s="413"/>
      <c r="H517" s="413"/>
      <c r="I517" s="413"/>
      <c r="J517" s="413"/>
      <c r="K517" s="413"/>
      <c r="L517" s="413"/>
      <c r="M517" s="413"/>
      <c r="N517" s="413"/>
      <c r="O517" s="413"/>
      <c r="P517" s="413"/>
      <c r="Q517" s="414"/>
      <c r="R517" s="389" t="s">
        <v>2</v>
      </c>
      <c r="S517" s="389"/>
      <c r="T517" s="389"/>
      <c r="U517" s="390">
        <f>$U$1</f>
        <v>0</v>
      </c>
      <c r="V517" s="391"/>
      <c r="W517" s="391"/>
      <c r="X517" s="392"/>
      <c r="Y517" s="380"/>
      <c r="Z517" s="381"/>
      <c r="AA517" s="382"/>
      <c r="AC517" s="193" t="s">
        <v>40</v>
      </c>
      <c r="AD517" s="230">
        <f>$AD$67</f>
        <v>-6.85</v>
      </c>
      <c r="AE517" s="188">
        <f t="shared" si="73"/>
        <v>0.5</v>
      </c>
      <c r="AF517" s="347">
        <f>AH67</f>
        <v>1</v>
      </c>
      <c r="AG517" s="347">
        <f>AI67</f>
        <v>0.45496173929297024</v>
      </c>
      <c r="AH517" s="349">
        <f t="shared" si="78"/>
        <v>47.5</v>
      </c>
      <c r="AJ517" s="229" t="s">
        <v>254</v>
      </c>
      <c r="AK517" s="332">
        <v>94</v>
      </c>
      <c r="AL517" s="348">
        <f t="shared" si="74"/>
        <v>0</v>
      </c>
      <c r="AM517" s="347">
        <f t="shared" si="76"/>
        <v>1</v>
      </c>
      <c r="AN517" s="347">
        <f t="shared" si="76"/>
        <v>0.45496173929297024</v>
      </c>
      <c r="AO517" s="202">
        <f t="shared" si="75"/>
        <v>47.5</v>
      </c>
      <c r="AP517" s="203"/>
      <c r="AQ517" s="347">
        <f t="shared" si="77"/>
        <v>149.14999999999998</v>
      </c>
      <c r="AR517" s="203"/>
    </row>
    <row r="518" spans="1:44" ht="14.25" customHeight="1">
      <c r="A518" s="399"/>
      <c r="B518" s="400"/>
      <c r="C518" s="401"/>
      <c r="D518" s="415"/>
      <c r="E518" s="416"/>
      <c r="F518" s="416"/>
      <c r="G518" s="416"/>
      <c r="H518" s="416"/>
      <c r="I518" s="416"/>
      <c r="J518" s="416"/>
      <c r="K518" s="416"/>
      <c r="L518" s="416"/>
      <c r="M518" s="416"/>
      <c r="N518" s="416"/>
      <c r="O518" s="416"/>
      <c r="P518" s="416"/>
      <c r="Q518" s="417"/>
      <c r="R518" s="389" t="s">
        <v>3</v>
      </c>
      <c r="S518" s="389"/>
      <c r="T518" s="389"/>
      <c r="U518" s="390" t="str">
        <f>$U$2</f>
        <v>PSM</v>
      </c>
      <c r="V518" s="391"/>
      <c r="W518" s="391"/>
      <c r="X518" s="392"/>
      <c r="Y518" s="383"/>
      <c r="Z518" s="384"/>
      <c r="AA518" s="385"/>
      <c r="AC518" s="193" t="s">
        <v>40</v>
      </c>
      <c r="AD518" s="230">
        <f t="shared" ref="AD518:AD523" si="79">AD70</f>
        <v>-10</v>
      </c>
      <c r="AE518" s="188">
        <f t="shared" si="73"/>
        <v>3.1500000000000004</v>
      </c>
      <c r="AF518" s="347">
        <f t="shared" ref="AF518:AG525" si="80">AH70</f>
        <v>1</v>
      </c>
      <c r="AG518" s="347">
        <f t="shared" si="80"/>
        <v>0.45496173929297024</v>
      </c>
      <c r="AH518" s="349">
        <f t="shared" si="78"/>
        <v>47.5</v>
      </c>
      <c r="AJ518" s="193" t="s">
        <v>111</v>
      </c>
      <c r="AK518" s="332">
        <v>84.98</v>
      </c>
      <c r="AL518" s="348">
        <f t="shared" si="74"/>
        <v>9.019999999999996</v>
      </c>
      <c r="AM518" s="347">
        <f t="shared" si="76"/>
        <v>1</v>
      </c>
      <c r="AN518" s="347">
        <f t="shared" si="76"/>
        <v>0.45496173929297024</v>
      </c>
      <c r="AO518" s="202">
        <f t="shared" si="75"/>
        <v>47.5</v>
      </c>
      <c r="AP518" s="203"/>
      <c r="AQ518" s="347">
        <f t="shared" si="77"/>
        <v>156.49999999999997</v>
      </c>
      <c r="AR518" s="203"/>
    </row>
    <row r="519" spans="1:44" ht="14.25" customHeight="1">
      <c r="A519" s="393" t="s">
        <v>5</v>
      </c>
      <c r="B519" s="394"/>
      <c r="C519" s="395"/>
      <c r="D519" s="380" t="str">
        <f>$D$3</f>
        <v>North of ATB (CST) - Section Test</v>
      </c>
      <c r="E519" s="381"/>
      <c r="F519" s="381"/>
      <c r="G519" s="381"/>
      <c r="H519" s="381"/>
      <c r="I519" s="381"/>
      <c r="J519" s="381"/>
      <c r="K519" s="381"/>
      <c r="L519" s="381"/>
      <c r="M519" s="381"/>
      <c r="N519" s="381"/>
      <c r="O519" s="381"/>
      <c r="P519" s="381"/>
      <c r="Q519" s="382"/>
      <c r="R519" s="389" t="s">
        <v>6</v>
      </c>
      <c r="S519" s="389"/>
      <c r="T519" s="389"/>
      <c r="U519" s="390" t="str">
        <f>$U$3</f>
        <v>JRS</v>
      </c>
      <c r="V519" s="391"/>
      <c r="W519" s="391"/>
      <c r="X519" s="392"/>
      <c r="Y519" s="383"/>
      <c r="Z519" s="384"/>
      <c r="AA519" s="385"/>
      <c r="AC519" s="193" t="s">
        <v>40</v>
      </c>
      <c r="AD519" s="230">
        <f t="shared" si="79"/>
        <v>-11.05</v>
      </c>
      <c r="AE519" s="188">
        <f t="shared" si="73"/>
        <v>1.0500000000000007</v>
      </c>
      <c r="AF519" s="347">
        <f t="shared" si="80"/>
        <v>1</v>
      </c>
      <c r="AG519" s="347">
        <f t="shared" si="80"/>
        <v>0.45496173929297024</v>
      </c>
      <c r="AH519" s="349">
        <f t="shared" si="78"/>
        <v>47.5</v>
      </c>
      <c r="AJ519" s="193" t="s">
        <v>112</v>
      </c>
      <c r="AK519" s="350">
        <v>84.48</v>
      </c>
      <c r="AL519" s="348">
        <f t="shared" si="74"/>
        <v>0.5</v>
      </c>
      <c r="AM519" s="347">
        <f t="shared" si="76"/>
        <v>1</v>
      </c>
      <c r="AN519" s="347">
        <f t="shared" si="76"/>
        <v>0.45496173929297024</v>
      </c>
      <c r="AO519" s="202">
        <f t="shared" si="75"/>
        <v>47.5</v>
      </c>
      <c r="AP519" s="203"/>
      <c r="AQ519" s="347">
        <f t="shared" si="77"/>
        <v>163.84999999999997</v>
      </c>
      <c r="AR519" s="203"/>
    </row>
    <row r="520" spans="1:44" ht="14.25" customHeight="1">
      <c r="A520" s="396"/>
      <c r="B520" s="397"/>
      <c r="C520" s="398"/>
      <c r="D520" s="489" t="str">
        <f>$D$4</f>
        <v xml:space="preserve">Load Calculation </v>
      </c>
      <c r="E520" s="490"/>
      <c r="F520" s="490"/>
      <c r="G520" s="490"/>
      <c r="H520" s="490"/>
      <c r="I520" s="490"/>
      <c r="J520" s="490"/>
      <c r="K520" s="490"/>
      <c r="L520" s="490"/>
      <c r="M520" s="490"/>
      <c r="N520" s="490"/>
      <c r="O520" s="490"/>
      <c r="P520" s="490"/>
      <c r="Q520" s="491"/>
      <c r="R520" s="389" t="s">
        <v>9</v>
      </c>
      <c r="S520" s="389"/>
      <c r="T520" s="389"/>
      <c r="U520" s="390" t="str">
        <f>$U$4</f>
        <v>MYPQ</v>
      </c>
      <c r="V520" s="391"/>
      <c r="W520" s="391"/>
      <c r="X520" s="392"/>
      <c r="Y520" s="386"/>
      <c r="Z520" s="387"/>
      <c r="AA520" s="388"/>
      <c r="AC520" s="193" t="s">
        <v>40</v>
      </c>
      <c r="AD520" s="230">
        <f t="shared" si="79"/>
        <v>-12.100000000000001</v>
      </c>
      <c r="AE520" s="188">
        <f t="shared" si="73"/>
        <v>1.0500000000000007</v>
      </c>
      <c r="AF520" s="347">
        <f t="shared" si="80"/>
        <v>1</v>
      </c>
      <c r="AG520" s="347">
        <f t="shared" si="80"/>
        <v>0.45496173929297024</v>
      </c>
      <c r="AH520" s="349">
        <f t="shared" si="78"/>
        <v>47.5</v>
      </c>
      <c r="AJ520" s="229"/>
      <c r="AK520" s="332"/>
      <c r="AL520" s="348"/>
      <c r="AM520" s="272"/>
      <c r="AN520" s="229"/>
      <c r="AO520" s="195"/>
      <c r="AP520" s="196"/>
      <c r="AQ520" s="229"/>
      <c r="AR520" s="196"/>
    </row>
    <row r="521" spans="1:44" ht="14.25" customHeight="1">
      <c r="A521" s="399"/>
      <c r="B521" s="400"/>
      <c r="C521" s="401"/>
      <c r="D521" s="415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7"/>
      <c r="R521" s="389" t="s">
        <v>11</v>
      </c>
      <c r="S521" s="389"/>
      <c r="T521" s="389"/>
      <c r="U521" s="411">
        <f ca="1">$U$5</f>
        <v>45183</v>
      </c>
      <c r="V521" s="492"/>
      <c r="W521" s="492"/>
      <c r="X521" s="493"/>
      <c r="Y521" s="418" t="s">
        <v>12</v>
      </c>
      <c r="Z521" s="419"/>
      <c r="AA521" s="183" t="str">
        <f>11&amp;"/"&amp;AB5</f>
        <v>11/14</v>
      </c>
      <c r="AC521" s="193" t="s">
        <v>40</v>
      </c>
      <c r="AD521" s="230">
        <f t="shared" si="79"/>
        <v>-13.150000000000002</v>
      </c>
      <c r="AE521" s="188">
        <f t="shared" si="73"/>
        <v>1.0500000000000007</v>
      </c>
      <c r="AF521" s="347">
        <f t="shared" si="80"/>
        <v>1</v>
      </c>
      <c r="AG521" s="347">
        <f t="shared" si="80"/>
        <v>0.45496173929297024</v>
      </c>
      <c r="AH521" s="349">
        <f t="shared" si="78"/>
        <v>47.5</v>
      </c>
      <c r="AI521" s="351" t="s">
        <v>31</v>
      </c>
      <c r="AJ521" s="352" t="s">
        <v>255</v>
      </c>
      <c r="AK521" s="332">
        <f>$AD$99</f>
        <v>-14.200000000000003</v>
      </c>
      <c r="AL521" s="348">
        <f>AK521-AK521</f>
        <v>0</v>
      </c>
      <c r="AM521" s="272" t="e">
        <f>#REF!</f>
        <v>#REF!</v>
      </c>
      <c r="AN521" s="272" t="e">
        <f>#REF!</f>
        <v>#REF!</v>
      </c>
      <c r="AO521" s="202" t="e">
        <f t="shared" ref="AO521:AO528" si="81">$AO$290*AM521</f>
        <v>#REF!</v>
      </c>
      <c r="AP521" s="203"/>
      <c r="AQ521" s="272" t="e">
        <f>#REF!</f>
        <v>#REF!</v>
      </c>
      <c r="AR521" s="203"/>
    </row>
    <row r="522" spans="1:44" ht="14.25" customHeight="1">
      <c r="A522" s="162"/>
      <c r="B522" s="162"/>
      <c r="C522" s="162"/>
      <c r="D522" s="162"/>
      <c r="E522" s="162"/>
      <c r="F522" s="163"/>
      <c r="G522" s="163"/>
      <c r="H522" s="163"/>
      <c r="I522" s="163"/>
      <c r="J522" s="163"/>
      <c r="K522" s="163"/>
      <c r="L522" s="163"/>
      <c r="M522" s="163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  <c r="AA522" s="162"/>
      <c r="AC522" s="193" t="s">
        <v>40</v>
      </c>
      <c r="AD522" s="230">
        <f t="shared" si="79"/>
        <v>-14.200000000000003</v>
      </c>
      <c r="AE522" s="188">
        <f t="shared" si="73"/>
        <v>1.0500000000000007</v>
      </c>
      <c r="AF522" s="347">
        <f t="shared" si="80"/>
        <v>1</v>
      </c>
      <c r="AG522" s="347">
        <f t="shared" si="80"/>
        <v>0.45496173929297024</v>
      </c>
      <c r="AH522" s="349">
        <f t="shared" si="78"/>
        <v>47.5</v>
      </c>
      <c r="AI522" s="351" t="s">
        <v>31</v>
      </c>
      <c r="AJ522" s="352" t="s">
        <v>256</v>
      </c>
      <c r="AK522" s="332">
        <f>$AD$100</f>
        <v>-15.250000000000004</v>
      </c>
      <c r="AL522" s="348">
        <f>AK521-AK522</f>
        <v>1.0500000000000007</v>
      </c>
      <c r="AM522" s="272" t="e">
        <f>#REF!</f>
        <v>#REF!</v>
      </c>
      <c r="AN522" s="272" t="e">
        <f>#REF!</f>
        <v>#REF!</v>
      </c>
      <c r="AO522" s="202" t="e">
        <f t="shared" si="81"/>
        <v>#REF!</v>
      </c>
      <c r="AP522" s="203"/>
      <c r="AQ522" s="272" t="e">
        <f>#REF!</f>
        <v>#REF!</v>
      </c>
      <c r="AR522" s="203"/>
    </row>
    <row r="523" spans="1:44" ht="14.25" customHeight="1">
      <c r="A523" s="162"/>
      <c r="B523" s="215" t="s">
        <v>257</v>
      </c>
      <c r="C523" s="162"/>
      <c r="D523" s="162"/>
      <c r="E523" s="162"/>
      <c r="F523" s="163"/>
      <c r="G523" s="163"/>
      <c r="H523" s="163"/>
      <c r="I523" s="163"/>
      <c r="J523" s="163"/>
      <c r="K523" s="163"/>
      <c r="L523" s="163"/>
      <c r="M523" s="163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C523" s="193" t="s">
        <v>40</v>
      </c>
      <c r="AD523" s="230">
        <f t="shared" si="79"/>
        <v>-15.250000000000004</v>
      </c>
      <c r="AE523" s="188">
        <f t="shared" si="73"/>
        <v>1.0500000000000007</v>
      </c>
      <c r="AF523" s="347">
        <f t="shared" si="80"/>
        <v>1</v>
      </c>
      <c r="AG523" s="347">
        <f t="shared" si="80"/>
        <v>0.45496173929297024</v>
      </c>
      <c r="AH523" s="349">
        <f t="shared" si="78"/>
        <v>47.5</v>
      </c>
      <c r="AI523" s="351" t="s">
        <v>31</v>
      </c>
      <c r="AJ523" s="352"/>
      <c r="AK523" s="332">
        <v>82.3</v>
      </c>
      <c r="AL523" s="348">
        <f t="shared" ref="AL523:AL528" si="82">AK522-AK523</f>
        <v>-97.55</v>
      </c>
      <c r="AM523" s="272" t="e">
        <f>#REF!</f>
        <v>#REF!</v>
      </c>
      <c r="AN523" s="272" t="e">
        <f>#REF!</f>
        <v>#REF!</v>
      </c>
      <c r="AO523" s="202" t="e">
        <f t="shared" si="81"/>
        <v>#REF!</v>
      </c>
      <c r="AP523" s="203"/>
      <c r="AQ523" s="272" t="e">
        <f>#REF!</f>
        <v>#REF!</v>
      </c>
      <c r="AR523" s="203"/>
    </row>
    <row r="524" spans="1:44" ht="14.25" customHeight="1">
      <c r="A524" s="162"/>
      <c r="B524" s="162"/>
      <c r="C524" s="162"/>
      <c r="D524" s="162"/>
      <c r="E524" s="162"/>
      <c r="F524" s="163"/>
      <c r="G524" s="163"/>
      <c r="H524" s="163"/>
      <c r="I524" s="163"/>
      <c r="J524" s="163"/>
      <c r="K524" s="163"/>
      <c r="L524" s="163"/>
      <c r="M524" s="163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C524" s="229" t="s">
        <v>111</v>
      </c>
      <c r="AD524" s="230">
        <f>$AD$76</f>
        <v>-11.35</v>
      </c>
      <c r="AE524" s="188">
        <f t="shared" si="73"/>
        <v>-3.9000000000000039</v>
      </c>
      <c r="AF524" s="347">
        <f t="shared" si="80"/>
        <v>1</v>
      </c>
      <c r="AG524" s="347">
        <f t="shared" si="80"/>
        <v>0.45496173929297024</v>
      </c>
      <c r="AH524" s="349">
        <f t="shared" si="78"/>
        <v>47.5</v>
      </c>
      <c r="AI524" s="351" t="s">
        <v>254</v>
      </c>
      <c r="AJ524" s="352"/>
      <c r="AK524" s="332">
        <v>82.3</v>
      </c>
      <c r="AL524" s="348">
        <f t="shared" si="82"/>
        <v>0</v>
      </c>
      <c r="AM524" s="272" t="e">
        <f>#REF!</f>
        <v>#REF!</v>
      </c>
      <c r="AN524" s="272" t="e">
        <f>#REF!</f>
        <v>#REF!</v>
      </c>
      <c r="AO524" s="202" t="e">
        <f t="shared" si="81"/>
        <v>#REF!</v>
      </c>
      <c r="AP524" s="203"/>
      <c r="AQ524" s="272" t="e">
        <f>#REF!</f>
        <v>#REF!</v>
      </c>
      <c r="AR524" s="203"/>
    </row>
    <row r="525" spans="1:44" ht="14.25" customHeight="1">
      <c r="A525" s="162"/>
      <c r="B525" s="162"/>
      <c r="C525" s="162"/>
      <c r="D525" s="162" t="s">
        <v>241</v>
      </c>
      <c r="E525" s="162"/>
      <c r="F525" s="163"/>
      <c r="G525" s="163"/>
      <c r="H525" s="163"/>
      <c r="I525" s="163"/>
      <c r="J525" s="163"/>
      <c r="K525" s="163"/>
      <c r="L525" s="163"/>
      <c r="M525" s="163"/>
      <c r="N525" s="162"/>
      <c r="O525" s="162"/>
      <c r="P525" s="162"/>
      <c r="Q525" s="162"/>
      <c r="R525" s="162" t="s">
        <v>142</v>
      </c>
      <c r="S525" s="497">
        <f>BB$137</f>
        <v>73.5</v>
      </c>
      <c r="T525" s="501"/>
      <c r="U525" s="502"/>
      <c r="V525" s="162" t="s">
        <v>187</v>
      </c>
      <c r="W525" s="162"/>
      <c r="X525" s="162"/>
      <c r="Y525" s="162"/>
      <c r="Z525" s="162"/>
      <c r="AA525" s="162"/>
      <c r="AC525" s="229" t="s">
        <v>112</v>
      </c>
      <c r="AD525" s="297">
        <f>$AD$77</f>
        <v>-11.85</v>
      </c>
      <c r="AE525" s="188">
        <f t="shared" si="73"/>
        <v>0.5</v>
      </c>
      <c r="AF525" s="347">
        <f t="shared" si="80"/>
        <v>1</v>
      </c>
      <c r="AG525" s="347">
        <f t="shared" si="80"/>
        <v>0.45496173929297024</v>
      </c>
      <c r="AH525" s="349">
        <f t="shared" si="78"/>
        <v>47.5</v>
      </c>
      <c r="AI525" s="351" t="s">
        <v>254</v>
      </c>
      <c r="AJ525" s="352"/>
      <c r="AK525" s="332">
        <v>76.8</v>
      </c>
      <c r="AL525" s="348">
        <f t="shared" si="82"/>
        <v>5.5</v>
      </c>
      <c r="AM525" s="272" t="e">
        <f>#REF!</f>
        <v>#REF!</v>
      </c>
      <c r="AN525" s="272" t="e">
        <f>#REF!</f>
        <v>#REF!</v>
      </c>
      <c r="AO525" s="202" t="e">
        <f t="shared" si="81"/>
        <v>#REF!</v>
      </c>
      <c r="AP525" s="203"/>
      <c r="AQ525" s="272" t="e">
        <f>#REF!</f>
        <v>#REF!</v>
      </c>
      <c r="AR525" s="203"/>
    </row>
    <row r="526" spans="1:44" ht="14.25" customHeight="1">
      <c r="A526" s="162"/>
      <c r="B526" s="162"/>
      <c r="C526" s="162"/>
      <c r="D526" s="162" t="s">
        <v>242</v>
      </c>
      <c r="E526" s="162"/>
      <c r="F526" s="163"/>
      <c r="G526" s="163"/>
      <c r="H526" s="163"/>
      <c r="I526" s="163"/>
      <c r="J526" s="163"/>
      <c r="K526" s="163"/>
      <c r="L526" s="163"/>
      <c r="M526" s="163"/>
      <c r="N526" s="162"/>
      <c r="O526" s="162"/>
      <c r="P526" s="162"/>
      <c r="Q526" s="162"/>
      <c r="R526" s="162" t="s">
        <v>142</v>
      </c>
      <c r="S526" s="497">
        <f>BC$137</f>
        <v>103.5</v>
      </c>
      <c r="T526" s="498"/>
      <c r="U526" s="499"/>
      <c r="V526" s="162" t="s">
        <v>187</v>
      </c>
      <c r="W526" s="162"/>
      <c r="X526" s="162"/>
      <c r="Y526" s="162"/>
      <c r="Z526" s="162"/>
      <c r="AA526" s="162"/>
      <c r="AC526" s="229"/>
      <c r="AD526" s="230"/>
      <c r="AE526" s="188"/>
      <c r="AF526" s="272"/>
      <c r="AG526" s="229"/>
      <c r="AH526" s="278"/>
      <c r="AI526" s="351" t="s">
        <v>258</v>
      </c>
      <c r="AJ526" s="352"/>
      <c r="AK526" s="332">
        <v>76.8</v>
      </c>
      <c r="AL526" s="348">
        <f t="shared" si="82"/>
        <v>0</v>
      </c>
      <c r="AM526" s="272" t="e">
        <f>#REF!</f>
        <v>#REF!</v>
      </c>
      <c r="AN526" s="272" t="e">
        <f>#REF!</f>
        <v>#REF!</v>
      </c>
      <c r="AO526" s="202" t="e">
        <f t="shared" si="81"/>
        <v>#REF!</v>
      </c>
      <c r="AP526" s="203"/>
      <c r="AQ526" s="272" t="e">
        <f>#REF!</f>
        <v>#REF!</v>
      </c>
      <c r="AR526" s="203"/>
    </row>
    <row r="527" spans="1:44" ht="14.25" customHeight="1">
      <c r="A527" s="162"/>
      <c r="B527" s="162"/>
      <c r="C527" s="162"/>
      <c r="D527" s="162"/>
      <c r="E527" s="162"/>
      <c r="F527" s="163"/>
      <c r="G527" s="163"/>
      <c r="H527" s="163"/>
      <c r="I527" s="163"/>
      <c r="J527" s="163"/>
      <c r="K527" s="163"/>
      <c r="L527" s="163"/>
      <c r="M527" s="163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C527" s="229"/>
      <c r="AD527" s="230"/>
      <c r="AE527" s="188"/>
      <c r="AF527" s="272"/>
      <c r="AG527" s="229"/>
      <c r="AH527" s="278"/>
      <c r="AI527" s="351" t="s">
        <v>258</v>
      </c>
      <c r="AJ527" s="353" t="s">
        <v>259</v>
      </c>
      <c r="AK527" s="332">
        <f>$AD$76</f>
        <v>-11.35</v>
      </c>
      <c r="AL527" s="348">
        <f t="shared" si="82"/>
        <v>88.149999999999991</v>
      </c>
      <c r="AM527" s="272" t="e">
        <f>#REF!</f>
        <v>#REF!</v>
      </c>
      <c r="AN527" s="272" t="e">
        <f>#REF!</f>
        <v>#REF!</v>
      </c>
      <c r="AO527" s="202" t="e">
        <f t="shared" si="81"/>
        <v>#REF!</v>
      </c>
      <c r="AP527" s="203"/>
      <c r="AQ527" s="272" t="e">
        <f>#REF!</f>
        <v>#REF!</v>
      </c>
      <c r="AR527" s="203"/>
    </row>
    <row r="528" spans="1:44" ht="14.25" customHeight="1">
      <c r="A528" s="162"/>
      <c r="B528" s="162"/>
      <c r="C528" s="162"/>
      <c r="D528" s="162"/>
      <c r="E528" s="162"/>
      <c r="F528" s="163"/>
      <c r="G528" s="163"/>
      <c r="H528" s="163"/>
      <c r="I528" s="163"/>
      <c r="J528" s="163"/>
      <c r="K528" s="163"/>
      <c r="L528" s="163"/>
      <c r="M528" s="163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  <c r="AA528" s="162"/>
      <c r="AC528" s="229"/>
      <c r="AD528" s="230"/>
      <c r="AE528" s="188"/>
      <c r="AF528" s="272"/>
      <c r="AG528" s="229"/>
      <c r="AH528" s="278"/>
      <c r="AI528" s="351" t="s">
        <v>258</v>
      </c>
      <c r="AJ528" s="352" t="s">
        <v>260</v>
      </c>
      <c r="AK528" s="332">
        <f>$AD$77</f>
        <v>-11.85</v>
      </c>
      <c r="AL528" s="348">
        <f t="shared" si="82"/>
        <v>0.5</v>
      </c>
      <c r="AM528" s="272" t="e">
        <f>#REF!</f>
        <v>#REF!</v>
      </c>
      <c r="AN528" s="272" t="e">
        <f>#REF!</f>
        <v>#REF!</v>
      </c>
      <c r="AO528" s="202" t="e">
        <f t="shared" si="81"/>
        <v>#REF!</v>
      </c>
      <c r="AP528" s="203"/>
      <c r="AQ528" s="272" t="e">
        <f>#REF!</f>
        <v>#REF!</v>
      </c>
      <c r="AR528" s="203"/>
    </row>
    <row r="529" spans="1:43" ht="14.25" customHeight="1">
      <c r="A529" s="162"/>
      <c r="B529" s="162"/>
      <c r="C529" s="162"/>
      <c r="D529" s="162"/>
      <c r="E529" s="162"/>
      <c r="F529" s="163"/>
      <c r="G529" s="163"/>
      <c r="H529" s="163"/>
      <c r="I529" s="163"/>
      <c r="J529" s="163"/>
      <c r="K529" s="163"/>
      <c r="L529" s="163"/>
      <c r="M529" s="163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C529" s="229"/>
      <c r="AD529" s="230"/>
      <c r="AE529" s="188"/>
      <c r="AF529" s="272"/>
      <c r="AG529" s="229"/>
      <c r="AH529" s="278"/>
      <c r="AJ529" s="224"/>
      <c r="AK529" s="350"/>
      <c r="AL529" s="354"/>
      <c r="AM529" s="355"/>
      <c r="AN529" s="322"/>
      <c r="AO529" s="356"/>
      <c r="AQ529" s="322"/>
    </row>
    <row r="530" spans="1:43" ht="14.25" customHeight="1">
      <c r="A530" s="162"/>
      <c r="B530" s="162"/>
      <c r="C530" s="162"/>
      <c r="D530" s="162"/>
      <c r="E530" s="162"/>
      <c r="F530" s="163"/>
      <c r="G530" s="163"/>
      <c r="H530" s="163"/>
      <c r="I530" s="163"/>
      <c r="J530" s="163"/>
      <c r="K530" s="163"/>
      <c r="L530" s="163"/>
      <c r="M530" s="163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C530" s="201"/>
      <c r="AD530" s="230"/>
      <c r="AE530" s="188"/>
      <c r="AF530" s="272"/>
      <c r="AG530" s="229"/>
      <c r="AH530" s="278"/>
    </row>
    <row r="531" spans="1:43" ht="14.25" customHeight="1">
      <c r="A531" s="162"/>
      <c r="B531" s="162"/>
      <c r="C531" s="162"/>
      <c r="D531" s="162"/>
      <c r="E531" s="162"/>
      <c r="F531" s="163"/>
      <c r="G531" s="163"/>
      <c r="H531" s="163"/>
      <c r="I531" s="163"/>
      <c r="J531" s="163"/>
      <c r="K531" s="163"/>
      <c r="L531" s="163"/>
      <c r="M531" s="163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C531" s="201"/>
      <c r="AD531" s="230"/>
      <c r="AE531" s="188"/>
      <c r="AF531" s="272"/>
      <c r="AG531" s="229"/>
      <c r="AH531" s="278"/>
    </row>
    <row r="532" spans="1:43" ht="14.25" customHeight="1">
      <c r="A532" s="162"/>
      <c r="B532" s="162"/>
      <c r="C532" s="162"/>
      <c r="D532" s="162"/>
      <c r="E532" s="162"/>
      <c r="F532" s="163"/>
      <c r="G532" s="163"/>
      <c r="H532" s="163"/>
      <c r="I532" s="163"/>
      <c r="J532" s="163"/>
      <c r="K532" s="163"/>
      <c r="L532" s="163"/>
      <c r="M532" s="163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</row>
    <row r="533" spans="1:43" ht="14.25" customHeight="1">
      <c r="A533" s="162"/>
      <c r="B533" s="162"/>
      <c r="C533" s="162"/>
      <c r="D533" s="162"/>
      <c r="E533" s="162"/>
      <c r="F533" s="163"/>
      <c r="G533" s="163"/>
      <c r="H533" s="163"/>
      <c r="I533" s="163"/>
      <c r="J533" s="163"/>
      <c r="K533" s="163"/>
      <c r="L533" s="163"/>
      <c r="M533" s="163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  <c r="AA533" s="162"/>
    </row>
    <row r="534" spans="1:43" ht="14.25" customHeight="1">
      <c r="A534" s="162"/>
      <c r="B534" s="162"/>
      <c r="C534" s="162"/>
      <c r="D534" s="162"/>
      <c r="E534" s="162"/>
      <c r="F534" s="163"/>
      <c r="G534" s="163"/>
      <c r="H534" s="163"/>
      <c r="I534" s="163"/>
      <c r="J534" s="163"/>
      <c r="K534" s="163"/>
      <c r="L534" s="163"/>
      <c r="M534" s="163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</row>
    <row r="535" spans="1:43" ht="14.25" customHeight="1">
      <c r="A535" s="162"/>
      <c r="B535" s="162"/>
      <c r="C535" s="162"/>
      <c r="D535" s="162"/>
      <c r="E535" s="162"/>
      <c r="F535" s="163"/>
      <c r="G535" s="163"/>
      <c r="H535" s="163"/>
      <c r="I535" s="163"/>
      <c r="J535" s="163"/>
      <c r="K535" s="163"/>
      <c r="L535" s="163"/>
      <c r="M535" s="163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</row>
    <row r="536" spans="1:43" ht="14.25" customHeight="1">
      <c r="A536" s="162"/>
      <c r="B536" s="162"/>
      <c r="C536" s="162"/>
      <c r="D536" s="162"/>
      <c r="E536" s="162"/>
      <c r="F536" s="163"/>
      <c r="G536" s="163"/>
      <c r="H536" s="163"/>
      <c r="I536" s="163"/>
      <c r="J536" s="163"/>
      <c r="K536" s="163"/>
      <c r="L536" s="163"/>
      <c r="M536" s="163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  <c r="AA536" s="162"/>
    </row>
    <row r="537" spans="1:43" ht="14.25" customHeight="1">
      <c r="A537" s="162"/>
      <c r="B537" s="215" t="s">
        <v>261</v>
      </c>
      <c r="C537" s="162"/>
      <c r="D537" s="162"/>
      <c r="E537" s="162"/>
      <c r="F537" s="163"/>
      <c r="G537" s="163"/>
      <c r="H537" s="163"/>
      <c r="I537" s="163"/>
      <c r="J537" s="163"/>
      <c r="K537" s="163"/>
      <c r="L537" s="163"/>
      <c r="M537" s="163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  <c r="AA537" s="162"/>
    </row>
    <row r="538" spans="1:43" ht="14.25" customHeight="1">
      <c r="A538" s="162"/>
      <c r="B538" s="215" t="s">
        <v>262</v>
      </c>
      <c r="C538" s="162"/>
      <c r="D538" s="162"/>
      <c r="E538" s="162"/>
      <c r="F538" s="163"/>
      <c r="G538" s="163"/>
      <c r="H538" s="163"/>
      <c r="I538" s="163"/>
      <c r="J538" s="163"/>
      <c r="K538" s="163"/>
      <c r="L538" s="163"/>
      <c r="M538" s="163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  <c r="AA538" s="162"/>
    </row>
    <row r="539" spans="1:43" ht="14.25" customHeight="1">
      <c r="A539" s="162"/>
      <c r="B539" s="162"/>
      <c r="C539" s="162"/>
      <c r="D539" s="162"/>
      <c r="E539" s="162"/>
      <c r="F539" s="163"/>
      <c r="G539" s="163"/>
      <c r="H539" s="163"/>
      <c r="I539" s="163"/>
      <c r="J539" s="163"/>
      <c r="K539" s="163"/>
      <c r="L539" s="163"/>
      <c r="M539" s="163"/>
      <c r="N539" s="162"/>
      <c r="O539" s="162"/>
      <c r="P539" s="162"/>
      <c r="Q539" s="162"/>
      <c r="R539" s="162"/>
      <c r="S539" s="169"/>
      <c r="T539" s="334"/>
      <c r="U539" s="170"/>
      <c r="V539" s="162"/>
      <c r="W539" s="162"/>
      <c r="X539" s="162"/>
      <c r="Y539" s="162"/>
      <c r="Z539" s="162"/>
      <c r="AA539" s="162"/>
    </row>
    <row r="540" spans="1:43" ht="14.25" customHeight="1">
      <c r="A540" s="162"/>
      <c r="B540" s="162"/>
      <c r="C540" s="162"/>
      <c r="D540" s="162" t="s">
        <v>245</v>
      </c>
      <c r="E540" s="162"/>
      <c r="F540" s="163"/>
      <c r="G540" s="163"/>
      <c r="H540" s="163"/>
      <c r="I540" s="163"/>
      <c r="J540" s="163"/>
      <c r="K540" s="163"/>
      <c r="L540" s="163"/>
      <c r="M540" s="163"/>
      <c r="N540" s="162"/>
      <c r="O540" s="162"/>
      <c r="P540" s="162"/>
      <c r="Q540" s="162"/>
      <c r="R540" s="162" t="s">
        <v>142</v>
      </c>
      <c r="S540" s="497">
        <f>BE$132</f>
        <v>78.5</v>
      </c>
      <c r="T540" s="498"/>
      <c r="U540" s="499"/>
      <c r="V540" s="162" t="s">
        <v>187</v>
      </c>
      <c r="W540" s="162"/>
      <c r="X540" s="162"/>
      <c r="Y540" s="162"/>
      <c r="Z540" s="162"/>
      <c r="AA540" s="162"/>
    </row>
    <row r="541" spans="1:43" ht="14.25" customHeight="1">
      <c r="A541" s="162"/>
      <c r="B541" s="162"/>
      <c r="C541" s="162"/>
      <c r="D541" s="162" t="s">
        <v>246</v>
      </c>
      <c r="E541" s="162"/>
      <c r="F541" s="163"/>
      <c r="G541" s="163"/>
      <c r="H541" s="163"/>
      <c r="I541" s="163"/>
      <c r="J541" s="163"/>
      <c r="K541" s="163"/>
      <c r="L541" s="163"/>
      <c r="M541" s="163"/>
      <c r="N541" s="162"/>
      <c r="O541" s="162"/>
      <c r="P541" s="162"/>
      <c r="Q541" s="162"/>
      <c r="R541" s="162" t="s">
        <v>142</v>
      </c>
      <c r="S541" s="497">
        <f>BE$135</f>
        <v>123.5</v>
      </c>
      <c r="T541" s="498"/>
      <c r="U541" s="499"/>
      <c r="V541" s="162" t="s">
        <v>187</v>
      </c>
      <c r="W541" s="162"/>
      <c r="X541" s="162"/>
      <c r="Y541" s="162"/>
      <c r="Z541" s="162"/>
      <c r="AA541" s="162"/>
    </row>
    <row r="542" spans="1:43" ht="14.25" customHeight="1">
      <c r="A542" s="162"/>
      <c r="B542" s="162"/>
      <c r="C542" s="162"/>
      <c r="D542" s="162" t="s">
        <v>247</v>
      </c>
      <c r="E542" s="162"/>
      <c r="F542" s="163"/>
      <c r="G542" s="163"/>
      <c r="H542" s="163"/>
      <c r="I542" s="163"/>
      <c r="J542" s="163"/>
      <c r="K542" s="163"/>
      <c r="L542" s="163"/>
      <c r="M542" s="163"/>
      <c r="N542" s="162"/>
      <c r="O542" s="162"/>
      <c r="P542" s="162"/>
      <c r="Q542" s="162"/>
      <c r="R542" s="162" t="s">
        <v>142</v>
      </c>
      <c r="S542" s="497">
        <f>BF$132</f>
        <v>108.5</v>
      </c>
      <c r="T542" s="498"/>
      <c r="U542" s="499"/>
      <c r="V542" s="162" t="s">
        <v>187</v>
      </c>
      <c r="W542" s="162"/>
      <c r="X542" s="162"/>
      <c r="Y542" s="162"/>
      <c r="Z542" s="162"/>
      <c r="AA542" s="162"/>
    </row>
    <row r="543" spans="1:43" ht="14.25" customHeight="1">
      <c r="A543" s="162"/>
      <c r="B543" s="162"/>
      <c r="C543" s="162"/>
      <c r="D543" s="162" t="s">
        <v>248</v>
      </c>
      <c r="E543" s="162"/>
      <c r="F543" s="163"/>
      <c r="G543" s="163"/>
      <c r="H543" s="163"/>
      <c r="I543" s="163"/>
      <c r="J543" s="163"/>
      <c r="K543" s="163"/>
      <c r="L543" s="163"/>
      <c r="M543" s="163"/>
      <c r="N543" s="162"/>
      <c r="O543" s="162"/>
      <c r="P543" s="162"/>
      <c r="Q543" s="162"/>
      <c r="R543" s="162" t="s">
        <v>142</v>
      </c>
      <c r="S543" s="497">
        <f>BF$135</f>
        <v>153.5</v>
      </c>
      <c r="T543" s="498"/>
      <c r="U543" s="499"/>
      <c r="V543" s="162" t="s">
        <v>187</v>
      </c>
      <c r="W543" s="162"/>
      <c r="X543" s="162"/>
      <c r="Y543" s="162"/>
      <c r="Z543" s="162"/>
      <c r="AA543" s="162"/>
    </row>
    <row r="544" spans="1:43" ht="14.25" customHeight="1">
      <c r="A544" s="162"/>
      <c r="B544" s="162"/>
      <c r="C544" s="162"/>
      <c r="D544" s="162"/>
      <c r="E544" s="162"/>
      <c r="F544" s="163"/>
      <c r="G544" s="163"/>
      <c r="H544" s="163"/>
      <c r="I544" s="163"/>
      <c r="J544" s="163"/>
      <c r="K544" s="163"/>
      <c r="L544" s="163"/>
      <c r="M544" s="497"/>
      <c r="N544" s="498"/>
      <c r="O544" s="499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</row>
    <row r="545" spans="1:64" ht="14.25" customHeight="1">
      <c r="A545" s="162"/>
      <c r="B545" s="233"/>
      <c r="C545" s="162"/>
      <c r="D545" s="162"/>
      <c r="E545" s="162"/>
      <c r="F545" s="163"/>
      <c r="G545" s="163"/>
      <c r="H545" s="163"/>
      <c r="I545" s="163"/>
      <c r="J545" s="163"/>
      <c r="K545" s="163"/>
      <c r="L545" s="163"/>
      <c r="M545" s="163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  <c r="AA545" s="162"/>
    </row>
    <row r="546" spans="1:64" ht="14.25" customHeight="1">
      <c r="A546" s="162"/>
      <c r="B546" s="162"/>
      <c r="C546" s="162"/>
      <c r="D546" s="162"/>
      <c r="E546" s="162"/>
      <c r="F546" s="163"/>
      <c r="G546" s="163"/>
      <c r="H546" s="163"/>
      <c r="I546" s="163"/>
      <c r="J546" s="163"/>
      <c r="K546" s="163"/>
      <c r="L546" s="163"/>
      <c r="M546" s="163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</row>
    <row r="547" spans="1:64" ht="14.25" customHeight="1">
      <c r="A547" s="162"/>
      <c r="B547" s="162"/>
      <c r="C547" s="162"/>
      <c r="D547" s="162"/>
      <c r="E547" s="162"/>
      <c r="F547" s="163"/>
      <c r="G547" s="163"/>
      <c r="H547" s="163"/>
      <c r="I547" s="163"/>
      <c r="J547" s="163"/>
      <c r="K547" s="163"/>
      <c r="L547" s="163"/>
      <c r="M547" s="163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  <c r="AA547" s="162"/>
    </row>
    <row r="548" spans="1:64" ht="14.25" customHeight="1">
      <c r="A548" s="162"/>
      <c r="B548" s="162"/>
      <c r="C548" s="162"/>
      <c r="D548" s="162"/>
      <c r="E548" s="162"/>
      <c r="F548" s="163"/>
      <c r="G548" s="163"/>
      <c r="H548" s="163"/>
      <c r="I548" s="163"/>
      <c r="J548" s="163"/>
      <c r="K548" s="163"/>
      <c r="L548" s="163"/>
      <c r="M548" s="163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  <c r="AA548" s="162"/>
    </row>
    <row r="549" spans="1:64" ht="14.25" customHeight="1">
      <c r="A549" s="162"/>
      <c r="B549" s="162"/>
      <c r="C549" s="162"/>
      <c r="D549" s="162"/>
      <c r="E549" s="162"/>
      <c r="F549" s="163"/>
      <c r="G549" s="163"/>
      <c r="H549" s="163"/>
      <c r="I549" s="163"/>
      <c r="J549" s="163"/>
      <c r="K549" s="163"/>
      <c r="L549" s="163"/>
      <c r="M549" s="163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  <c r="AA549" s="162"/>
    </row>
    <row r="550" spans="1:64" s="11" customFormat="1" ht="14.25" customHeight="1">
      <c r="A550" s="162"/>
      <c r="B550" s="162"/>
      <c r="C550" s="162"/>
      <c r="D550" s="162"/>
      <c r="E550" s="162"/>
      <c r="F550" s="163"/>
      <c r="G550" s="163"/>
      <c r="H550" s="163"/>
      <c r="I550" s="163"/>
      <c r="J550" s="163"/>
      <c r="K550" s="163"/>
      <c r="L550" s="163"/>
      <c r="M550" s="163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5"/>
      <c r="AC550" s="15"/>
      <c r="AD550" s="15"/>
      <c r="AE550" s="15"/>
      <c r="AF550" s="15"/>
      <c r="AG550" s="15"/>
      <c r="AH550" s="90"/>
      <c r="AI550" s="90"/>
      <c r="AJ550" s="15"/>
      <c r="AK550" s="15"/>
      <c r="AL550" s="159"/>
      <c r="AM550" s="15"/>
      <c r="AN550" s="15"/>
      <c r="AO550" s="160"/>
      <c r="AP550" s="15"/>
      <c r="AQ550" s="15"/>
      <c r="AR550" s="15"/>
      <c r="AS550" s="15"/>
      <c r="AT550" s="15"/>
      <c r="AU550" s="160"/>
      <c r="AV550" s="15"/>
      <c r="AW550" s="15"/>
      <c r="AX550" s="160"/>
      <c r="AY550" s="15"/>
      <c r="AZ550" s="15"/>
      <c r="BA550" s="160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</row>
    <row r="551" spans="1:64" ht="14.25" customHeight="1">
      <c r="A551" s="162"/>
      <c r="B551" s="162"/>
      <c r="C551" s="162"/>
      <c r="D551" s="162"/>
      <c r="E551" s="162"/>
      <c r="F551" s="163"/>
      <c r="G551" s="163"/>
      <c r="H551" s="163"/>
      <c r="I551" s="163"/>
      <c r="J551" s="163"/>
      <c r="K551" s="163"/>
      <c r="L551" s="163"/>
      <c r="M551" s="163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</row>
    <row r="552" spans="1:64" ht="14.25" customHeight="1">
      <c r="A552" s="162"/>
      <c r="B552" s="215" t="s">
        <v>263</v>
      </c>
      <c r="C552" s="162"/>
      <c r="D552" s="162"/>
      <c r="E552" s="162"/>
      <c r="F552" s="163"/>
      <c r="G552" s="163"/>
      <c r="H552" s="163"/>
      <c r="I552" s="163"/>
      <c r="J552" s="163"/>
      <c r="K552" s="163"/>
      <c r="L552" s="163"/>
      <c r="M552" s="163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  <c r="AA552" s="162"/>
    </row>
    <row r="553" spans="1:64" ht="14.25" customHeight="1">
      <c r="A553" s="162"/>
      <c r="B553" s="162"/>
      <c r="C553" s="162"/>
      <c r="D553" s="162"/>
      <c r="E553" s="162"/>
      <c r="F553" s="163"/>
      <c r="G553" s="163"/>
      <c r="H553" s="163"/>
      <c r="I553" s="163"/>
      <c r="J553" s="163"/>
      <c r="K553" s="163"/>
      <c r="L553" s="163"/>
      <c r="M553" s="163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</row>
    <row r="554" spans="1:64" ht="14.25" customHeight="1">
      <c r="A554" s="162"/>
      <c r="B554" s="162"/>
      <c r="C554" s="162"/>
      <c r="D554" s="162" t="s">
        <v>250</v>
      </c>
      <c r="E554" s="162"/>
      <c r="F554" s="163"/>
      <c r="G554" s="163"/>
      <c r="H554" s="163"/>
      <c r="I554" s="163"/>
      <c r="J554" s="163"/>
      <c r="K554" s="163"/>
      <c r="L554" s="163"/>
      <c r="M554" s="163"/>
      <c r="N554" s="162"/>
      <c r="O554" s="162"/>
      <c r="P554" s="162"/>
      <c r="Q554" s="162"/>
      <c r="R554" s="162" t="s">
        <v>142</v>
      </c>
      <c r="S554" s="497">
        <f>BE$136</f>
        <v>128.5</v>
      </c>
      <c r="T554" s="498"/>
      <c r="U554" s="499"/>
      <c r="V554" s="162" t="s">
        <v>187</v>
      </c>
      <c r="W554" s="162"/>
      <c r="X554" s="162"/>
      <c r="Y554" s="162"/>
      <c r="Z554" s="162"/>
      <c r="AA554" s="162"/>
    </row>
    <row r="555" spans="1:64" ht="14.25" customHeight="1">
      <c r="A555" s="162"/>
      <c r="B555" s="162"/>
      <c r="C555" s="162"/>
      <c r="D555" s="162" t="s">
        <v>251</v>
      </c>
      <c r="E555" s="162"/>
      <c r="F555" s="163"/>
      <c r="G555" s="163"/>
      <c r="H555" s="163"/>
      <c r="I555" s="163"/>
      <c r="J555" s="163"/>
      <c r="K555" s="163"/>
      <c r="L555" s="163"/>
      <c r="M555" s="163"/>
      <c r="N555" s="162"/>
      <c r="O555" s="162"/>
      <c r="P555" s="162"/>
      <c r="Q555" s="162"/>
      <c r="R555" s="162" t="s">
        <v>142</v>
      </c>
      <c r="S555" s="497">
        <f>BF$136</f>
        <v>158.5</v>
      </c>
      <c r="T555" s="498"/>
      <c r="U555" s="499"/>
      <c r="V555" s="162" t="s">
        <v>187</v>
      </c>
      <c r="W555" s="162"/>
      <c r="X555" s="162"/>
      <c r="Y555" s="162"/>
      <c r="Z555" s="162"/>
      <c r="AA555" s="162"/>
    </row>
    <row r="556" spans="1:64" ht="14.25" customHeight="1">
      <c r="A556" s="162"/>
      <c r="B556" s="162"/>
      <c r="C556" s="162"/>
      <c r="D556" s="162"/>
      <c r="E556" s="162"/>
      <c r="F556" s="163"/>
      <c r="G556" s="163"/>
      <c r="H556" s="163"/>
      <c r="I556" s="163"/>
      <c r="J556" s="163"/>
      <c r="K556" s="163"/>
      <c r="L556" s="163"/>
      <c r="M556" s="497"/>
      <c r="N556" s="498"/>
      <c r="O556" s="499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  <c r="AA556" s="162"/>
    </row>
    <row r="557" spans="1:64" ht="14.25" customHeight="1">
      <c r="A557" s="162"/>
      <c r="B557" s="162"/>
      <c r="C557" s="162"/>
      <c r="D557" s="162"/>
      <c r="E557" s="162"/>
      <c r="F557" s="163"/>
      <c r="G557" s="163"/>
      <c r="H557" s="163"/>
      <c r="I557" s="163"/>
      <c r="J557" s="163"/>
      <c r="K557" s="163"/>
      <c r="L557" s="163"/>
      <c r="M557" s="497"/>
      <c r="N557" s="498"/>
      <c r="O557" s="499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</row>
    <row r="558" spans="1:64" ht="14.25" customHeight="1">
      <c r="A558" s="162"/>
      <c r="B558" s="162"/>
      <c r="C558" s="162"/>
      <c r="D558" s="162"/>
      <c r="E558" s="162"/>
      <c r="F558" s="163"/>
      <c r="G558" s="163"/>
      <c r="H558" s="163"/>
      <c r="I558" s="163"/>
      <c r="J558" s="163"/>
      <c r="K558" s="163"/>
      <c r="L558" s="163"/>
      <c r="M558" s="163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  <c r="AA558" s="162"/>
    </row>
    <row r="559" spans="1:64" ht="14.25" customHeight="1">
      <c r="A559" s="162"/>
      <c r="B559" s="162"/>
      <c r="C559" s="162"/>
      <c r="D559" s="162"/>
      <c r="E559" s="162"/>
      <c r="F559" s="163"/>
      <c r="G559" s="163"/>
      <c r="H559" s="163"/>
      <c r="I559" s="163"/>
      <c r="J559" s="163"/>
      <c r="K559" s="163"/>
      <c r="L559" s="163"/>
      <c r="M559" s="163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</row>
    <row r="560" spans="1:64" ht="14.25" customHeight="1">
      <c r="A560" s="162"/>
      <c r="B560" s="162"/>
      <c r="C560" s="162"/>
      <c r="D560" s="162"/>
      <c r="E560" s="162"/>
      <c r="F560" s="163"/>
      <c r="G560" s="163"/>
      <c r="H560" s="163"/>
      <c r="I560" s="163"/>
      <c r="J560" s="163"/>
      <c r="K560" s="163"/>
      <c r="L560" s="163"/>
      <c r="M560" s="163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</row>
    <row r="561" spans="1:27" ht="14.25" customHeight="1">
      <c r="A561" s="162"/>
      <c r="B561" s="162"/>
      <c r="C561" s="162"/>
      <c r="D561" s="162"/>
      <c r="E561" s="162"/>
      <c r="F561" s="163"/>
      <c r="G561" s="163"/>
      <c r="H561" s="163"/>
      <c r="I561" s="163"/>
      <c r="J561" s="163"/>
      <c r="K561" s="163"/>
      <c r="L561" s="163"/>
      <c r="M561" s="163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  <c r="AA561" s="162"/>
    </row>
    <row r="562" spans="1:27" ht="14.25" customHeight="1">
      <c r="A562" s="162"/>
      <c r="B562" s="162"/>
      <c r="C562" s="162"/>
      <c r="D562" s="162"/>
      <c r="E562" s="162"/>
      <c r="F562" s="163"/>
      <c r="G562" s="163"/>
      <c r="H562" s="163"/>
      <c r="I562" s="163"/>
      <c r="J562" s="163"/>
      <c r="K562" s="163"/>
      <c r="L562" s="163"/>
      <c r="M562" s="163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</row>
    <row r="563" spans="1:27" ht="14.25" customHeight="1">
      <c r="A563" s="162"/>
      <c r="B563" s="162"/>
      <c r="C563" s="162"/>
      <c r="D563" s="162"/>
      <c r="E563" s="162"/>
      <c r="F563" s="163"/>
      <c r="G563" s="163"/>
      <c r="H563" s="163"/>
      <c r="I563" s="163"/>
      <c r="J563" s="163"/>
      <c r="K563" s="163"/>
      <c r="L563" s="163"/>
      <c r="M563" s="163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</row>
    <row r="564" spans="1:27" ht="14.25" customHeight="1">
      <c r="A564" s="162"/>
      <c r="B564" s="162"/>
      <c r="C564" s="162"/>
      <c r="D564" s="162"/>
      <c r="E564" s="162"/>
      <c r="F564" s="163"/>
      <c r="G564" s="163"/>
      <c r="H564" s="163"/>
      <c r="I564" s="163"/>
      <c r="J564" s="163"/>
      <c r="K564" s="163"/>
      <c r="L564" s="163"/>
      <c r="M564" s="163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</row>
    <row r="565" spans="1:27" ht="14.25" customHeight="1">
      <c r="A565" s="162"/>
      <c r="B565" s="162"/>
      <c r="C565" s="162"/>
      <c r="D565" s="162"/>
      <c r="E565" s="162"/>
      <c r="F565" s="163"/>
      <c r="G565" s="163"/>
      <c r="H565" s="163"/>
      <c r="I565" s="163"/>
      <c r="J565" s="163"/>
      <c r="K565" s="163"/>
      <c r="L565" s="163"/>
      <c r="M565" s="163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</row>
    <row r="566" spans="1:27" ht="14.25" customHeight="1">
      <c r="A566" s="233"/>
      <c r="B566" s="162"/>
      <c r="C566" s="162"/>
      <c r="D566" s="162"/>
      <c r="E566" s="162"/>
      <c r="F566" s="163"/>
      <c r="G566" s="163"/>
      <c r="H566" s="163"/>
      <c r="I566" s="163"/>
      <c r="J566" s="163"/>
      <c r="K566" s="163"/>
      <c r="L566" s="163"/>
      <c r="M566" s="163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</row>
    <row r="567" spans="1:27" ht="14.25" customHeight="1">
      <c r="A567" s="162"/>
      <c r="B567" s="162"/>
      <c r="C567" s="162"/>
      <c r="D567" s="162"/>
      <c r="E567" s="162"/>
      <c r="F567" s="163"/>
      <c r="G567" s="163"/>
      <c r="H567" s="163"/>
      <c r="I567" s="163"/>
      <c r="J567" s="163"/>
      <c r="K567" s="163"/>
      <c r="L567" s="163"/>
      <c r="M567" s="163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</row>
    <row r="568" spans="1:27" ht="14.25" customHeight="1">
      <c r="A568" s="162"/>
      <c r="B568" s="162"/>
      <c r="C568" s="162"/>
      <c r="D568" s="162"/>
      <c r="E568" s="162"/>
      <c r="F568" s="163"/>
      <c r="G568" s="163"/>
      <c r="H568" s="163"/>
      <c r="I568" s="163"/>
      <c r="J568" s="163"/>
      <c r="K568" s="163"/>
      <c r="L568" s="163"/>
      <c r="M568" s="163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  <c r="AA568" s="162"/>
    </row>
    <row r="569" spans="1:27" ht="14.25" customHeight="1">
      <c r="A569" s="393" t="s">
        <v>0</v>
      </c>
      <c r="B569" s="394"/>
      <c r="C569" s="395"/>
      <c r="D569" s="412" t="str">
        <f>$D$1</f>
        <v xml:space="preserve">Megaspine </v>
      </c>
      <c r="E569" s="413"/>
      <c r="F569" s="413"/>
      <c r="G569" s="413"/>
      <c r="H569" s="413"/>
      <c r="I569" s="413"/>
      <c r="J569" s="413"/>
      <c r="K569" s="413"/>
      <c r="L569" s="413"/>
      <c r="M569" s="413"/>
      <c r="N569" s="413"/>
      <c r="O569" s="413"/>
      <c r="P569" s="413"/>
      <c r="Q569" s="414"/>
      <c r="R569" s="389" t="s">
        <v>2</v>
      </c>
      <c r="S569" s="389"/>
      <c r="T569" s="389"/>
      <c r="U569" s="390">
        <f>$U$1</f>
        <v>0</v>
      </c>
      <c r="V569" s="391"/>
      <c r="W569" s="391"/>
      <c r="X569" s="392"/>
      <c r="Y569" s="380"/>
      <c r="Z569" s="381"/>
      <c r="AA569" s="382"/>
    </row>
    <row r="570" spans="1:27" ht="14.25" customHeight="1">
      <c r="A570" s="399"/>
      <c r="B570" s="400"/>
      <c r="C570" s="401"/>
      <c r="D570" s="415"/>
      <c r="E570" s="416"/>
      <c r="F570" s="416"/>
      <c r="G570" s="416"/>
      <c r="H570" s="416"/>
      <c r="I570" s="416"/>
      <c r="J570" s="416"/>
      <c r="K570" s="416"/>
      <c r="L570" s="416"/>
      <c r="M570" s="416"/>
      <c r="N570" s="416"/>
      <c r="O570" s="416"/>
      <c r="P570" s="416"/>
      <c r="Q570" s="417"/>
      <c r="R570" s="389" t="s">
        <v>3</v>
      </c>
      <c r="S570" s="389"/>
      <c r="T570" s="389"/>
      <c r="U570" s="390" t="str">
        <f>$U$2</f>
        <v>PSM</v>
      </c>
      <c r="V570" s="391"/>
      <c r="W570" s="391"/>
      <c r="X570" s="392"/>
      <c r="Y570" s="383"/>
      <c r="Z570" s="384"/>
      <c r="AA570" s="385"/>
    </row>
    <row r="571" spans="1:27" ht="14.25" customHeight="1">
      <c r="A571" s="393" t="s">
        <v>5</v>
      </c>
      <c r="B571" s="394"/>
      <c r="C571" s="395"/>
      <c r="D571" s="380" t="str">
        <f>$D$3</f>
        <v>North of ATB (CST) - Section Test</v>
      </c>
      <c r="E571" s="381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2"/>
      <c r="R571" s="389" t="s">
        <v>6</v>
      </c>
      <c r="S571" s="389"/>
      <c r="T571" s="389"/>
      <c r="U571" s="390" t="str">
        <f>$U$3</f>
        <v>JRS</v>
      </c>
      <c r="V571" s="391"/>
      <c r="W571" s="391"/>
      <c r="X571" s="392"/>
      <c r="Y571" s="383"/>
      <c r="Z571" s="384"/>
      <c r="AA571" s="385"/>
    </row>
    <row r="572" spans="1:27" ht="14.25" customHeight="1">
      <c r="A572" s="396"/>
      <c r="B572" s="397"/>
      <c r="C572" s="398"/>
      <c r="D572" s="489" t="str">
        <f>$D$4</f>
        <v xml:space="preserve">Load Calculation </v>
      </c>
      <c r="E572" s="490"/>
      <c r="F572" s="490"/>
      <c r="G572" s="490"/>
      <c r="H572" s="490"/>
      <c r="I572" s="490"/>
      <c r="J572" s="490"/>
      <c r="K572" s="490"/>
      <c r="L572" s="490"/>
      <c r="M572" s="490"/>
      <c r="N572" s="490"/>
      <c r="O572" s="490"/>
      <c r="P572" s="490"/>
      <c r="Q572" s="491"/>
      <c r="R572" s="389" t="s">
        <v>9</v>
      </c>
      <c r="S572" s="389"/>
      <c r="T572" s="389"/>
      <c r="U572" s="390" t="str">
        <f>$U$4</f>
        <v>MYPQ</v>
      </c>
      <c r="V572" s="391"/>
      <c r="W572" s="391"/>
      <c r="X572" s="392"/>
      <c r="Y572" s="386"/>
      <c r="Z572" s="387"/>
      <c r="AA572" s="388"/>
    </row>
    <row r="573" spans="1:27" ht="14.25" customHeight="1">
      <c r="A573" s="399"/>
      <c r="B573" s="400"/>
      <c r="C573" s="401"/>
      <c r="D573" s="415"/>
      <c r="E573" s="416"/>
      <c r="F573" s="416"/>
      <c r="G573" s="416"/>
      <c r="H573" s="416"/>
      <c r="I573" s="416"/>
      <c r="J573" s="416"/>
      <c r="K573" s="416"/>
      <c r="L573" s="416"/>
      <c r="M573" s="416"/>
      <c r="N573" s="416"/>
      <c r="O573" s="416"/>
      <c r="P573" s="416"/>
      <c r="Q573" s="417"/>
      <c r="R573" s="389" t="s">
        <v>11</v>
      </c>
      <c r="S573" s="389"/>
      <c r="T573" s="389"/>
      <c r="U573" s="411">
        <f ca="1">$U$5</f>
        <v>45183</v>
      </c>
      <c r="V573" s="492"/>
      <c r="W573" s="492"/>
      <c r="X573" s="493"/>
      <c r="Y573" s="418" t="s">
        <v>12</v>
      </c>
      <c r="Z573" s="419"/>
      <c r="AA573" s="183" t="str">
        <f>12&amp;"/"&amp;AB5</f>
        <v>12/14</v>
      </c>
    </row>
    <row r="574" spans="1:27" ht="14.25" customHeight="1">
      <c r="A574" s="162"/>
      <c r="B574" s="162"/>
      <c r="C574" s="162"/>
      <c r="D574" s="162"/>
      <c r="E574" s="162"/>
      <c r="F574" s="163"/>
      <c r="G574" s="163"/>
      <c r="H574" s="163"/>
      <c r="I574" s="163"/>
      <c r="J574" s="163"/>
      <c r="K574" s="163"/>
      <c r="L574" s="163"/>
      <c r="M574" s="163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</row>
    <row r="575" spans="1:27" ht="14.25" customHeight="1">
      <c r="A575" s="162"/>
      <c r="B575" s="215" t="s">
        <v>264</v>
      </c>
      <c r="C575" s="215"/>
      <c r="D575" s="162"/>
      <c r="E575" s="162"/>
      <c r="F575" s="163"/>
      <c r="G575" s="163"/>
      <c r="H575" s="163"/>
      <c r="I575" s="163"/>
      <c r="J575" s="163"/>
      <c r="K575" s="163"/>
      <c r="L575" s="163"/>
      <c r="M575" s="163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  <c r="AA575" s="162"/>
    </row>
    <row r="576" spans="1:27" ht="14.25" customHeight="1">
      <c r="A576" s="162"/>
      <c r="B576" s="162"/>
      <c r="C576" s="162"/>
      <c r="D576" s="162" t="s">
        <v>265</v>
      </c>
      <c r="E576" s="162"/>
      <c r="F576" s="163"/>
      <c r="G576" s="163"/>
      <c r="H576" s="163"/>
      <c r="I576" s="163"/>
      <c r="J576" s="163"/>
      <c r="K576" s="163"/>
      <c r="L576" s="163"/>
      <c r="M576" s="163"/>
      <c r="N576" s="162"/>
      <c r="O576" s="162"/>
      <c r="P576" s="162"/>
      <c r="Q576" s="162"/>
      <c r="R576" s="162" t="s">
        <v>142</v>
      </c>
      <c r="S576" s="497">
        <f>AD45</f>
        <v>7.5</v>
      </c>
      <c r="T576" s="498"/>
      <c r="U576" s="499"/>
      <c r="V576" s="162" t="s">
        <v>187</v>
      </c>
      <c r="W576" s="162"/>
      <c r="X576" s="162"/>
      <c r="Y576" s="162"/>
      <c r="Z576" s="162"/>
      <c r="AA576" s="162"/>
    </row>
    <row r="577" spans="1:27" ht="14.25" customHeight="1">
      <c r="A577" s="162"/>
      <c r="B577" s="162"/>
      <c r="C577" s="162"/>
      <c r="D577" s="162" t="s">
        <v>266</v>
      </c>
      <c r="E577" s="162"/>
      <c r="F577" s="163"/>
      <c r="G577" s="163"/>
      <c r="H577" s="163"/>
      <c r="I577" s="163"/>
      <c r="J577" s="163"/>
      <c r="K577" s="163"/>
      <c r="L577" s="163"/>
      <c r="M577" s="163"/>
      <c r="N577" s="162"/>
      <c r="O577" s="162"/>
      <c r="P577" s="162"/>
      <c r="Q577" s="162"/>
      <c r="R577" s="162" t="s">
        <v>142</v>
      </c>
      <c r="S577" s="540">
        <v>40</v>
      </c>
      <c r="T577" s="541"/>
      <c r="U577" s="542"/>
      <c r="V577" s="162" t="s">
        <v>267</v>
      </c>
      <c r="W577" s="162"/>
      <c r="X577" s="162"/>
      <c r="Y577" s="162"/>
      <c r="Z577" s="162"/>
      <c r="AA577" s="162"/>
    </row>
    <row r="578" spans="1:27" ht="14.25" customHeight="1">
      <c r="A578" s="162"/>
      <c r="B578" s="162"/>
      <c r="C578" s="162"/>
      <c r="D578" s="162"/>
      <c r="E578" s="162"/>
      <c r="F578" s="163"/>
      <c r="G578" s="163"/>
      <c r="H578" s="163"/>
      <c r="I578" s="163"/>
      <c r="J578" s="163"/>
      <c r="K578" s="163"/>
      <c r="L578" s="163"/>
      <c r="M578" s="163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</row>
    <row r="579" spans="1:27" ht="14.25" customHeight="1">
      <c r="A579" s="162"/>
      <c r="B579" s="162"/>
      <c r="C579" s="162"/>
      <c r="D579" s="162"/>
      <c r="E579" s="162"/>
      <c r="F579" s="163"/>
      <c r="G579" s="163"/>
      <c r="H579" s="163"/>
      <c r="I579" s="163"/>
      <c r="J579" s="163"/>
      <c r="K579" s="163"/>
      <c r="L579" s="163"/>
      <c r="M579" s="163"/>
      <c r="N579" s="162"/>
      <c r="O579" s="162"/>
      <c r="P579" s="162"/>
      <c r="Q579" s="329"/>
      <c r="R579" s="162"/>
      <c r="S579" s="162"/>
      <c r="T579" s="497"/>
      <c r="U579" s="501"/>
      <c r="V579" s="502"/>
      <c r="W579" s="162"/>
      <c r="X579" s="162"/>
      <c r="Y579" s="162"/>
      <c r="Z579" s="162"/>
      <c r="AA579" s="162"/>
    </row>
    <row r="580" spans="1:27" ht="14.25" customHeight="1">
      <c r="A580" s="162"/>
      <c r="B580" s="162"/>
      <c r="C580" s="162"/>
      <c r="D580" s="162"/>
      <c r="E580" s="162"/>
      <c r="F580" s="163"/>
      <c r="G580" s="163"/>
      <c r="H580" s="163"/>
      <c r="I580" s="163"/>
      <c r="J580" s="163"/>
      <c r="K580" s="163"/>
      <c r="L580" s="163"/>
      <c r="M580" s="163"/>
      <c r="N580" s="162"/>
      <c r="O580" s="162"/>
      <c r="P580" s="162"/>
      <c r="Q580" s="329"/>
      <c r="R580" s="162"/>
      <c r="S580" s="162"/>
      <c r="T580" s="497"/>
      <c r="U580" s="501"/>
      <c r="V580" s="502"/>
      <c r="W580" s="162"/>
      <c r="X580" s="162"/>
      <c r="Y580" s="162"/>
      <c r="Z580" s="162"/>
      <c r="AA580" s="162"/>
    </row>
    <row r="581" spans="1:27" ht="14.25" customHeight="1">
      <c r="A581" s="162"/>
      <c r="B581" s="166"/>
      <c r="C581" s="162"/>
      <c r="D581" s="162"/>
      <c r="E581" s="162"/>
      <c r="F581" s="163"/>
      <c r="G581" s="163"/>
      <c r="H581" s="163"/>
      <c r="I581" s="163"/>
      <c r="J581" s="163"/>
      <c r="K581" s="163"/>
      <c r="L581" s="163"/>
      <c r="M581" s="163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</row>
    <row r="582" spans="1:27" ht="14.25" customHeight="1">
      <c r="A582" s="162"/>
      <c r="B582" s="162"/>
      <c r="C582" s="162"/>
      <c r="D582" s="162"/>
      <c r="E582" s="162"/>
      <c r="F582" s="163"/>
      <c r="G582" s="163"/>
      <c r="H582" s="163"/>
      <c r="I582" s="163"/>
      <c r="J582" s="163"/>
      <c r="K582" s="163"/>
      <c r="L582" s="163"/>
      <c r="M582" s="163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</row>
    <row r="583" spans="1:27" ht="14.25" customHeight="1">
      <c r="A583" s="162"/>
      <c r="B583" s="162"/>
      <c r="C583" s="162"/>
      <c r="D583" s="162"/>
      <c r="E583" s="162"/>
      <c r="F583" s="163"/>
      <c r="G583" s="163"/>
      <c r="H583" s="163"/>
      <c r="I583" s="163"/>
      <c r="J583" s="163"/>
      <c r="K583" s="163"/>
      <c r="L583" s="163"/>
      <c r="M583" s="163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</row>
    <row r="584" spans="1:27" ht="14.25" customHeight="1">
      <c r="A584" s="162"/>
      <c r="B584" s="162"/>
      <c r="C584" s="162"/>
      <c r="D584" s="162"/>
      <c r="E584" s="162"/>
      <c r="F584" s="163"/>
      <c r="G584" s="163"/>
      <c r="H584" s="163"/>
      <c r="I584" s="163"/>
      <c r="J584" s="163"/>
      <c r="K584" s="163"/>
      <c r="L584" s="163"/>
      <c r="M584" s="163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</row>
    <row r="585" spans="1:27" ht="14.25" customHeight="1">
      <c r="A585" s="162"/>
      <c r="B585" s="162"/>
      <c r="C585" s="162"/>
      <c r="D585" s="162"/>
      <c r="E585" s="162"/>
      <c r="F585" s="163"/>
      <c r="G585" s="163"/>
      <c r="H585" s="163"/>
      <c r="I585" s="163"/>
      <c r="J585" s="163"/>
      <c r="K585" s="163"/>
      <c r="L585" s="163"/>
      <c r="M585" s="163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  <c r="AA585" s="162"/>
    </row>
    <row r="586" spans="1:27" ht="14.25" customHeight="1">
      <c r="A586" s="162"/>
      <c r="B586" s="162"/>
      <c r="C586" s="162"/>
      <c r="D586" s="162"/>
      <c r="E586" s="162"/>
      <c r="F586" s="163"/>
      <c r="G586" s="163"/>
      <c r="H586" s="163"/>
      <c r="I586" s="163"/>
      <c r="J586" s="163"/>
      <c r="K586" s="163"/>
      <c r="L586" s="163"/>
      <c r="M586" s="163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  <c r="AA586" s="162"/>
    </row>
    <row r="587" spans="1:27" ht="14.25" customHeight="1">
      <c r="A587" s="162"/>
      <c r="B587" s="162"/>
      <c r="C587" s="162"/>
      <c r="D587" s="162" t="s">
        <v>268</v>
      </c>
      <c r="E587" s="162"/>
      <c r="F587" s="163"/>
      <c r="G587" s="163"/>
      <c r="H587" s="163"/>
      <c r="I587" s="163"/>
      <c r="J587" s="163"/>
      <c r="K587" s="163"/>
      <c r="L587" s="163"/>
      <c r="M587" s="163"/>
      <c r="N587" s="162"/>
      <c r="O587" s="162"/>
      <c r="P587" s="162"/>
      <c r="Q587" s="162"/>
      <c r="R587" s="162" t="s">
        <v>142</v>
      </c>
      <c r="S587" s="540" t="str">
        <f>"+/-3.0"</f>
        <v>+/-3.0</v>
      </c>
      <c r="T587" s="541"/>
      <c r="U587" s="542"/>
      <c r="V587" s="162" t="s">
        <v>187</v>
      </c>
      <c r="W587" s="162"/>
      <c r="X587" s="162"/>
      <c r="Y587" s="162"/>
      <c r="Z587" s="162"/>
      <c r="AA587" s="162"/>
    </row>
    <row r="588" spans="1:27" ht="14.25" customHeight="1">
      <c r="A588" s="162"/>
      <c r="B588" s="162"/>
      <c r="C588" s="162"/>
      <c r="D588" s="162"/>
      <c r="E588" s="162"/>
      <c r="F588" s="163"/>
      <c r="G588" s="163"/>
      <c r="H588" s="163"/>
      <c r="I588" s="163"/>
      <c r="J588" s="163"/>
      <c r="K588" s="163"/>
      <c r="L588" s="163"/>
      <c r="M588" s="163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</row>
    <row r="589" spans="1:27" ht="14.25" customHeight="1">
      <c r="A589" s="162"/>
      <c r="B589" s="162"/>
      <c r="C589" s="162"/>
      <c r="D589" s="162"/>
      <c r="E589" s="162"/>
      <c r="F589" s="163"/>
      <c r="G589" s="163"/>
      <c r="H589" s="163"/>
      <c r="I589" s="163"/>
      <c r="J589" s="163"/>
      <c r="K589" s="163"/>
      <c r="L589" s="163"/>
      <c r="M589" s="163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</row>
    <row r="590" spans="1:27" ht="14.25" customHeight="1">
      <c r="A590" s="162"/>
      <c r="B590" s="162"/>
      <c r="C590" s="162"/>
      <c r="D590" s="162"/>
      <c r="E590" s="162"/>
      <c r="F590" s="163"/>
      <c r="G590" s="163"/>
      <c r="H590" s="163"/>
      <c r="I590" s="163"/>
      <c r="J590" s="163"/>
      <c r="K590" s="163"/>
      <c r="L590" s="163"/>
      <c r="M590" s="163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  <c r="AA590" s="162"/>
    </row>
    <row r="591" spans="1:27" ht="14.25" customHeight="1">
      <c r="A591" s="162"/>
      <c r="B591" s="162"/>
      <c r="C591" s="162"/>
      <c r="D591" s="162"/>
      <c r="E591" s="162"/>
      <c r="F591" s="163"/>
      <c r="G591" s="163"/>
      <c r="H591" s="163"/>
      <c r="I591" s="163"/>
      <c r="J591" s="163"/>
      <c r="K591" s="163"/>
      <c r="L591" s="163"/>
      <c r="M591" s="163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  <c r="AA591" s="162"/>
    </row>
    <row r="592" spans="1:27" ht="14.25" customHeight="1">
      <c r="A592" s="162"/>
      <c r="B592" s="162"/>
      <c r="C592" s="162"/>
      <c r="D592" s="162"/>
      <c r="E592" s="162"/>
      <c r="F592" s="163"/>
      <c r="G592" s="163"/>
      <c r="H592" s="163"/>
      <c r="I592" s="163"/>
      <c r="J592" s="163"/>
      <c r="K592" s="163"/>
      <c r="L592" s="163"/>
      <c r="M592" s="163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</row>
    <row r="593" spans="1:27" ht="14.25" customHeight="1">
      <c r="A593" s="162"/>
      <c r="B593" s="162"/>
      <c r="C593" s="162"/>
      <c r="D593" s="162"/>
      <c r="E593" s="162"/>
      <c r="F593" s="163"/>
      <c r="G593" s="163"/>
      <c r="H593" s="163"/>
      <c r="I593" s="163"/>
      <c r="J593" s="163"/>
      <c r="K593" s="163"/>
      <c r="L593" s="163"/>
      <c r="M593" s="163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</row>
    <row r="594" spans="1:27" ht="14.25" customHeight="1">
      <c r="A594" s="162"/>
      <c r="B594" s="162"/>
      <c r="C594" s="162"/>
      <c r="D594" s="162"/>
      <c r="E594" s="162"/>
      <c r="F594" s="163"/>
      <c r="G594" s="163"/>
      <c r="H594" s="163"/>
      <c r="I594" s="163"/>
      <c r="J594" s="163"/>
      <c r="K594" s="163"/>
      <c r="L594" s="163"/>
      <c r="M594" s="163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  <c r="AA594" s="162"/>
    </row>
    <row r="595" spans="1:27" ht="14.25" customHeight="1">
      <c r="A595" s="162"/>
      <c r="B595" s="162"/>
      <c r="C595" s="162"/>
      <c r="D595" s="162"/>
      <c r="E595" s="162"/>
      <c r="F595" s="163"/>
      <c r="G595" s="163"/>
      <c r="H595" s="163"/>
      <c r="I595" s="163"/>
      <c r="J595" s="163"/>
      <c r="K595" s="163"/>
      <c r="L595" s="163"/>
      <c r="M595" s="163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  <c r="AA595" s="162"/>
    </row>
    <row r="596" spans="1:27" ht="14.25" customHeight="1">
      <c r="A596" s="162"/>
      <c r="B596" s="162"/>
      <c r="C596" s="162"/>
      <c r="D596" s="162"/>
      <c r="E596" s="162"/>
      <c r="F596" s="163"/>
      <c r="G596" s="163"/>
      <c r="H596" s="163"/>
      <c r="I596" s="163"/>
      <c r="J596" s="163"/>
      <c r="K596" s="163"/>
      <c r="L596" s="163"/>
      <c r="M596" s="163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</row>
    <row r="597" spans="1:27" ht="14.25" customHeight="1">
      <c r="A597" s="162"/>
      <c r="B597" s="215" t="s">
        <v>269</v>
      </c>
      <c r="C597" s="215"/>
      <c r="D597" s="162"/>
      <c r="E597" s="162"/>
      <c r="F597" s="163"/>
      <c r="G597" s="163"/>
      <c r="H597" s="163"/>
      <c r="I597" s="163"/>
      <c r="J597" s="163"/>
      <c r="K597" s="163"/>
      <c r="L597" s="163"/>
      <c r="M597" s="163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  <c r="AA597" s="162"/>
    </row>
    <row r="598" spans="1:27" ht="14.25" customHeight="1">
      <c r="A598" s="162"/>
      <c r="B598" s="162"/>
      <c r="C598" s="162"/>
      <c r="D598" s="162" t="s">
        <v>270</v>
      </c>
      <c r="E598" s="162"/>
      <c r="F598" s="163"/>
      <c r="G598" s="163"/>
      <c r="H598" s="163"/>
      <c r="I598" s="163"/>
      <c r="J598" s="163"/>
      <c r="K598" s="163"/>
      <c r="L598" s="163"/>
      <c r="M598" s="163"/>
      <c r="N598" s="162"/>
      <c r="O598" s="162"/>
      <c r="P598" s="162"/>
      <c r="Q598" s="162"/>
      <c r="R598" s="162" t="s">
        <v>142</v>
      </c>
      <c r="S598" s="497">
        <f>AD44</f>
        <v>47.5</v>
      </c>
      <c r="T598" s="498"/>
      <c r="U598" s="499"/>
      <c r="V598" s="162" t="s">
        <v>187</v>
      </c>
      <c r="W598" s="162"/>
      <c r="X598" s="162"/>
      <c r="Y598" s="162"/>
      <c r="Z598" s="162"/>
      <c r="AA598" s="162"/>
    </row>
    <row r="599" spans="1:27" ht="14.25" customHeight="1">
      <c r="A599" s="162"/>
      <c r="B599" s="162"/>
      <c r="C599" s="162"/>
      <c r="D599" s="162"/>
      <c r="E599" s="162"/>
      <c r="F599" s="163"/>
      <c r="G599" s="163"/>
      <c r="H599" s="163"/>
      <c r="I599" s="163"/>
      <c r="J599" s="163"/>
      <c r="K599" s="163"/>
      <c r="L599" s="163"/>
      <c r="M599" s="163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  <c r="AA599" s="162"/>
    </row>
    <row r="600" spans="1:27" ht="14.25" customHeight="1">
      <c r="A600" s="162"/>
      <c r="B600" s="162"/>
      <c r="C600" s="162"/>
      <c r="D600" s="162"/>
      <c r="E600" s="162"/>
      <c r="F600" s="163"/>
      <c r="G600" s="163"/>
      <c r="H600" s="163"/>
      <c r="I600" s="163"/>
      <c r="J600" s="163"/>
      <c r="K600" s="163"/>
      <c r="L600" s="163"/>
      <c r="M600" s="163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  <c r="AA600" s="162"/>
    </row>
    <row r="601" spans="1:27" ht="14.25" customHeight="1">
      <c r="A601" s="162"/>
      <c r="B601" s="162"/>
      <c r="C601" s="162"/>
      <c r="D601" s="162"/>
      <c r="E601" s="162"/>
      <c r="F601" s="163"/>
      <c r="G601" s="163"/>
      <c r="H601" s="163"/>
      <c r="I601" s="163"/>
      <c r="J601" s="163"/>
      <c r="K601" s="163"/>
      <c r="L601" s="163"/>
      <c r="M601" s="163"/>
      <c r="N601" s="162"/>
      <c r="O601" s="162"/>
      <c r="P601" s="162"/>
      <c r="Q601" s="329"/>
      <c r="R601" s="162"/>
      <c r="S601" s="162"/>
      <c r="T601" s="497"/>
      <c r="U601" s="501"/>
      <c r="V601" s="502"/>
      <c r="W601" s="162"/>
      <c r="X601" s="162"/>
      <c r="Y601" s="162"/>
      <c r="Z601" s="162"/>
      <c r="AA601" s="162"/>
    </row>
    <row r="602" spans="1:27" ht="14.25" customHeight="1">
      <c r="A602" s="162"/>
      <c r="B602" s="162"/>
      <c r="C602" s="162"/>
      <c r="D602" s="162"/>
      <c r="E602" s="162"/>
      <c r="F602" s="163"/>
      <c r="G602" s="163"/>
      <c r="H602" s="163"/>
      <c r="I602" s="163"/>
      <c r="J602" s="163"/>
      <c r="K602" s="163"/>
      <c r="L602" s="163"/>
      <c r="M602" s="163"/>
      <c r="N602" s="162"/>
      <c r="O602" s="162"/>
      <c r="P602" s="162"/>
      <c r="Q602" s="329"/>
      <c r="R602" s="162"/>
      <c r="S602" s="162"/>
      <c r="T602" s="497"/>
      <c r="U602" s="501"/>
      <c r="V602" s="502"/>
      <c r="W602" s="162"/>
      <c r="X602" s="162"/>
      <c r="Y602" s="162"/>
      <c r="Z602" s="162"/>
      <c r="AA602" s="162"/>
    </row>
    <row r="603" spans="1:27" ht="14.25" customHeight="1">
      <c r="A603" s="162"/>
      <c r="B603" s="166"/>
      <c r="C603" s="162"/>
      <c r="D603" s="162"/>
      <c r="E603" s="162"/>
      <c r="F603" s="163"/>
      <c r="G603" s="163"/>
      <c r="H603" s="163"/>
      <c r="I603" s="163"/>
      <c r="J603" s="163"/>
      <c r="K603" s="163"/>
      <c r="L603" s="163"/>
      <c r="M603" s="163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  <c r="AA603" s="162"/>
    </row>
    <row r="604" spans="1:27" ht="14.25" customHeight="1">
      <c r="A604" s="162"/>
      <c r="B604" s="162"/>
      <c r="C604" s="162"/>
      <c r="D604" s="162"/>
      <c r="E604" s="162"/>
      <c r="F604" s="163"/>
      <c r="G604" s="163"/>
      <c r="H604" s="163"/>
      <c r="I604" s="163"/>
      <c r="J604" s="163"/>
      <c r="K604" s="163"/>
      <c r="L604" s="163"/>
      <c r="M604" s="163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  <c r="AA604" s="162"/>
    </row>
    <row r="605" spans="1:27" ht="14.25" customHeight="1">
      <c r="A605" s="162"/>
      <c r="B605" s="162"/>
      <c r="C605" s="162"/>
      <c r="D605" s="162"/>
      <c r="E605" s="162"/>
      <c r="F605" s="163"/>
      <c r="G605" s="163"/>
      <c r="H605" s="163"/>
      <c r="I605" s="163"/>
      <c r="J605" s="163"/>
      <c r="K605" s="163"/>
      <c r="L605" s="163"/>
      <c r="M605" s="163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  <c r="AA605" s="162"/>
    </row>
    <row r="606" spans="1:27" ht="14.25" customHeight="1">
      <c r="A606" s="162"/>
      <c r="B606" s="162"/>
      <c r="C606" s="162"/>
      <c r="D606" s="162"/>
      <c r="E606" s="162"/>
      <c r="F606" s="163"/>
      <c r="G606" s="163"/>
      <c r="H606" s="163"/>
      <c r="I606" s="163"/>
      <c r="J606" s="163"/>
      <c r="K606" s="163"/>
      <c r="L606" s="163"/>
      <c r="M606" s="163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  <c r="AA606" s="162"/>
    </row>
    <row r="607" spans="1:27" ht="14.25" customHeight="1">
      <c r="A607" s="162"/>
      <c r="B607" s="162"/>
      <c r="C607" s="162"/>
      <c r="D607" s="162"/>
      <c r="E607" s="162"/>
      <c r="F607" s="163"/>
      <c r="G607" s="163"/>
      <c r="H607" s="163"/>
      <c r="I607" s="163"/>
      <c r="J607" s="163"/>
      <c r="K607" s="163"/>
      <c r="L607" s="163"/>
      <c r="M607" s="163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  <c r="AA607" s="162" t="s">
        <v>271</v>
      </c>
    </row>
    <row r="608" spans="1:27" ht="14.25" customHeight="1">
      <c r="A608" s="162"/>
      <c r="B608" s="215" t="s">
        <v>272</v>
      </c>
      <c r="C608" s="215"/>
      <c r="D608" s="162"/>
      <c r="E608" s="162"/>
      <c r="F608" s="163"/>
      <c r="G608" s="163"/>
      <c r="H608" s="163"/>
      <c r="I608" s="163"/>
      <c r="J608" s="163"/>
      <c r="K608" s="163"/>
      <c r="L608" s="163"/>
      <c r="M608" s="163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  <c r="AA608" s="162"/>
    </row>
    <row r="609" spans="1:27" ht="14.25" customHeight="1">
      <c r="A609" s="162"/>
      <c r="B609" s="162"/>
      <c r="C609" s="162"/>
      <c r="D609" s="162" t="s">
        <v>273</v>
      </c>
      <c r="E609" s="162"/>
      <c r="F609" s="163"/>
      <c r="G609" s="163"/>
      <c r="H609" s="163"/>
      <c r="I609" s="163"/>
      <c r="J609" s="163"/>
      <c r="K609" s="163"/>
      <c r="L609" s="163"/>
      <c r="M609" s="163"/>
      <c r="N609" s="162"/>
      <c r="O609" s="162"/>
      <c r="P609" s="162"/>
      <c r="Q609" s="162"/>
      <c r="R609" s="162" t="s">
        <v>142</v>
      </c>
      <c r="S609" s="497">
        <f>$BB$67</f>
        <v>47.5</v>
      </c>
      <c r="T609" s="498"/>
      <c r="U609" s="499"/>
      <c r="V609" s="162" t="s">
        <v>187</v>
      </c>
      <c r="W609" s="162"/>
      <c r="X609" s="162"/>
      <c r="Y609" s="162"/>
      <c r="Z609" s="162"/>
      <c r="AA609" s="162"/>
    </row>
    <row r="610" spans="1:27" ht="14.25" customHeight="1">
      <c r="A610" s="162"/>
      <c r="B610" s="162"/>
      <c r="C610" s="162"/>
      <c r="D610" s="162" t="s">
        <v>274</v>
      </c>
      <c r="E610" s="162"/>
      <c r="F610" s="163"/>
      <c r="G610" s="163"/>
      <c r="H610" s="163"/>
      <c r="I610" s="163"/>
      <c r="J610" s="163"/>
      <c r="K610" s="163"/>
      <c r="L610" s="163"/>
      <c r="M610" s="163"/>
      <c r="N610" s="162"/>
      <c r="O610" s="162"/>
      <c r="P610" s="162"/>
      <c r="Q610" s="162"/>
      <c r="R610" s="162" t="s">
        <v>142</v>
      </c>
      <c r="S610" s="497">
        <f>$BB$76</f>
        <v>47.5</v>
      </c>
      <c r="T610" s="498"/>
      <c r="U610" s="499"/>
      <c r="V610" s="162" t="s">
        <v>187</v>
      </c>
      <c r="W610" s="162"/>
      <c r="X610" s="162"/>
      <c r="Y610" s="162"/>
      <c r="Z610" s="162"/>
      <c r="AA610" s="162"/>
    </row>
    <row r="611" spans="1:27" ht="14.25" customHeight="1">
      <c r="A611" s="162"/>
      <c r="B611" s="162"/>
      <c r="C611" s="162"/>
      <c r="D611" s="162"/>
      <c r="E611" s="162"/>
      <c r="F611" s="163"/>
      <c r="G611" s="163"/>
      <c r="H611" s="163"/>
      <c r="I611" s="163"/>
      <c r="J611" s="163"/>
      <c r="K611" s="163"/>
      <c r="L611" s="163"/>
      <c r="M611" s="163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  <c r="AA611" s="162"/>
    </row>
    <row r="612" spans="1:27" ht="14.25" customHeight="1">
      <c r="A612" s="162"/>
      <c r="B612" s="162"/>
      <c r="C612" s="162"/>
      <c r="D612" s="162"/>
      <c r="E612" s="162"/>
      <c r="F612" s="163"/>
      <c r="G612" s="163"/>
      <c r="H612" s="163"/>
      <c r="I612" s="163"/>
      <c r="J612" s="163"/>
      <c r="K612" s="163"/>
      <c r="L612" s="163"/>
      <c r="M612" s="163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  <c r="AA612" s="162"/>
    </row>
    <row r="613" spans="1:27" ht="14.25" customHeight="1">
      <c r="A613" s="162"/>
      <c r="B613" s="162"/>
      <c r="C613" s="162"/>
      <c r="D613" s="162"/>
      <c r="E613" s="162"/>
      <c r="F613" s="163"/>
      <c r="G613" s="163"/>
      <c r="H613" s="163"/>
      <c r="I613" s="163"/>
      <c r="J613" s="163"/>
      <c r="K613" s="163"/>
      <c r="L613" s="163"/>
      <c r="M613" s="163"/>
      <c r="N613" s="162"/>
      <c r="O613" s="162"/>
      <c r="P613" s="162"/>
      <c r="Q613" s="329"/>
      <c r="R613" s="162"/>
      <c r="S613" s="162"/>
      <c r="T613" s="497"/>
      <c r="U613" s="501"/>
      <c r="V613" s="502"/>
      <c r="W613" s="162"/>
      <c r="X613" s="162"/>
      <c r="Y613" s="162"/>
      <c r="Z613" s="162"/>
      <c r="AA613" s="162"/>
    </row>
    <row r="614" spans="1:27" ht="14.25" customHeight="1">
      <c r="A614" s="162"/>
      <c r="B614" s="162"/>
      <c r="C614" s="162"/>
      <c r="D614" s="162"/>
      <c r="E614" s="162"/>
      <c r="F614" s="163"/>
      <c r="G614" s="163"/>
      <c r="H614" s="163"/>
      <c r="I614" s="163"/>
      <c r="J614" s="163"/>
      <c r="K614" s="163"/>
      <c r="L614" s="163"/>
      <c r="M614" s="163"/>
      <c r="N614" s="162"/>
      <c r="O614" s="162"/>
      <c r="P614" s="162"/>
      <c r="Q614" s="329"/>
      <c r="R614" s="162"/>
      <c r="S614" s="162"/>
      <c r="T614" s="497"/>
      <c r="U614" s="501"/>
      <c r="V614" s="502"/>
      <c r="W614" s="162"/>
      <c r="X614" s="162"/>
      <c r="Y614" s="162"/>
      <c r="Z614" s="162"/>
      <c r="AA614" s="162"/>
    </row>
    <row r="615" spans="1:27" ht="14.25" customHeight="1">
      <c r="A615" s="162"/>
      <c r="B615" s="166"/>
      <c r="C615" s="162"/>
      <c r="D615" s="162"/>
      <c r="E615" s="162"/>
      <c r="F615" s="163"/>
      <c r="G615" s="163"/>
      <c r="H615" s="163"/>
      <c r="I615" s="163"/>
      <c r="J615" s="163"/>
      <c r="K615" s="163"/>
      <c r="L615" s="163"/>
      <c r="M615" s="163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  <c r="AA615" s="162"/>
    </row>
    <row r="616" spans="1:27" ht="14.25" customHeight="1">
      <c r="A616" s="162"/>
      <c r="B616" s="162"/>
      <c r="C616" s="162"/>
      <c r="D616" s="162"/>
      <c r="E616" s="162"/>
      <c r="F616" s="163"/>
      <c r="G616" s="163"/>
      <c r="H616" s="163"/>
      <c r="I616" s="163"/>
      <c r="J616" s="163"/>
      <c r="K616" s="163"/>
      <c r="L616" s="163"/>
      <c r="M616" s="163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  <c r="AA616" s="162"/>
    </row>
    <row r="617" spans="1:27" ht="14.25" customHeight="1">
      <c r="A617" s="162"/>
      <c r="B617" s="162"/>
      <c r="C617" s="162"/>
      <c r="D617" s="162"/>
      <c r="E617" s="162"/>
      <c r="F617" s="163"/>
      <c r="G617" s="163"/>
      <c r="H617" s="163"/>
      <c r="I617" s="163"/>
      <c r="J617" s="163"/>
      <c r="K617" s="163"/>
      <c r="L617" s="163"/>
      <c r="M617" s="163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  <c r="AA617" s="162"/>
    </row>
    <row r="618" spans="1:27" ht="14.25" customHeight="1">
      <c r="A618" s="162"/>
      <c r="B618" s="162"/>
      <c r="C618" s="162"/>
      <c r="D618" s="162"/>
      <c r="E618" s="162"/>
      <c r="F618" s="163"/>
      <c r="G618" s="163"/>
      <c r="H618" s="163"/>
      <c r="I618" s="163"/>
      <c r="J618" s="163"/>
      <c r="K618" s="163"/>
      <c r="L618" s="163"/>
      <c r="M618" s="163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  <c r="AA618" s="162"/>
    </row>
    <row r="619" spans="1:27" ht="14.25" customHeight="1">
      <c r="A619" s="162"/>
      <c r="B619" s="162"/>
      <c r="C619" s="162"/>
      <c r="D619" s="162"/>
      <c r="E619" s="162"/>
      <c r="F619" s="163"/>
      <c r="G619" s="163"/>
      <c r="H619" s="163"/>
      <c r="I619" s="163"/>
      <c r="J619" s="163"/>
      <c r="K619" s="163"/>
      <c r="L619" s="163"/>
      <c r="M619" s="163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  <c r="AA619" s="162"/>
    </row>
    <row r="620" spans="1:27" ht="14.25" customHeight="1">
      <c r="A620" s="162"/>
      <c r="B620" s="162"/>
      <c r="C620" s="162"/>
      <c r="D620" s="162"/>
      <c r="E620" s="162"/>
      <c r="F620" s="163"/>
      <c r="G620" s="163"/>
      <c r="H620" s="163"/>
      <c r="I620" s="163"/>
      <c r="J620" s="163"/>
      <c r="K620" s="163"/>
      <c r="L620" s="163"/>
      <c r="M620" s="163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  <c r="AA620" s="162"/>
    </row>
    <row r="621" spans="1:27" ht="14.25" customHeight="1">
      <c r="A621" s="393" t="s">
        <v>0</v>
      </c>
      <c r="B621" s="394"/>
      <c r="C621" s="395"/>
      <c r="D621" s="412" t="str">
        <f>$D$1</f>
        <v xml:space="preserve">Megaspine </v>
      </c>
      <c r="E621" s="413"/>
      <c r="F621" s="413"/>
      <c r="G621" s="413"/>
      <c r="H621" s="413"/>
      <c r="I621" s="413"/>
      <c r="J621" s="413"/>
      <c r="K621" s="413"/>
      <c r="L621" s="413"/>
      <c r="M621" s="413"/>
      <c r="N621" s="413"/>
      <c r="O621" s="413"/>
      <c r="P621" s="413"/>
      <c r="Q621" s="414"/>
      <c r="R621" s="389" t="s">
        <v>2</v>
      </c>
      <c r="S621" s="389"/>
      <c r="T621" s="389"/>
      <c r="U621" s="390">
        <f>$U$1</f>
        <v>0</v>
      </c>
      <c r="V621" s="391"/>
      <c r="W621" s="391"/>
      <c r="X621" s="392"/>
      <c r="Y621" s="380"/>
      <c r="Z621" s="381"/>
      <c r="AA621" s="382"/>
    </row>
    <row r="622" spans="1:27" ht="14.25" customHeight="1">
      <c r="A622" s="399"/>
      <c r="B622" s="400"/>
      <c r="C622" s="401"/>
      <c r="D622" s="415"/>
      <c r="E622" s="416"/>
      <c r="F622" s="416"/>
      <c r="G622" s="416"/>
      <c r="H622" s="416"/>
      <c r="I622" s="416"/>
      <c r="J622" s="416"/>
      <c r="K622" s="416"/>
      <c r="L622" s="416"/>
      <c r="M622" s="416"/>
      <c r="N622" s="416"/>
      <c r="O622" s="416"/>
      <c r="P622" s="416"/>
      <c r="Q622" s="417"/>
      <c r="R622" s="389" t="s">
        <v>3</v>
      </c>
      <c r="S622" s="389"/>
      <c r="T622" s="389"/>
      <c r="U622" s="390" t="str">
        <f>$U$2</f>
        <v>PSM</v>
      </c>
      <c r="V622" s="391"/>
      <c r="W622" s="391"/>
      <c r="X622" s="392"/>
      <c r="Y622" s="383"/>
      <c r="Z622" s="384"/>
      <c r="AA622" s="385"/>
    </row>
    <row r="623" spans="1:27" ht="14.25" customHeight="1">
      <c r="A623" s="393" t="s">
        <v>5</v>
      </c>
      <c r="B623" s="394"/>
      <c r="C623" s="395"/>
      <c r="D623" s="380" t="str">
        <f>$D$3</f>
        <v>North of ATB (CST) - Section Test</v>
      </c>
      <c r="E623" s="381"/>
      <c r="F623" s="381"/>
      <c r="G623" s="381"/>
      <c r="H623" s="381"/>
      <c r="I623" s="381"/>
      <c r="J623" s="381"/>
      <c r="K623" s="381"/>
      <c r="L623" s="381"/>
      <c r="M623" s="381"/>
      <c r="N623" s="381"/>
      <c r="O623" s="381"/>
      <c r="P623" s="381"/>
      <c r="Q623" s="382"/>
      <c r="R623" s="389" t="s">
        <v>6</v>
      </c>
      <c r="S623" s="389"/>
      <c r="T623" s="389"/>
      <c r="U623" s="390" t="str">
        <f>$U$3</f>
        <v>JRS</v>
      </c>
      <c r="V623" s="391"/>
      <c r="W623" s="391"/>
      <c r="X623" s="392"/>
      <c r="Y623" s="383"/>
      <c r="Z623" s="384"/>
      <c r="AA623" s="385"/>
    </row>
    <row r="624" spans="1:27" ht="14.25" customHeight="1">
      <c r="A624" s="396"/>
      <c r="B624" s="397"/>
      <c r="C624" s="398"/>
      <c r="D624" s="489" t="str">
        <f>$D$4</f>
        <v xml:space="preserve">Load Calculation </v>
      </c>
      <c r="E624" s="490"/>
      <c r="F624" s="490"/>
      <c r="G624" s="490"/>
      <c r="H624" s="490"/>
      <c r="I624" s="490"/>
      <c r="J624" s="490"/>
      <c r="K624" s="490"/>
      <c r="L624" s="490"/>
      <c r="M624" s="490"/>
      <c r="N624" s="490"/>
      <c r="O624" s="490"/>
      <c r="P624" s="490"/>
      <c r="Q624" s="491"/>
      <c r="R624" s="389" t="s">
        <v>9</v>
      </c>
      <c r="S624" s="389"/>
      <c r="T624" s="389"/>
      <c r="U624" s="390" t="str">
        <f>$U$4</f>
        <v>MYPQ</v>
      </c>
      <c r="V624" s="391"/>
      <c r="W624" s="391"/>
      <c r="X624" s="392"/>
      <c r="Y624" s="386"/>
      <c r="Z624" s="387"/>
      <c r="AA624" s="388"/>
    </row>
    <row r="625" spans="1:27" ht="14.25" customHeight="1">
      <c r="A625" s="399"/>
      <c r="B625" s="400"/>
      <c r="C625" s="401"/>
      <c r="D625" s="415"/>
      <c r="E625" s="416"/>
      <c r="F625" s="416"/>
      <c r="G625" s="416"/>
      <c r="H625" s="416"/>
      <c r="I625" s="416"/>
      <c r="J625" s="416"/>
      <c r="K625" s="416"/>
      <c r="L625" s="416"/>
      <c r="M625" s="416"/>
      <c r="N625" s="416"/>
      <c r="O625" s="416"/>
      <c r="P625" s="416"/>
      <c r="Q625" s="417"/>
      <c r="R625" s="389" t="s">
        <v>11</v>
      </c>
      <c r="S625" s="389"/>
      <c r="T625" s="389"/>
      <c r="U625" s="411">
        <f ca="1">$U$5</f>
        <v>45183</v>
      </c>
      <c r="V625" s="492"/>
      <c r="W625" s="492"/>
      <c r="X625" s="493"/>
      <c r="Y625" s="418" t="s">
        <v>12</v>
      </c>
      <c r="Z625" s="419"/>
      <c r="AA625" s="183" t="str">
        <f>13&amp;"/"&amp;AB5</f>
        <v>13/14</v>
      </c>
    </row>
    <row r="626" spans="1:27" ht="14.25" customHeight="1">
      <c r="A626" s="162"/>
      <c r="B626" s="162"/>
      <c r="C626" s="162"/>
      <c r="D626" s="162"/>
      <c r="E626" s="162"/>
      <c r="F626" s="163"/>
      <c r="G626" s="163"/>
      <c r="H626" s="163"/>
      <c r="I626" s="163"/>
      <c r="J626" s="163"/>
      <c r="K626" s="163"/>
      <c r="L626" s="163"/>
      <c r="M626" s="163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  <c r="AA626" s="162"/>
    </row>
    <row r="627" spans="1:27" ht="14.25" customHeight="1">
      <c r="A627" s="162"/>
      <c r="B627" s="162"/>
      <c r="C627" s="162"/>
      <c r="D627" s="162"/>
      <c r="E627" s="162"/>
      <c r="F627" s="163"/>
      <c r="G627" s="163"/>
      <c r="H627" s="163"/>
      <c r="I627" s="163"/>
      <c r="J627" s="163"/>
      <c r="K627" s="163"/>
      <c r="L627" s="163"/>
      <c r="M627" s="163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</row>
    <row r="628" spans="1:27" ht="14.25" customHeight="1">
      <c r="A628" s="162"/>
      <c r="B628" s="215" t="s">
        <v>275</v>
      </c>
      <c r="C628" s="215"/>
      <c r="D628" s="162"/>
      <c r="E628" s="162"/>
      <c r="F628" s="163"/>
      <c r="G628" s="163"/>
      <c r="H628" s="163"/>
      <c r="I628" s="163"/>
      <c r="J628" s="163"/>
      <c r="K628" s="163"/>
      <c r="L628" s="163"/>
      <c r="M628" s="163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</row>
    <row r="629" spans="1:27" ht="14.25" customHeight="1">
      <c r="A629" s="162"/>
      <c r="B629" s="162"/>
      <c r="C629" s="162"/>
      <c r="D629" s="162" t="s">
        <v>273</v>
      </c>
      <c r="E629" s="162"/>
      <c r="F629" s="163"/>
      <c r="G629" s="163"/>
      <c r="H629" s="163"/>
      <c r="I629" s="163"/>
      <c r="J629" s="163"/>
      <c r="K629" s="163"/>
      <c r="L629" s="163"/>
      <c r="M629" s="163"/>
      <c r="N629" s="162"/>
      <c r="O629" s="162"/>
      <c r="P629" s="162"/>
      <c r="Q629" s="162"/>
      <c r="R629" s="162" t="s">
        <v>142</v>
      </c>
      <c r="S629" s="497">
        <f>$BB$67</f>
        <v>47.5</v>
      </c>
      <c r="T629" s="498"/>
      <c r="U629" s="499"/>
      <c r="V629" s="162" t="s">
        <v>187</v>
      </c>
      <c r="W629" s="162"/>
      <c r="X629" s="162"/>
      <c r="Y629" s="162"/>
      <c r="Z629" s="162"/>
      <c r="AA629" s="162"/>
    </row>
    <row r="630" spans="1:27" ht="14.25" customHeight="1">
      <c r="A630" s="162"/>
      <c r="B630" s="162"/>
      <c r="C630" s="162"/>
      <c r="D630" s="162" t="s">
        <v>274</v>
      </c>
      <c r="E630" s="162"/>
      <c r="F630" s="163"/>
      <c r="G630" s="163"/>
      <c r="H630" s="163"/>
      <c r="I630" s="163"/>
      <c r="J630" s="163"/>
      <c r="K630" s="163"/>
      <c r="L630" s="163"/>
      <c r="M630" s="163"/>
      <c r="N630" s="162"/>
      <c r="O630" s="162"/>
      <c r="P630" s="162"/>
      <c r="Q630" s="162"/>
      <c r="R630" s="162" t="s">
        <v>142</v>
      </c>
      <c r="S630" s="497">
        <f>$BB$76</f>
        <v>47.5</v>
      </c>
      <c r="T630" s="498"/>
      <c r="U630" s="499"/>
      <c r="V630" s="162" t="s">
        <v>187</v>
      </c>
      <c r="W630" s="162"/>
      <c r="X630" s="162"/>
      <c r="Y630" s="162"/>
      <c r="Z630" s="162"/>
      <c r="AA630" s="162"/>
    </row>
    <row r="631" spans="1:27" ht="14.25" customHeight="1">
      <c r="A631" s="162"/>
      <c r="B631" s="162"/>
      <c r="C631" s="162"/>
      <c r="D631" s="162"/>
      <c r="E631" s="162"/>
      <c r="F631" s="163"/>
      <c r="G631" s="163"/>
      <c r="H631" s="163"/>
      <c r="I631" s="163"/>
      <c r="J631" s="163"/>
      <c r="K631" s="163"/>
      <c r="L631" s="163"/>
      <c r="M631" s="163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  <c r="AA631" s="162"/>
    </row>
    <row r="632" spans="1:27" ht="14.25" customHeight="1">
      <c r="A632" s="162"/>
      <c r="B632" s="162"/>
      <c r="C632" s="162"/>
      <c r="D632" s="162"/>
      <c r="E632" s="162"/>
      <c r="F632" s="163"/>
      <c r="G632" s="163"/>
      <c r="H632" s="163"/>
      <c r="I632" s="163"/>
      <c r="J632" s="163"/>
      <c r="K632" s="163"/>
      <c r="L632" s="163"/>
      <c r="M632" s="163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</row>
    <row r="633" spans="1:27" ht="14.25" customHeight="1">
      <c r="A633" s="162"/>
      <c r="B633" s="162"/>
      <c r="C633" s="162"/>
      <c r="D633" s="162"/>
      <c r="E633" s="162"/>
      <c r="F633" s="163"/>
      <c r="G633" s="163"/>
      <c r="H633" s="163"/>
      <c r="I633" s="163"/>
      <c r="J633" s="163"/>
      <c r="K633" s="163"/>
      <c r="L633" s="163"/>
      <c r="M633" s="163"/>
      <c r="N633" s="162"/>
      <c r="O633" s="162"/>
      <c r="P633" s="162"/>
      <c r="Q633" s="329"/>
      <c r="R633" s="162"/>
      <c r="S633" s="162"/>
      <c r="T633" s="497"/>
      <c r="U633" s="501"/>
      <c r="V633" s="502"/>
      <c r="W633" s="162"/>
      <c r="X633" s="162"/>
      <c r="Y633" s="162"/>
      <c r="Z633" s="162"/>
      <c r="AA633" s="162"/>
    </row>
    <row r="634" spans="1:27" ht="14.25" customHeight="1">
      <c r="A634" s="162"/>
      <c r="B634" s="162"/>
      <c r="C634" s="162"/>
      <c r="D634" s="162"/>
      <c r="E634" s="162"/>
      <c r="F634" s="163"/>
      <c r="G634" s="163"/>
      <c r="H634" s="163"/>
      <c r="I634" s="163"/>
      <c r="J634" s="163"/>
      <c r="K634" s="163"/>
      <c r="L634" s="163"/>
      <c r="M634" s="163"/>
      <c r="N634" s="162"/>
      <c r="O634" s="162"/>
      <c r="P634" s="162"/>
      <c r="Q634" s="329"/>
      <c r="R634" s="162"/>
      <c r="S634" s="162"/>
      <c r="T634" s="497"/>
      <c r="U634" s="501"/>
      <c r="V634" s="502"/>
      <c r="W634" s="162"/>
      <c r="X634" s="162"/>
      <c r="Y634" s="162"/>
      <c r="Z634" s="162"/>
      <c r="AA634" s="162"/>
    </row>
    <row r="635" spans="1:27" ht="14.25" customHeight="1">
      <c r="A635" s="162"/>
      <c r="B635" s="166"/>
      <c r="C635" s="162"/>
      <c r="D635" s="162"/>
      <c r="E635" s="162"/>
      <c r="F635" s="163"/>
      <c r="G635" s="163"/>
      <c r="H635" s="163"/>
      <c r="I635" s="163"/>
      <c r="J635" s="163"/>
      <c r="K635" s="163"/>
      <c r="L635" s="163"/>
      <c r="M635" s="163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</row>
    <row r="636" spans="1:27" ht="14.25" customHeight="1">
      <c r="A636" s="162"/>
      <c r="B636" s="162"/>
      <c r="C636" s="162"/>
      <c r="D636" s="162"/>
      <c r="E636" s="162"/>
      <c r="F636" s="163"/>
      <c r="G636" s="163"/>
      <c r="H636" s="163"/>
      <c r="I636" s="163"/>
      <c r="J636" s="163"/>
      <c r="K636" s="163"/>
      <c r="L636" s="163"/>
      <c r="M636" s="163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  <c r="AA636" s="162"/>
    </row>
    <row r="637" spans="1:27" ht="14.25" customHeight="1">
      <c r="A637" s="162"/>
      <c r="B637" s="162"/>
      <c r="C637" s="162"/>
      <c r="D637" s="162"/>
      <c r="E637" s="162"/>
      <c r="F637" s="163"/>
      <c r="G637" s="163"/>
      <c r="H637" s="163"/>
      <c r="I637" s="163"/>
      <c r="J637" s="163"/>
      <c r="K637" s="163"/>
      <c r="L637" s="163"/>
      <c r="M637" s="163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</row>
    <row r="638" spans="1:27" ht="14.25" customHeight="1">
      <c r="A638" s="162"/>
      <c r="B638" s="162"/>
      <c r="C638" s="162"/>
      <c r="D638" s="162"/>
      <c r="E638" s="162"/>
      <c r="F638" s="163"/>
      <c r="G638" s="163"/>
      <c r="H638" s="163"/>
      <c r="I638" s="163"/>
      <c r="J638" s="163"/>
      <c r="K638" s="163"/>
      <c r="L638" s="163"/>
      <c r="M638" s="163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  <c r="AA638" s="162"/>
    </row>
    <row r="639" spans="1:27" ht="14.25" customHeight="1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</row>
    <row r="640" spans="1:27" ht="14.25" customHeight="1">
      <c r="A640" s="162"/>
      <c r="B640" s="162"/>
      <c r="C640" s="162"/>
      <c r="D640" s="162"/>
      <c r="E640" s="162"/>
      <c r="F640" s="163"/>
      <c r="G640" s="163"/>
      <c r="H640" s="163"/>
      <c r="I640" s="163"/>
      <c r="J640" s="163"/>
      <c r="K640" s="163"/>
      <c r="L640" s="163"/>
      <c r="M640" s="163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</row>
    <row r="641" spans="1:27" ht="14.25" customHeight="1">
      <c r="A641" s="162"/>
      <c r="B641" s="162"/>
      <c r="C641" s="162"/>
      <c r="D641" s="162"/>
      <c r="E641" s="162"/>
      <c r="F641" s="163"/>
      <c r="G641" s="163"/>
      <c r="H641" s="163"/>
      <c r="I641" s="163"/>
      <c r="J641" s="163"/>
      <c r="K641" s="163"/>
      <c r="L641" s="163"/>
      <c r="M641" s="163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</row>
    <row r="642" spans="1:27" ht="14.25" customHeight="1">
      <c r="A642" s="162"/>
      <c r="B642" s="215" t="s">
        <v>276</v>
      </c>
      <c r="C642" s="215"/>
      <c r="D642" s="162"/>
      <c r="E642" s="162"/>
      <c r="F642" s="163"/>
      <c r="G642" s="163"/>
      <c r="H642" s="163"/>
      <c r="I642" s="163"/>
      <c r="J642" s="163"/>
      <c r="K642" s="163"/>
      <c r="L642" s="163"/>
      <c r="M642" s="163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</row>
    <row r="643" spans="1:27" ht="14.25" customHeight="1">
      <c r="A643" s="162"/>
      <c r="B643" s="162"/>
      <c r="C643" s="162"/>
      <c r="D643" s="162" t="s">
        <v>277</v>
      </c>
      <c r="E643" s="162"/>
      <c r="F643" s="163"/>
      <c r="G643" s="163"/>
      <c r="H643" s="163"/>
      <c r="I643" s="163"/>
      <c r="J643" s="163"/>
      <c r="K643" s="163"/>
      <c r="L643" s="163"/>
      <c r="M643" s="163"/>
      <c r="N643" s="162"/>
      <c r="O643" s="162"/>
      <c r="P643" s="162"/>
      <c r="Q643" s="162"/>
      <c r="R643" s="162" t="s">
        <v>142</v>
      </c>
      <c r="S643" s="497">
        <f>$BF$92</f>
        <v>47.5</v>
      </c>
      <c r="T643" s="498"/>
      <c r="U643" s="499"/>
      <c r="V643" s="162" t="s">
        <v>187</v>
      </c>
      <c r="W643" s="162"/>
      <c r="X643" s="162"/>
      <c r="Y643" s="162"/>
      <c r="Z643" s="162"/>
      <c r="AA643" s="162"/>
    </row>
    <row r="644" spans="1:27" ht="14.25" customHeight="1">
      <c r="A644" s="162"/>
      <c r="B644" s="162"/>
      <c r="C644" s="162"/>
      <c r="D644" s="162" t="s">
        <v>278</v>
      </c>
      <c r="E644" s="162"/>
      <c r="F644" s="163"/>
      <c r="G644" s="163"/>
      <c r="H644" s="163"/>
      <c r="I644" s="163"/>
      <c r="J644" s="163"/>
      <c r="K644" s="163"/>
      <c r="L644" s="163"/>
      <c r="M644" s="163"/>
      <c r="N644" s="162"/>
      <c r="O644" s="162"/>
      <c r="P644" s="162"/>
      <c r="Q644" s="162"/>
      <c r="R644" s="162" t="s">
        <v>142</v>
      </c>
      <c r="S644" s="497">
        <f>$BF$101</f>
        <v>47.5</v>
      </c>
      <c r="T644" s="498"/>
      <c r="U644" s="499"/>
      <c r="V644" s="162" t="s">
        <v>187</v>
      </c>
      <c r="W644" s="162"/>
      <c r="X644" s="162"/>
      <c r="Y644" s="162"/>
      <c r="Z644" s="162"/>
      <c r="AA644" s="162"/>
    </row>
    <row r="645" spans="1:27" ht="14.25" customHeight="1">
      <c r="A645" s="162"/>
      <c r="B645" s="162"/>
      <c r="C645" s="162"/>
      <c r="D645" s="162"/>
      <c r="E645" s="162"/>
      <c r="F645" s="163"/>
      <c r="G645" s="163"/>
      <c r="H645" s="163"/>
      <c r="I645" s="163"/>
      <c r="J645" s="163"/>
      <c r="K645" s="163"/>
      <c r="L645" s="163"/>
      <c r="M645" s="163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  <c r="AA645" s="162"/>
    </row>
    <row r="646" spans="1:27" ht="14.25" customHeight="1">
      <c r="A646" s="162"/>
      <c r="B646" s="162"/>
      <c r="C646" s="162"/>
      <c r="D646" s="162"/>
      <c r="E646" s="162"/>
      <c r="F646" s="163"/>
      <c r="G646" s="163"/>
      <c r="H646" s="163"/>
      <c r="I646" s="163"/>
      <c r="J646" s="163"/>
      <c r="K646" s="163"/>
      <c r="L646" s="163"/>
      <c r="M646" s="163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  <c r="AA646" s="162"/>
    </row>
    <row r="647" spans="1:27" ht="14.25" customHeight="1">
      <c r="A647" s="162"/>
      <c r="B647" s="162"/>
      <c r="C647" s="162"/>
      <c r="D647" s="162"/>
      <c r="E647" s="162"/>
      <c r="F647" s="163"/>
      <c r="G647" s="163"/>
      <c r="H647" s="163"/>
      <c r="I647" s="163"/>
      <c r="J647" s="163"/>
      <c r="K647" s="163"/>
      <c r="L647" s="163"/>
      <c r="M647" s="163"/>
      <c r="N647" s="162"/>
      <c r="O647" s="162"/>
      <c r="P647" s="162"/>
      <c r="Q647" s="329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</row>
    <row r="648" spans="1:27" ht="14.25" customHeight="1">
      <c r="A648" s="162"/>
      <c r="B648" s="162"/>
      <c r="C648" s="162"/>
      <c r="D648" s="162"/>
      <c r="E648" s="162"/>
      <c r="F648" s="163"/>
      <c r="G648" s="163"/>
      <c r="H648" s="163"/>
      <c r="I648" s="163"/>
      <c r="J648" s="163"/>
      <c r="K648" s="163"/>
      <c r="L648" s="163"/>
      <c r="M648" s="163"/>
      <c r="N648" s="162"/>
      <c r="O648" s="162"/>
      <c r="P648" s="162"/>
      <c r="Q648" s="329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</row>
    <row r="649" spans="1:27" ht="14.25" customHeight="1">
      <c r="A649" s="162"/>
      <c r="B649" s="166"/>
      <c r="C649" s="162"/>
      <c r="D649" s="162"/>
      <c r="E649" s="162"/>
      <c r="F649" s="163"/>
      <c r="G649" s="163"/>
      <c r="H649" s="163"/>
      <c r="I649" s="163"/>
      <c r="J649" s="163"/>
      <c r="K649" s="163"/>
      <c r="L649" s="163"/>
      <c r="M649" s="163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  <c r="AA649" s="162"/>
    </row>
    <row r="650" spans="1:27" ht="14.25" customHeight="1">
      <c r="A650" s="162"/>
      <c r="B650" s="162"/>
      <c r="C650" s="162"/>
      <c r="D650" s="162"/>
      <c r="E650" s="162"/>
      <c r="F650" s="163"/>
      <c r="G650" s="163"/>
      <c r="H650" s="163"/>
      <c r="I650" s="163"/>
      <c r="J650" s="163"/>
      <c r="K650" s="163"/>
      <c r="L650" s="163"/>
      <c r="M650" s="163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  <c r="AA650" s="162"/>
    </row>
    <row r="651" spans="1:27" ht="14.25" customHeight="1">
      <c r="A651" s="162"/>
      <c r="B651" s="162"/>
      <c r="C651" s="162"/>
      <c r="D651" s="162"/>
      <c r="E651" s="162"/>
      <c r="F651" s="163"/>
      <c r="G651" s="163"/>
      <c r="H651" s="163"/>
      <c r="I651" s="163"/>
      <c r="J651" s="163"/>
      <c r="K651" s="163"/>
      <c r="L651" s="163"/>
      <c r="M651" s="163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  <c r="AA651" s="162"/>
    </row>
    <row r="652" spans="1:27" ht="14.25" customHeight="1">
      <c r="A652" s="162"/>
      <c r="B652" s="162"/>
      <c r="C652" s="162"/>
      <c r="D652" s="162"/>
      <c r="E652" s="162"/>
      <c r="F652" s="163"/>
      <c r="G652" s="163"/>
      <c r="H652" s="163"/>
      <c r="I652" s="163"/>
      <c r="J652" s="163"/>
      <c r="K652" s="163"/>
      <c r="L652" s="163"/>
      <c r="M652" s="163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  <c r="AA652" s="162"/>
    </row>
    <row r="653" spans="1:27" ht="14.25" customHeight="1">
      <c r="A653" s="357"/>
      <c r="B653" s="215" t="s">
        <v>279</v>
      </c>
      <c r="C653" s="215"/>
      <c r="D653" s="162"/>
      <c r="E653" s="162"/>
      <c r="F653" s="163"/>
      <c r="G653" s="163"/>
      <c r="H653" s="163"/>
      <c r="I653" s="163"/>
      <c r="J653" s="163"/>
      <c r="K653" s="163"/>
      <c r="L653" s="163"/>
      <c r="M653" s="163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  <c r="AA653" s="358"/>
    </row>
    <row r="654" spans="1:27" ht="14.25" customHeight="1">
      <c r="A654" s="357"/>
      <c r="B654" s="162"/>
      <c r="C654" s="162"/>
      <c r="D654" s="162" t="s">
        <v>280</v>
      </c>
      <c r="E654" s="162"/>
      <c r="F654" s="163"/>
      <c r="G654" s="163"/>
      <c r="H654" s="163"/>
      <c r="I654" s="163"/>
      <c r="J654" s="163"/>
      <c r="K654" s="163"/>
      <c r="L654" s="163"/>
      <c r="M654" s="163"/>
      <c r="N654" s="162"/>
      <c r="O654" s="162"/>
      <c r="P654" s="162"/>
      <c r="Q654" s="162"/>
      <c r="R654" s="162" t="s">
        <v>142</v>
      </c>
      <c r="S654" s="497">
        <f>AD46</f>
        <v>20</v>
      </c>
      <c r="T654" s="498"/>
      <c r="U654" s="499"/>
      <c r="V654" s="162" t="s">
        <v>187</v>
      </c>
      <c r="W654" s="162"/>
      <c r="X654" s="162"/>
      <c r="Y654" s="162"/>
      <c r="Z654" s="162"/>
      <c r="AA654" s="358"/>
    </row>
    <row r="655" spans="1:27" ht="14.25" customHeight="1">
      <c r="A655" s="357"/>
      <c r="B655" s="162"/>
      <c r="C655" s="162"/>
      <c r="D655" s="162"/>
      <c r="E655" s="162"/>
      <c r="F655" s="163"/>
      <c r="G655" s="163"/>
      <c r="H655" s="163"/>
      <c r="I655" s="163"/>
      <c r="J655" s="163"/>
      <c r="K655" s="163"/>
      <c r="L655" s="163"/>
      <c r="M655" s="163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  <c r="AA655" s="358"/>
    </row>
    <row r="656" spans="1:27" ht="14.25" customHeight="1">
      <c r="A656" s="357"/>
      <c r="B656" s="162"/>
      <c r="C656" s="162"/>
      <c r="D656" s="162"/>
      <c r="E656" s="162"/>
      <c r="F656" s="163"/>
      <c r="G656" s="163"/>
      <c r="H656" s="163"/>
      <c r="I656" s="163"/>
      <c r="J656" s="163"/>
      <c r="K656" s="163"/>
      <c r="L656" s="163"/>
      <c r="M656" s="163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  <c r="AA656" s="358"/>
    </row>
    <row r="657" spans="1:27" ht="14.25" customHeight="1">
      <c r="A657" s="357"/>
      <c r="B657" s="162"/>
      <c r="C657" s="162"/>
      <c r="D657" s="162"/>
      <c r="E657" s="162"/>
      <c r="F657" s="163"/>
      <c r="G657" s="163"/>
      <c r="H657" s="163"/>
      <c r="I657" s="163"/>
      <c r="J657" s="163"/>
      <c r="K657" s="163"/>
      <c r="L657" s="163"/>
      <c r="M657" s="163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  <c r="AA657" s="358"/>
    </row>
    <row r="658" spans="1:27" ht="14.25" customHeight="1">
      <c r="A658" s="357"/>
      <c r="B658" s="162"/>
      <c r="C658" s="162"/>
      <c r="D658" s="162"/>
      <c r="E658" s="162"/>
      <c r="F658" s="163"/>
      <c r="G658" s="163"/>
      <c r="H658" s="163"/>
      <c r="I658" s="163"/>
      <c r="J658" s="163"/>
      <c r="K658" s="163"/>
      <c r="L658" s="163"/>
      <c r="M658" s="163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  <c r="AA658" s="358"/>
    </row>
    <row r="659" spans="1:27" ht="14.25" customHeight="1">
      <c r="A659" s="357"/>
      <c r="B659" s="162"/>
      <c r="C659" s="162"/>
      <c r="D659" s="162"/>
      <c r="E659" s="162"/>
      <c r="F659" s="163"/>
      <c r="G659" s="163"/>
      <c r="H659" s="163"/>
      <c r="I659" s="163"/>
      <c r="J659" s="163"/>
      <c r="K659" s="163"/>
      <c r="L659" s="163"/>
      <c r="M659" s="163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  <c r="AA659" s="358"/>
    </row>
    <row r="660" spans="1:27" ht="14.25" customHeight="1">
      <c r="A660" s="357"/>
      <c r="B660" s="162"/>
      <c r="C660" s="162"/>
      <c r="D660" s="162"/>
      <c r="E660" s="162"/>
      <c r="F660" s="163"/>
      <c r="G660" s="163"/>
      <c r="H660" s="163"/>
      <c r="I660" s="163"/>
      <c r="J660" s="163"/>
      <c r="K660" s="163"/>
      <c r="L660" s="163"/>
      <c r="M660" s="163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  <c r="AA660" s="358"/>
    </row>
    <row r="661" spans="1:27" ht="14.25" customHeight="1">
      <c r="A661" s="357"/>
      <c r="B661" s="162"/>
      <c r="C661" s="162"/>
      <c r="D661" s="162"/>
      <c r="E661" s="162"/>
      <c r="F661" s="163"/>
      <c r="G661" s="163"/>
      <c r="H661" s="163"/>
      <c r="I661" s="163"/>
      <c r="J661" s="163"/>
      <c r="K661" s="163"/>
      <c r="L661" s="163"/>
      <c r="M661" s="163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  <c r="AA661" s="358"/>
    </row>
    <row r="662" spans="1:27" ht="14.25" customHeight="1">
      <c r="A662" s="357"/>
      <c r="B662" s="162"/>
      <c r="C662" s="162"/>
      <c r="D662" s="162"/>
      <c r="E662" s="162"/>
      <c r="F662" s="163"/>
      <c r="G662" s="163"/>
      <c r="H662" s="163"/>
      <c r="I662" s="163"/>
      <c r="J662" s="163"/>
      <c r="K662" s="163"/>
      <c r="L662" s="163"/>
      <c r="M662" s="163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  <c r="AA662" s="358"/>
    </row>
    <row r="663" spans="1:27" ht="14.25" customHeight="1">
      <c r="A663" s="357"/>
      <c r="B663" s="162"/>
      <c r="C663" s="162"/>
      <c r="D663" s="162"/>
      <c r="E663" s="162"/>
      <c r="F663" s="163"/>
      <c r="G663" s="163"/>
      <c r="H663" s="163"/>
      <c r="I663" s="163"/>
      <c r="J663" s="163"/>
      <c r="K663" s="163"/>
      <c r="L663" s="163"/>
      <c r="M663" s="163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  <c r="AA663" s="358"/>
    </row>
    <row r="664" spans="1:27" ht="14.25" customHeight="1">
      <c r="A664" s="357"/>
      <c r="B664" s="162"/>
      <c r="C664" s="162"/>
      <c r="D664" s="162"/>
      <c r="E664" s="162"/>
      <c r="F664" s="163"/>
      <c r="G664" s="163"/>
      <c r="H664" s="163"/>
      <c r="I664" s="163"/>
      <c r="J664" s="163"/>
      <c r="K664" s="163"/>
      <c r="L664" s="163"/>
      <c r="M664" s="163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  <c r="AA664" s="358"/>
    </row>
    <row r="665" spans="1:27" ht="14.25" customHeight="1">
      <c r="A665" s="357"/>
      <c r="B665" s="162"/>
      <c r="C665" s="162"/>
      <c r="D665" s="162"/>
      <c r="E665" s="162"/>
      <c r="F665" s="163"/>
      <c r="G665" s="163"/>
      <c r="H665" s="163"/>
      <c r="I665" s="163"/>
      <c r="J665" s="163"/>
      <c r="K665" s="163"/>
      <c r="L665" s="163"/>
      <c r="M665" s="163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  <c r="AA665" s="358"/>
    </row>
    <row r="666" spans="1:27" ht="14.25" customHeight="1">
      <c r="A666" s="357"/>
      <c r="B666" s="162"/>
      <c r="C666" s="162"/>
      <c r="D666" s="162"/>
      <c r="E666" s="162"/>
      <c r="F666" s="163"/>
      <c r="G666" s="163"/>
      <c r="H666" s="163"/>
      <c r="I666" s="163"/>
      <c r="J666" s="163"/>
      <c r="K666" s="163"/>
      <c r="L666" s="163"/>
      <c r="M666" s="163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  <c r="AA666" s="358"/>
    </row>
    <row r="667" spans="1:27" ht="14.25" customHeight="1">
      <c r="A667" s="357"/>
      <c r="B667" s="162"/>
      <c r="C667" s="162"/>
      <c r="D667" s="162"/>
      <c r="E667" s="162"/>
      <c r="F667" s="163"/>
      <c r="G667" s="163"/>
      <c r="H667" s="163"/>
      <c r="I667" s="163"/>
      <c r="J667" s="163"/>
      <c r="K667" s="163"/>
      <c r="L667" s="163"/>
      <c r="M667" s="163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  <c r="AA667" s="358"/>
    </row>
    <row r="668" spans="1:27" ht="14.25" customHeight="1">
      <c r="A668" s="357"/>
      <c r="B668" s="162"/>
      <c r="C668" s="162"/>
      <c r="D668" s="162"/>
      <c r="E668" s="162"/>
      <c r="F668" s="163"/>
      <c r="G668" s="163"/>
      <c r="H668" s="163"/>
      <c r="I668" s="163"/>
      <c r="J668" s="163"/>
      <c r="K668" s="163"/>
      <c r="L668" s="163"/>
      <c r="M668" s="163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  <c r="AA668" s="358"/>
    </row>
    <row r="669" spans="1:27" ht="14.25" customHeight="1">
      <c r="A669" s="357"/>
      <c r="B669" s="162"/>
      <c r="C669" s="162"/>
      <c r="D669" s="162"/>
      <c r="E669" s="162"/>
      <c r="F669" s="163"/>
      <c r="G669" s="163"/>
      <c r="H669" s="163"/>
      <c r="I669" s="163"/>
      <c r="J669" s="163"/>
      <c r="K669" s="163"/>
      <c r="L669" s="163"/>
      <c r="M669" s="163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  <c r="AA669" s="358"/>
    </row>
    <row r="670" spans="1:27" ht="14.25" customHeight="1">
      <c r="A670" s="357"/>
      <c r="B670" s="162"/>
      <c r="C670" s="162"/>
      <c r="D670" s="162"/>
      <c r="E670" s="162"/>
      <c r="F670" s="163"/>
      <c r="G670" s="163"/>
      <c r="H670" s="163"/>
      <c r="I670" s="163"/>
      <c r="J670" s="163"/>
      <c r="K670" s="163"/>
      <c r="L670" s="163"/>
      <c r="M670" s="163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  <c r="AA670" s="358"/>
    </row>
    <row r="671" spans="1:27" ht="14.25" customHeight="1">
      <c r="A671" s="357"/>
      <c r="B671" s="162"/>
      <c r="C671" s="162"/>
      <c r="D671" s="162"/>
      <c r="E671" s="162"/>
      <c r="F671" s="163"/>
      <c r="G671" s="163"/>
      <c r="H671" s="163"/>
      <c r="I671" s="163"/>
      <c r="J671" s="163"/>
      <c r="K671" s="163"/>
      <c r="L671" s="163"/>
      <c r="M671" s="163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  <c r="AA671" s="358"/>
    </row>
    <row r="672" spans="1:27" ht="14.25" customHeight="1">
      <c r="A672" s="162"/>
      <c r="B672" s="162"/>
      <c r="C672" s="162"/>
      <c r="D672" s="162"/>
      <c r="E672" s="162"/>
      <c r="F672" s="163"/>
      <c r="G672" s="163"/>
      <c r="H672" s="163"/>
      <c r="I672" s="163"/>
      <c r="J672" s="163"/>
      <c r="K672" s="163"/>
      <c r="L672" s="163"/>
      <c r="M672" s="163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</row>
    <row r="673" spans="1:56" ht="14.25" customHeight="1">
      <c r="A673" s="393" t="s">
        <v>0</v>
      </c>
      <c r="B673" s="394"/>
      <c r="C673" s="395"/>
      <c r="D673" s="412" t="str">
        <f>$D$1</f>
        <v xml:space="preserve">Megaspine </v>
      </c>
      <c r="E673" s="413"/>
      <c r="F673" s="413"/>
      <c r="G673" s="413"/>
      <c r="H673" s="413"/>
      <c r="I673" s="413"/>
      <c r="J673" s="413"/>
      <c r="K673" s="413"/>
      <c r="L673" s="413"/>
      <c r="M673" s="413"/>
      <c r="N673" s="413"/>
      <c r="O673" s="413"/>
      <c r="P673" s="413"/>
      <c r="Q673" s="414"/>
      <c r="R673" s="389" t="s">
        <v>2</v>
      </c>
      <c r="S673" s="389"/>
      <c r="T673" s="389"/>
      <c r="U673" s="390">
        <f>$U$1</f>
        <v>0</v>
      </c>
      <c r="V673" s="391"/>
      <c r="W673" s="391"/>
      <c r="X673" s="392"/>
      <c r="Y673" s="380"/>
      <c r="Z673" s="381"/>
      <c r="AA673" s="382"/>
    </row>
    <row r="674" spans="1:56" ht="14.25" customHeight="1">
      <c r="A674" s="399"/>
      <c r="B674" s="400"/>
      <c r="C674" s="401"/>
      <c r="D674" s="415"/>
      <c r="E674" s="416"/>
      <c r="F674" s="416"/>
      <c r="G674" s="416"/>
      <c r="H674" s="416"/>
      <c r="I674" s="416"/>
      <c r="J674" s="416"/>
      <c r="K674" s="416"/>
      <c r="L674" s="416"/>
      <c r="M674" s="416"/>
      <c r="N674" s="416"/>
      <c r="O674" s="416"/>
      <c r="P674" s="416"/>
      <c r="Q674" s="417"/>
      <c r="R674" s="389" t="s">
        <v>3</v>
      </c>
      <c r="S674" s="389"/>
      <c r="T674" s="389"/>
      <c r="U674" s="390" t="str">
        <f>$U$2</f>
        <v>PSM</v>
      </c>
      <c r="V674" s="391"/>
      <c r="W674" s="391"/>
      <c r="X674" s="392"/>
      <c r="Y674" s="383"/>
      <c r="Z674" s="384"/>
      <c r="AA674" s="385"/>
    </row>
    <row r="675" spans="1:56" ht="14.25" customHeight="1">
      <c r="A675" s="393" t="s">
        <v>5</v>
      </c>
      <c r="B675" s="394"/>
      <c r="C675" s="395"/>
      <c r="D675" s="380" t="str">
        <f>$D$3</f>
        <v>North of ATB (CST) - Section Test</v>
      </c>
      <c r="E675" s="381"/>
      <c r="F675" s="381"/>
      <c r="G675" s="381"/>
      <c r="H675" s="381"/>
      <c r="I675" s="381"/>
      <c r="J675" s="381"/>
      <c r="K675" s="381"/>
      <c r="L675" s="381"/>
      <c r="M675" s="381"/>
      <c r="N675" s="381"/>
      <c r="O675" s="381"/>
      <c r="P675" s="381"/>
      <c r="Q675" s="382"/>
      <c r="R675" s="389" t="s">
        <v>6</v>
      </c>
      <c r="S675" s="389"/>
      <c r="T675" s="389"/>
      <c r="U675" s="390" t="str">
        <f>$U$3</f>
        <v>JRS</v>
      </c>
      <c r="V675" s="391"/>
      <c r="W675" s="391"/>
      <c r="X675" s="392"/>
      <c r="Y675" s="383"/>
      <c r="Z675" s="384"/>
      <c r="AA675" s="385"/>
    </row>
    <row r="676" spans="1:56" ht="14.25" customHeight="1">
      <c r="A676" s="396"/>
      <c r="B676" s="397"/>
      <c r="C676" s="398"/>
      <c r="D676" s="489" t="str">
        <f>$D$4</f>
        <v xml:space="preserve">Load Calculation </v>
      </c>
      <c r="E676" s="490"/>
      <c r="F676" s="490"/>
      <c r="G676" s="490"/>
      <c r="H676" s="490"/>
      <c r="I676" s="490"/>
      <c r="J676" s="490"/>
      <c r="K676" s="490"/>
      <c r="L676" s="490"/>
      <c r="M676" s="490"/>
      <c r="N676" s="490"/>
      <c r="O676" s="490"/>
      <c r="P676" s="490"/>
      <c r="Q676" s="491"/>
      <c r="R676" s="389" t="s">
        <v>9</v>
      </c>
      <c r="S676" s="389"/>
      <c r="T676" s="389"/>
      <c r="U676" s="390" t="str">
        <f>$U$4</f>
        <v>MYPQ</v>
      </c>
      <c r="V676" s="391"/>
      <c r="W676" s="391"/>
      <c r="X676" s="392"/>
      <c r="Y676" s="386"/>
      <c r="Z676" s="387"/>
      <c r="AA676" s="388"/>
    </row>
    <row r="677" spans="1:56" ht="14.25" customHeight="1">
      <c r="A677" s="399"/>
      <c r="B677" s="400"/>
      <c r="C677" s="401"/>
      <c r="D677" s="415"/>
      <c r="E677" s="416"/>
      <c r="F677" s="416"/>
      <c r="G677" s="416"/>
      <c r="H677" s="416"/>
      <c r="I677" s="416"/>
      <c r="J677" s="416"/>
      <c r="K677" s="416"/>
      <c r="L677" s="416"/>
      <c r="M677" s="416"/>
      <c r="N677" s="416"/>
      <c r="O677" s="416"/>
      <c r="P677" s="416"/>
      <c r="Q677" s="417"/>
      <c r="R677" s="389" t="s">
        <v>11</v>
      </c>
      <c r="S677" s="389"/>
      <c r="T677" s="389"/>
      <c r="U677" s="411">
        <f ca="1">$U$5</f>
        <v>45183</v>
      </c>
      <c r="V677" s="492"/>
      <c r="W677" s="492"/>
      <c r="X677" s="493"/>
      <c r="Y677" s="418" t="s">
        <v>12</v>
      </c>
      <c r="Z677" s="419"/>
      <c r="AA677" s="183" t="str">
        <f>14&amp;"/"&amp;AB5</f>
        <v>14/14</v>
      </c>
    </row>
    <row r="678" spans="1:56" ht="14.25" customHeight="1">
      <c r="A678" s="357"/>
      <c r="B678" s="215" t="s">
        <v>281</v>
      </c>
      <c r="C678" s="215"/>
      <c r="D678" s="162"/>
      <c r="E678" s="162"/>
      <c r="F678" s="163"/>
      <c r="G678" s="163"/>
      <c r="H678" s="163"/>
      <c r="I678" s="163"/>
      <c r="J678" s="163"/>
      <c r="K678" s="163"/>
      <c r="L678" s="163"/>
      <c r="M678" s="163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  <c r="AA678" s="358"/>
      <c r="BD678" s="254"/>
    </row>
    <row r="679" spans="1:56" ht="14.25" customHeight="1">
      <c r="A679" s="357"/>
      <c r="B679" s="162"/>
      <c r="C679" s="162"/>
      <c r="D679" s="162" t="s">
        <v>277</v>
      </c>
      <c r="E679" s="162"/>
      <c r="F679" s="163"/>
      <c r="G679" s="163"/>
      <c r="H679" s="163"/>
      <c r="I679" s="163"/>
      <c r="J679" s="163"/>
      <c r="K679" s="163"/>
      <c r="L679" s="163"/>
      <c r="M679" s="163"/>
      <c r="N679" s="162"/>
      <c r="O679" s="162"/>
      <c r="P679" s="162"/>
      <c r="Q679" s="162"/>
      <c r="R679" s="162" t="s">
        <v>142</v>
      </c>
      <c r="S679" s="497">
        <f>BC67</f>
        <v>20</v>
      </c>
      <c r="T679" s="498"/>
      <c r="U679" s="499"/>
      <c r="V679" s="162" t="s">
        <v>187</v>
      </c>
      <c r="W679" s="162"/>
      <c r="X679" s="162"/>
      <c r="Y679" s="162"/>
      <c r="Z679" s="162"/>
      <c r="AA679" s="358"/>
      <c r="BD679" s="254"/>
    </row>
    <row r="680" spans="1:56" ht="14.25" customHeight="1">
      <c r="A680" s="357"/>
      <c r="B680" s="162"/>
      <c r="C680" s="162"/>
      <c r="D680" s="162"/>
      <c r="E680" s="162"/>
      <c r="F680" s="163"/>
      <c r="G680" s="163"/>
      <c r="H680" s="163"/>
      <c r="I680" s="163"/>
      <c r="J680" s="163"/>
      <c r="K680" s="163"/>
      <c r="L680" s="163"/>
      <c r="M680" s="163"/>
      <c r="N680" s="162"/>
      <c r="O680" s="162"/>
      <c r="P680" s="162"/>
      <c r="Q680" s="162"/>
      <c r="R680" s="162"/>
      <c r="S680" s="497"/>
      <c r="T680" s="498"/>
      <c r="U680" s="499"/>
      <c r="V680" s="162"/>
      <c r="W680" s="162"/>
      <c r="X680" s="162"/>
      <c r="Y680" s="162"/>
      <c r="Z680" s="162"/>
      <c r="AA680" s="358"/>
      <c r="BD680" s="254"/>
    </row>
    <row r="681" spans="1:56" ht="14.25" customHeight="1">
      <c r="A681" s="357"/>
      <c r="B681" s="162"/>
      <c r="C681" s="162"/>
      <c r="D681" s="162"/>
      <c r="E681" s="162"/>
      <c r="F681" s="163"/>
      <c r="G681" s="163"/>
      <c r="H681" s="163"/>
      <c r="I681" s="163"/>
      <c r="J681" s="163"/>
      <c r="K681" s="163"/>
      <c r="L681" s="163"/>
      <c r="M681" s="163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  <c r="AA681" s="358"/>
      <c r="BD681" s="254"/>
    </row>
    <row r="682" spans="1:56" ht="14.25" customHeight="1">
      <c r="A682" s="357"/>
      <c r="B682" s="162"/>
      <c r="C682" s="162"/>
      <c r="D682" s="162"/>
      <c r="E682" s="162"/>
      <c r="F682" s="163"/>
      <c r="G682" s="163"/>
      <c r="H682" s="163"/>
      <c r="I682" s="163"/>
      <c r="J682" s="163"/>
      <c r="K682" s="163"/>
      <c r="L682" s="163"/>
      <c r="M682" s="163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  <c r="AA682" s="358"/>
      <c r="BD682" s="254"/>
    </row>
    <row r="683" spans="1:56" ht="14.25" customHeight="1">
      <c r="A683" s="357"/>
      <c r="B683" s="162"/>
      <c r="C683" s="162"/>
      <c r="D683" s="162"/>
      <c r="E683" s="162"/>
      <c r="F683" s="163"/>
      <c r="G683" s="163"/>
      <c r="H683" s="163"/>
      <c r="I683" s="163"/>
      <c r="J683" s="163"/>
      <c r="K683" s="163"/>
      <c r="L683" s="163"/>
      <c r="M683" s="163"/>
      <c r="N683" s="162"/>
      <c r="O683" s="162"/>
      <c r="P683" s="162"/>
      <c r="Q683" s="329"/>
      <c r="R683" s="162"/>
      <c r="S683" s="162"/>
      <c r="T683" s="497"/>
      <c r="U683" s="501"/>
      <c r="V683" s="502"/>
      <c r="W683" s="162"/>
      <c r="X683" s="162"/>
      <c r="Y683" s="162"/>
      <c r="Z683" s="162"/>
      <c r="AA683" s="358"/>
      <c r="BD683" s="254"/>
    </row>
    <row r="684" spans="1:56" ht="14.25" customHeight="1">
      <c r="A684" s="357"/>
      <c r="B684" s="162"/>
      <c r="C684" s="162"/>
      <c r="D684" s="162"/>
      <c r="E684" s="162"/>
      <c r="F684" s="163"/>
      <c r="G684" s="163"/>
      <c r="H684" s="163"/>
      <c r="I684" s="163"/>
      <c r="J684" s="163"/>
      <c r="K684" s="163"/>
      <c r="L684" s="163"/>
      <c r="M684" s="163"/>
      <c r="N684" s="162"/>
      <c r="O684" s="162"/>
      <c r="P684" s="162"/>
      <c r="Q684" s="329"/>
      <c r="R684" s="162"/>
      <c r="S684" s="162"/>
      <c r="T684" s="497"/>
      <c r="U684" s="501"/>
      <c r="V684" s="502"/>
      <c r="W684" s="162"/>
      <c r="X684" s="162"/>
      <c r="Y684" s="162"/>
      <c r="Z684" s="162"/>
      <c r="AA684" s="358"/>
      <c r="BD684" s="254"/>
    </row>
    <row r="685" spans="1:56" ht="14.25" customHeight="1">
      <c r="A685" s="357"/>
      <c r="B685" s="166"/>
      <c r="C685" s="162"/>
      <c r="D685" s="162"/>
      <c r="E685" s="162"/>
      <c r="F685" s="163"/>
      <c r="G685" s="163"/>
      <c r="H685" s="163"/>
      <c r="I685" s="163"/>
      <c r="J685" s="163"/>
      <c r="K685" s="163"/>
      <c r="L685" s="163"/>
      <c r="M685" s="163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  <c r="AA685" s="358"/>
      <c r="BD685" s="254"/>
    </row>
    <row r="686" spans="1:56" ht="14.25" customHeight="1">
      <c r="A686" s="357"/>
      <c r="B686" s="162"/>
      <c r="C686" s="162"/>
      <c r="D686" s="162"/>
      <c r="E686" s="162"/>
      <c r="F686" s="163"/>
      <c r="G686" s="163"/>
      <c r="H686" s="163"/>
      <c r="I686" s="163"/>
      <c r="J686" s="163"/>
      <c r="K686" s="163"/>
      <c r="L686" s="163"/>
      <c r="M686" s="163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  <c r="AA686" s="358"/>
      <c r="BD686" s="254"/>
    </row>
    <row r="687" spans="1:56" ht="14.25" customHeight="1">
      <c r="A687" s="357"/>
      <c r="B687" s="162"/>
      <c r="C687" s="162"/>
      <c r="D687" s="162"/>
      <c r="E687" s="162"/>
      <c r="F687" s="163"/>
      <c r="G687" s="163"/>
      <c r="H687" s="163"/>
      <c r="I687" s="163"/>
      <c r="J687" s="163"/>
      <c r="K687" s="163"/>
      <c r="L687" s="163"/>
      <c r="M687" s="163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  <c r="AA687" s="358"/>
      <c r="BD687" s="254"/>
    </row>
    <row r="688" spans="1:56" ht="14.25" customHeight="1">
      <c r="A688" s="357"/>
      <c r="B688" s="162"/>
      <c r="C688" s="162"/>
      <c r="D688" s="162"/>
      <c r="E688" s="162"/>
      <c r="F688" s="163"/>
      <c r="G688" s="163"/>
      <c r="H688" s="163"/>
      <c r="I688" s="163"/>
      <c r="J688" s="163"/>
      <c r="K688" s="163"/>
      <c r="L688" s="163"/>
      <c r="M688" s="163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  <c r="AA688" s="358"/>
      <c r="BD688" s="254"/>
    </row>
    <row r="689" spans="1:56" ht="14.25" customHeight="1">
      <c r="A689" s="357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  <c r="AA689" s="358"/>
      <c r="BD689" s="254"/>
    </row>
    <row r="690" spans="1:56" ht="14.25" customHeight="1">
      <c r="A690" s="357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  <c r="AA690" s="358"/>
    </row>
    <row r="691" spans="1:56" ht="14.25" customHeight="1">
      <c r="A691" s="357"/>
      <c r="B691" s="162"/>
      <c r="C691" s="162"/>
      <c r="D691" s="162"/>
      <c r="E691" s="162"/>
      <c r="F691" s="163"/>
      <c r="G691" s="163"/>
      <c r="H691" s="163"/>
      <c r="I691" s="163"/>
      <c r="J691" s="163"/>
      <c r="K691" s="163"/>
      <c r="L691" s="163"/>
      <c r="M691" s="163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  <c r="AA691" s="358"/>
    </row>
    <row r="692" spans="1:56" ht="14.25" customHeight="1">
      <c r="A692" s="357"/>
      <c r="B692" s="162"/>
      <c r="C692" s="162"/>
      <c r="D692" s="162"/>
      <c r="E692" s="162"/>
      <c r="F692" s="163"/>
      <c r="G692" s="163"/>
      <c r="H692" s="163"/>
      <c r="I692" s="163"/>
      <c r="J692" s="163"/>
      <c r="K692" s="163"/>
      <c r="L692" s="163"/>
      <c r="M692" s="163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  <c r="AA692" s="358"/>
    </row>
    <row r="693" spans="1:56" ht="14.25" customHeight="1">
      <c r="A693" s="357"/>
      <c r="B693" s="215"/>
      <c r="C693" s="215"/>
      <c r="D693" s="162"/>
      <c r="E693" s="162"/>
      <c r="F693" s="163"/>
      <c r="G693" s="163"/>
      <c r="H693" s="163"/>
      <c r="I693" s="163"/>
      <c r="J693" s="163"/>
      <c r="K693" s="163"/>
      <c r="L693" s="163"/>
      <c r="M693" s="163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  <c r="AA693" s="358"/>
    </row>
    <row r="694" spans="1:56" ht="14.25" customHeight="1">
      <c r="A694" s="162"/>
      <c r="B694" s="215"/>
      <c r="C694" s="215"/>
      <c r="D694" s="162"/>
      <c r="E694" s="162"/>
      <c r="F694" s="163"/>
      <c r="G694" s="163"/>
      <c r="H694" s="163"/>
      <c r="I694" s="163"/>
      <c r="J694" s="163"/>
      <c r="K694" s="163"/>
      <c r="L694" s="163"/>
      <c r="M694" s="163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  <c r="AA694" s="162"/>
    </row>
    <row r="695" spans="1:56" ht="14.25" customHeight="1">
      <c r="A695" s="162"/>
      <c r="B695" s="162"/>
      <c r="C695" s="162"/>
      <c r="D695" s="162"/>
      <c r="E695" s="162"/>
      <c r="F695" s="163"/>
      <c r="G695" s="163"/>
      <c r="H695" s="163"/>
      <c r="I695" s="163"/>
      <c r="J695" s="163"/>
      <c r="K695" s="163"/>
      <c r="L695" s="163"/>
      <c r="M695" s="163"/>
      <c r="N695" s="162"/>
      <c r="O695" s="162"/>
      <c r="P695" s="162"/>
      <c r="Q695" s="162"/>
      <c r="R695" s="162"/>
      <c r="S695" s="497"/>
      <c r="T695" s="498"/>
      <c r="U695" s="499"/>
      <c r="V695" s="162"/>
      <c r="W695" s="162"/>
      <c r="X695" s="162"/>
      <c r="Y695" s="162"/>
      <c r="Z695" s="162"/>
      <c r="AA695" s="162"/>
    </row>
    <row r="696" spans="1:56" ht="14.25" customHeight="1">
      <c r="A696" s="162"/>
      <c r="B696" s="162"/>
      <c r="C696" s="162"/>
      <c r="D696" s="162"/>
      <c r="E696" s="162"/>
      <c r="F696" s="163"/>
      <c r="G696" s="163"/>
      <c r="H696" s="163"/>
      <c r="I696" s="163"/>
      <c r="J696" s="163"/>
      <c r="K696" s="163"/>
      <c r="L696" s="163"/>
      <c r="M696" s="163"/>
      <c r="N696" s="162"/>
      <c r="O696" s="162"/>
      <c r="P696" s="162"/>
      <c r="Q696" s="162"/>
      <c r="R696" s="162"/>
      <c r="S696" s="497"/>
      <c r="T696" s="498"/>
      <c r="U696" s="499"/>
      <c r="V696" s="162"/>
      <c r="W696" s="162"/>
      <c r="X696" s="162"/>
      <c r="Y696" s="162"/>
      <c r="Z696" s="162"/>
      <c r="AA696" s="162"/>
    </row>
    <row r="697" spans="1:56" ht="14.25" customHeight="1">
      <c r="A697" s="162"/>
      <c r="B697" s="162"/>
      <c r="C697" s="162"/>
      <c r="D697" s="162"/>
      <c r="E697" s="162"/>
      <c r="F697" s="163"/>
      <c r="G697" s="163"/>
      <c r="H697" s="163"/>
      <c r="I697" s="163"/>
      <c r="J697" s="163"/>
      <c r="K697" s="163"/>
      <c r="L697" s="163"/>
      <c r="M697" s="163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  <c r="AA697" s="162"/>
    </row>
    <row r="698" spans="1:56" ht="14.25" customHeight="1">
      <c r="A698" s="162"/>
      <c r="B698" s="162"/>
      <c r="C698" s="162"/>
      <c r="D698" s="162"/>
      <c r="E698" s="162"/>
      <c r="F698" s="163"/>
      <c r="G698" s="163"/>
      <c r="H698" s="163"/>
      <c r="I698" s="163"/>
      <c r="J698" s="163"/>
      <c r="K698" s="163"/>
      <c r="L698" s="163"/>
      <c r="M698" s="163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</row>
    <row r="699" spans="1:56" ht="14.25" customHeight="1">
      <c r="A699" s="162"/>
      <c r="B699" s="162"/>
      <c r="C699" s="162"/>
      <c r="D699" s="162"/>
      <c r="E699" s="162"/>
      <c r="F699" s="163"/>
      <c r="G699" s="163"/>
      <c r="H699" s="163"/>
      <c r="I699" s="163"/>
      <c r="J699" s="163"/>
      <c r="K699" s="163"/>
      <c r="L699" s="163"/>
      <c r="M699" s="163"/>
      <c r="N699" s="162"/>
      <c r="O699" s="162"/>
      <c r="P699" s="162"/>
      <c r="Q699" s="329"/>
      <c r="R699" s="162"/>
      <c r="S699" s="162"/>
      <c r="T699" s="162"/>
      <c r="U699" s="162"/>
      <c r="V699" s="162"/>
      <c r="W699" s="162"/>
      <c r="X699" s="162"/>
      <c r="Y699" s="162"/>
      <c r="Z699" s="162"/>
      <c r="AA699" s="162"/>
    </row>
    <row r="700" spans="1:56" ht="14.25" customHeight="1">
      <c r="A700" s="162"/>
      <c r="B700" s="162"/>
      <c r="C700" s="162"/>
      <c r="D700" s="162"/>
      <c r="E700" s="162"/>
      <c r="F700" s="163"/>
      <c r="G700" s="163"/>
      <c r="H700" s="163"/>
      <c r="I700" s="163"/>
      <c r="J700" s="163"/>
      <c r="K700" s="163"/>
      <c r="L700" s="163"/>
      <c r="M700" s="163"/>
      <c r="N700" s="162"/>
      <c r="O700" s="162"/>
      <c r="P700" s="162"/>
      <c r="Q700" s="329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</row>
    <row r="701" spans="1:56" ht="14.25" customHeight="1">
      <c r="A701" s="162"/>
      <c r="B701" s="166"/>
      <c r="C701" s="162"/>
      <c r="D701" s="162"/>
      <c r="E701" s="162"/>
      <c r="F701" s="163"/>
      <c r="G701" s="163"/>
      <c r="H701" s="163"/>
      <c r="I701" s="163"/>
      <c r="J701" s="163"/>
      <c r="K701" s="163"/>
      <c r="L701" s="163"/>
      <c r="M701" s="163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  <c r="AA701" s="162"/>
    </row>
    <row r="702" spans="1:56" ht="14.25" customHeight="1">
      <c r="A702" s="162"/>
      <c r="B702" s="162"/>
      <c r="C702" s="162"/>
      <c r="D702" s="162"/>
      <c r="E702" s="162"/>
      <c r="F702" s="163"/>
      <c r="G702" s="163"/>
      <c r="H702" s="163"/>
      <c r="I702" s="163"/>
      <c r="J702" s="163"/>
      <c r="K702" s="163"/>
      <c r="L702" s="163"/>
      <c r="M702" s="163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</row>
    <row r="703" spans="1:56" ht="14.25" customHeight="1">
      <c r="A703" s="162"/>
      <c r="B703" s="162"/>
      <c r="C703" s="162"/>
      <c r="D703" s="162"/>
      <c r="E703" s="162"/>
      <c r="F703" s="163"/>
      <c r="G703" s="163"/>
      <c r="H703" s="163"/>
      <c r="I703" s="163"/>
      <c r="J703" s="163"/>
      <c r="K703" s="163"/>
      <c r="L703" s="163"/>
      <c r="M703" s="163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</row>
    <row r="704" spans="1:56" ht="14.25" customHeight="1">
      <c r="A704" s="162"/>
      <c r="B704" s="162"/>
      <c r="C704" s="162"/>
      <c r="D704" s="162"/>
      <c r="E704" s="162"/>
      <c r="F704" s="163"/>
      <c r="G704" s="163"/>
      <c r="H704" s="163"/>
      <c r="I704" s="163"/>
      <c r="J704" s="163"/>
      <c r="K704" s="163"/>
      <c r="L704" s="163"/>
      <c r="M704" s="163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</row>
    <row r="705" spans="1:27" ht="14.25" customHeight="1">
      <c r="A705" s="357"/>
      <c r="B705" s="215"/>
      <c r="C705" s="215"/>
      <c r="D705" s="162"/>
      <c r="E705" s="162"/>
      <c r="F705" s="163"/>
      <c r="G705" s="163"/>
      <c r="H705" s="163"/>
      <c r="I705" s="163"/>
      <c r="J705" s="163"/>
      <c r="K705" s="163"/>
      <c r="L705" s="163"/>
      <c r="M705" s="163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  <c r="AA705" s="358"/>
    </row>
    <row r="706" spans="1:27" ht="14.25" customHeight="1">
      <c r="A706" s="357"/>
      <c r="B706" s="162"/>
      <c r="C706" s="162"/>
      <c r="D706" s="162"/>
      <c r="E706" s="162"/>
      <c r="F706" s="163"/>
      <c r="G706" s="163"/>
      <c r="H706" s="163"/>
      <c r="I706" s="163"/>
      <c r="J706" s="163"/>
      <c r="K706" s="163"/>
      <c r="L706" s="163"/>
      <c r="M706" s="163"/>
      <c r="N706" s="162"/>
      <c r="O706" s="162"/>
      <c r="P706" s="162"/>
      <c r="Q706" s="162"/>
      <c r="R706" s="162"/>
      <c r="S706" s="497"/>
      <c r="T706" s="498"/>
      <c r="U706" s="499"/>
      <c r="V706" s="162"/>
      <c r="W706" s="162"/>
      <c r="X706" s="162"/>
      <c r="Y706" s="162"/>
      <c r="Z706" s="162"/>
      <c r="AA706" s="358"/>
    </row>
    <row r="707" spans="1:27" ht="14.25" customHeight="1">
      <c r="A707" s="357"/>
      <c r="B707" s="162"/>
      <c r="C707" s="162"/>
      <c r="D707" s="162"/>
      <c r="E707" s="162"/>
      <c r="F707" s="163"/>
      <c r="G707" s="163"/>
      <c r="H707" s="163"/>
      <c r="I707" s="163"/>
      <c r="J707" s="163"/>
      <c r="K707" s="163"/>
      <c r="L707" s="163"/>
      <c r="M707" s="163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  <c r="AA707" s="358"/>
    </row>
    <row r="708" spans="1:27" ht="14.25" customHeight="1">
      <c r="A708" s="357"/>
      <c r="B708" s="162"/>
      <c r="C708" s="162"/>
      <c r="D708" s="162"/>
      <c r="E708" s="162"/>
      <c r="F708" s="163"/>
      <c r="G708" s="163"/>
      <c r="H708" s="163"/>
      <c r="I708" s="163"/>
      <c r="J708" s="163"/>
      <c r="K708" s="163"/>
      <c r="L708" s="163"/>
      <c r="M708" s="163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  <c r="AA708" s="358"/>
    </row>
    <row r="709" spans="1:27" ht="14.25" customHeight="1">
      <c r="A709" s="357"/>
      <c r="B709" s="162"/>
      <c r="C709" s="162"/>
      <c r="D709" s="162"/>
      <c r="E709" s="162"/>
      <c r="F709" s="163"/>
      <c r="G709" s="163"/>
      <c r="H709" s="163"/>
      <c r="I709" s="163"/>
      <c r="J709" s="163"/>
      <c r="K709" s="163"/>
      <c r="L709" s="163"/>
      <c r="M709" s="163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  <c r="AA709" s="358"/>
    </row>
    <row r="710" spans="1:27" ht="14.25" customHeight="1">
      <c r="A710" s="357"/>
      <c r="B710" s="162"/>
      <c r="C710" s="162"/>
      <c r="D710" s="162"/>
      <c r="E710" s="162"/>
      <c r="F710" s="163"/>
      <c r="G710" s="163"/>
      <c r="H710" s="163"/>
      <c r="I710" s="163"/>
      <c r="J710" s="163"/>
      <c r="K710" s="163"/>
      <c r="L710" s="163"/>
      <c r="M710" s="163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  <c r="AA710" s="358"/>
    </row>
    <row r="711" spans="1:27" ht="14.25" customHeight="1">
      <c r="A711" s="357"/>
      <c r="B711" s="162"/>
      <c r="C711" s="162"/>
      <c r="D711" s="162"/>
      <c r="E711" s="162"/>
      <c r="F711" s="163"/>
      <c r="G711" s="163"/>
      <c r="H711" s="163"/>
      <c r="I711" s="163"/>
      <c r="J711" s="163"/>
      <c r="K711" s="163"/>
      <c r="L711" s="163"/>
      <c r="M711" s="163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  <c r="AA711" s="358"/>
    </row>
    <row r="712" spans="1:27" ht="14.25" customHeight="1">
      <c r="A712" s="357"/>
      <c r="B712" s="162"/>
      <c r="C712" s="162"/>
      <c r="D712" s="162"/>
      <c r="E712" s="162"/>
      <c r="F712" s="163"/>
      <c r="G712" s="163"/>
      <c r="H712" s="163"/>
      <c r="I712" s="163"/>
      <c r="J712" s="163"/>
      <c r="K712" s="163"/>
      <c r="L712" s="163"/>
      <c r="M712" s="163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  <c r="AA712" s="358"/>
    </row>
    <row r="713" spans="1:27" ht="14.25" customHeight="1">
      <c r="A713" s="357"/>
      <c r="B713" s="162"/>
      <c r="C713" s="162"/>
      <c r="D713" s="162"/>
      <c r="E713" s="162"/>
      <c r="F713" s="163"/>
      <c r="G713" s="163"/>
      <c r="H713" s="163"/>
      <c r="I713" s="163"/>
      <c r="J713" s="163"/>
      <c r="K713" s="163"/>
      <c r="L713" s="163"/>
      <c r="M713" s="163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  <c r="AA713" s="358"/>
    </row>
    <row r="714" spans="1:27" ht="14.25" customHeight="1">
      <c r="A714" s="357"/>
      <c r="B714" s="162"/>
      <c r="C714" s="162"/>
      <c r="D714" s="162"/>
      <c r="E714" s="162"/>
      <c r="F714" s="163"/>
      <c r="G714" s="163"/>
      <c r="H714" s="163"/>
      <c r="I714" s="163"/>
      <c r="J714" s="163"/>
      <c r="K714" s="163"/>
      <c r="L714" s="163"/>
      <c r="M714" s="163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  <c r="AA714" s="358"/>
    </row>
    <row r="715" spans="1:27" ht="14.25" customHeight="1">
      <c r="A715" s="357"/>
      <c r="B715" s="162"/>
      <c r="C715" s="162"/>
      <c r="D715" s="162"/>
      <c r="E715" s="162"/>
      <c r="F715" s="163"/>
      <c r="G715" s="163"/>
      <c r="H715" s="163"/>
      <c r="I715" s="163"/>
      <c r="J715" s="163"/>
      <c r="K715" s="163"/>
      <c r="L715" s="163"/>
      <c r="M715" s="163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  <c r="AA715" s="358"/>
    </row>
    <row r="716" spans="1:27" ht="14.25" customHeight="1">
      <c r="A716" s="357"/>
      <c r="B716" s="162"/>
      <c r="C716" s="162"/>
      <c r="D716" s="162"/>
      <c r="E716" s="162"/>
      <c r="F716" s="163"/>
      <c r="G716" s="163"/>
      <c r="H716" s="163"/>
      <c r="I716" s="163"/>
      <c r="J716" s="163"/>
      <c r="K716" s="163"/>
      <c r="L716" s="163"/>
      <c r="M716" s="163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  <c r="AA716" s="358"/>
    </row>
    <row r="717" spans="1:27" ht="14.25" customHeight="1">
      <c r="A717" s="357"/>
      <c r="B717" s="162"/>
      <c r="C717" s="162"/>
      <c r="D717" s="162"/>
      <c r="E717" s="162"/>
      <c r="F717" s="163"/>
      <c r="G717" s="163"/>
      <c r="H717" s="163"/>
      <c r="I717" s="163"/>
      <c r="J717" s="163"/>
      <c r="K717" s="163"/>
      <c r="L717" s="163"/>
      <c r="M717" s="163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  <c r="AA717" s="358"/>
    </row>
    <row r="718" spans="1:27" ht="14.25" customHeight="1">
      <c r="A718" s="357"/>
      <c r="B718" s="162"/>
      <c r="C718" s="162"/>
      <c r="D718" s="162"/>
      <c r="E718" s="162"/>
      <c r="F718" s="163"/>
      <c r="G718" s="163"/>
      <c r="H718" s="163"/>
      <c r="I718" s="163"/>
      <c r="J718" s="163"/>
      <c r="K718" s="163"/>
      <c r="L718" s="163"/>
      <c r="M718" s="163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  <c r="AA718" s="358"/>
    </row>
    <row r="719" spans="1:27" ht="14.25" customHeight="1">
      <c r="A719" s="357"/>
      <c r="B719" s="162"/>
      <c r="C719" s="162"/>
      <c r="D719" s="162"/>
      <c r="E719" s="162"/>
      <c r="F719" s="163"/>
      <c r="G719" s="163"/>
      <c r="H719" s="163"/>
      <c r="I719" s="163"/>
      <c r="J719" s="163"/>
      <c r="K719" s="163"/>
      <c r="L719" s="163"/>
      <c r="M719" s="163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  <c r="AA719" s="358"/>
    </row>
    <row r="720" spans="1:27" ht="14.25" customHeight="1">
      <c r="A720" s="357"/>
      <c r="B720" s="162"/>
      <c r="C720" s="162"/>
      <c r="D720" s="162"/>
      <c r="E720" s="162"/>
      <c r="F720" s="163"/>
      <c r="G720" s="163"/>
      <c r="H720" s="163"/>
      <c r="I720" s="163"/>
      <c r="J720" s="163"/>
      <c r="K720" s="163"/>
      <c r="L720" s="163"/>
      <c r="M720" s="163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  <c r="AA720" s="358"/>
    </row>
    <row r="721" spans="1:27" ht="14.25" customHeight="1">
      <c r="A721" s="357"/>
      <c r="B721" s="162"/>
      <c r="C721" s="162"/>
      <c r="D721" s="162"/>
      <c r="E721" s="162"/>
      <c r="F721" s="163"/>
      <c r="G721" s="163"/>
      <c r="H721" s="163"/>
      <c r="I721" s="163"/>
      <c r="J721" s="163"/>
      <c r="K721" s="163"/>
      <c r="L721" s="163"/>
      <c r="M721" s="163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  <c r="AA721" s="358"/>
    </row>
    <row r="722" spans="1:27" ht="14.25" customHeight="1">
      <c r="A722" s="357"/>
      <c r="B722" s="162"/>
      <c r="C722" s="162"/>
      <c r="D722" s="162"/>
      <c r="E722" s="162"/>
      <c r="F722" s="163"/>
      <c r="G722" s="163"/>
      <c r="H722" s="163"/>
      <c r="I722" s="163"/>
      <c r="J722" s="163"/>
      <c r="K722" s="163"/>
      <c r="L722" s="163"/>
      <c r="M722" s="163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  <c r="AA722" s="358"/>
    </row>
    <row r="723" spans="1:27" ht="14.25" customHeight="1">
      <c r="A723" s="357"/>
      <c r="B723" s="162"/>
      <c r="C723" s="162"/>
      <c r="D723" s="162"/>
      <c r="E723" s="162"/>
      <c r="F723" s="163"/>
      <c r="G723" s="163"/>
      <c r="H723" s="163"/>
      <c r="I723" s="163"/>
      <c r="J723" s="163"/>
      <c r="K723" s="163"/>
      <c r="L723" s="163"/>
      <c r="M723" s="163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  <c r="AA723" s="358"/>
    </row>
    <row r="724" spans="1:27" ht="14.25" customHeight="1">
      <c r="A724" s="162"/>
      <c r="B724" s="162"/>
      <c r="C724" s="162"/>
      <c r="D724" s="162"/>
      <c r="E724" s="162"/>
      <c r="F724" s="163"/>
      <c r="G724" s="163"/>
      <c r="H724" s="163"/>
      <c r="I724" s="163"/>
      <c r="J724" s="163"/>
      <c r="K724" s="163"/>
      <c r="L724" s="163"/>
      <c r="M724" s="163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  <c r="AA724" s="162"/>
    </row>
    <row r="725" spans="1:27" ht="14.25" customHeight="1">
      <c r="A725" s="162"/>
      <c r="B725" s="162"/>
      <c r="C725" s="162"/>
      <c r="D725" s="162"/>
      <c r="E725" s="162"/>
      <c r="F725" s="163"/>
      <c r="G725" s="163"/>
      <c r="H725" s="163"/>
      <c r="I725" s="163"/>
      <c r="J725" s="163"/>
      <c r="K725" s="163"/>
      <c r="L725" s="163"/>
      <c r="M725" s="163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  <c r="AA725" s="162"/>
    </row>
    <row r="726" spans="1:27" ht="14.25" customHeight="1">
      <c r="A726" s="162"/>
      <c r="B726" s="162"/>
      <c r="C726" s="162"/>
      <c r="D726" s="162"/>
      <c r="E726" s="162"/>
      <c r="F726" s="163"/>
      <c r="G726" s="163"/>
      <c r="H726" s="163"/>
      <c r="I726" s="163"/>
      <c r="J726" s="163"/>
      <c r="K726" s="163"/>
      <c r="L726" s="163"/>
      <c r="M726" s="163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  <c r="AA726" s="162"/>
    </row>
    <row r="727" spans="1:27" ht="14.25" customHeight="1">
      <c r="A727" s="162"/>
      <c r="B727" s="162"/>
      <c r="C727" s="162"/>
      <c r="D727" s="162"/>
      <c r="E727" s="162"/>
      <c r="F727" s="163"/>
      <c r="G727" s="163"/>
      <c r="H727" s="163"/>
      <c r="I727" s="163"/>
      <c r="J727" s="163"/>
      <c r="K727" s="163"/>
      <c r="L727" s="163"/>
      <c r="M727" s="163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  <c r="AA727" s="162"/>
    </row>
    <row r="728" spans="1:27" ht="14.25" customHeight="1">
      <c r="A728" s="162"/>
      <c r="B728" s="162"/>
      <c r="C728" s="162"/>
      <c r="D728" s="162"/>
      <c r="E728" s="162"/>
      <c r="F728" s="163"/>
      <c r="G728" s="163"/>
      <c r="H728" s="163"/>
      <c r="I728" s="163"/>
      <c r="J728" s="163"/>
      <c r="K728" s="163"/>
      <c r="L728" s="163"/>
      <c r="M728" s="163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</row>
    <row r="729" spans="1:27" ht="14.25" customHeight="1">
      <c r="A729" s="162"/>
      <c r="B729" s="162"/>
      <c r="C729" s="162"/>
      <c r="D729" s="162"/>
      <c r="E729" s="162"/>
      <c r="F729" s="163"/>
      <c r="G729" s="163"/>
      <c r="H729" s="163"/>
      <c r="I729" s="163"/>
      <c r="J729" s="163"/>
      <c r="K729" s="163"/>
      <c r="L729" s="163"/>
      <c r="M729" s="163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  <c r="AA729" s="162"/>
    </row>
    <row r="730" spans="1:27" ht="14.25" customHeight="1">
      <c r="A730" s="162"/>
      <c r="B730" s="162"/>
      <c r="C730" s="162"/>
      <c r="D730" s="162"/>
      <c r="E730" s="162"/>
      <c r="F730" s="163"/>
      <c r="G730" s="163"/>
      <c r="H730" s="163"/>
      <c r="I730" s="163"/>
      <c r="J730" s="163"/>
      <c r="K730" s="163"/>
      <c r="L730" s="163"/>
      <c r="M730" s="163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  <c r="AA730" s="162"/>
    </row>
    <row r="731" spans="1:27" ht="14.25" customHeight="1">
      <c r="A731" s="162"/>
      <c r="B731" s="162"/>
      <c r="C731" s="162"/>
      <c r="D731" s="162"/>
      <c r="E731" s="162"/>
      <c r="F731" s="163"/>
      <c r="G731" s="163"/>
      <c r="H731" s="163"/>
      <c r="I731" s="163"/>
      <c r="J731" s="163"/>
      <c r="K731" s="163"/>
      <c r="L731" s="163"/>
      <c r="M731" s="163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  <c r="AA731" s="162"/>
    </row>
    <row r="732" spans="1:27" ht="14.25" customHeight="1">
      <c r="A732" s="162"/>
      <c r="B732" s="162"/>
      <c r="C732" s="162"/>
      <c r="D732" s="162"/>
      <c r="E732" s="162"/>
      <c r="F732" s="163"/>
      <c r="G732" s="163"/>
      <c r="H732" s="163"/>
      <c r="I732" s="163"/>
      <c r="J732" s="163"/>
      <c r="K732" s="163"/>
      <c r="L732" s="163"/>
      <c r="M732" s="163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  <c r="AA732" s="162"/>
    </row>
    <row r="733" spans="1:27" ht="14.25" customHeight="1">
      <c r="A733" s="162"/>
      <c r="B733" s="162"/>
      <c r="C733" s="162"/>
      <c r="D733" s="162"/>
      <c r="E733" s="162"/>
      <c r="F733" s="163"/>
      <c r="G733" s="163"/>
      <c r="H733" s="163"/>
      <c r="I733" s="163"/>
      <c r="J733" s="163"/>
      <c r="K733" s="163"/>
      <c r="L733" s="163"/>
      <c r="M733" s="163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  <c r="AA733" s="162"/>
    </row>
    <row r="734" spans="1:27" ht="14.25" customHeight="1">
      <c r="A734" s="162"/>
      <c r="B734" s="162"/>
      <c r="C734" s="162"/>
      <c r="D734" s="162"/>
      <c r="E734" s="162"/>
      <c r="F734" s="163"/>
      <c r="G734" s="163"/>
      <c r="H734" s="163"/>
      <c r="I734" s="163"/>
      <c r="J734" s="163"/>
      <c r="K734" s="163"/>
      <c r="L734" s="163"/>
      <c r="M734" s="163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  <c r="AA734" s="162"/>
    </row>
    <row r="735" spans="1:27" ht="14.25" customHeight="1">
      <c r="A735" s="162"/>
      <c r="B735" s="162"/>
      <c r="C735" s="162"/>
      <c r="D735" s="162"/>
      <c r="E735" s="162"/>
      <c r="F735" s="163"/>
      <c r="G735" s="163"/>
      <c r="H735" s="163"/>
      <c r="I735" s="163"/>
      <c r="J735" s="163"/>
      <c r="K735" s="163"/>
      <c r="L735" s="163"/>
      <c r="M735" s="163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  <c r="AA735" s="162"/>
    </row>
    <row r="736" spans="1:27" ht="14.25" customHeight="1">
      <c r="A736" s="162"/>
      <c r="B736" s="162"/>
      <c r="C736" s="162"/>
      <c r="D736" s="162"/>
      <c r="E736" s="162"/>
      <c r="F736" s="163"/>
      <c r="G736" s="163"/>
      <c r="H736" s="163"/>
      <c r="I736" s="163"/>
      <c r="J736" s="163"/>
      <c r="K736" s="163"/>
      <c r="L736" s="163"/>
      <c r="M736" s="163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  <c r="AA736" s="162"/>
    </row>
    <row r="737" spans="1:27" ht="14.25" customHeight="1">
      <c r="A737" s="162"/>
      <c r="B737" s="162"/>
      <c r="C737" s="162"/>
      <c r="D737" s="162"/>
      <c r="E737" s="162"/>
      <c r="F737" s="163"/>
      <c r="G737" s="163"/>
      <c r="H737" s="163"/>
      <c r="I737" s="163"/>
      <c r="J737" s="163"/>
      <c r="K737" s="163"/>
      <c r="L737" s="163"/>
      <c r="M737" s="163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  <c r="AA737" s="162"/>
    </row>
    <row r="738" spans="1:27" ht="14.25" customHeight="1">
      <c r="A738" s="162"/>
      <c r="B738" s="162"/>
      <c r="C738" s="162"/>
      <c r="D738" s="162"/>
      <c r="E738" s="162"/>
      <c r="F738" s="163"/>
      <c r="G738" s="163"/>
      <c r="H738" s="163"/>
      <c r="I738" s="163"/>
      <c r="J738" s="163"/>
      <c r="K738" s="163"/>
      <c r="L738" s="163"/>
      <c r="M738" s="163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  <c r="AA738" s="162"/>
    </row>
    <row r="739" spans="1:27" ht="14.25" customHeight="1">
      <c r="A739" s="162"/>
      <c r="B739" s="162"/>
      <c r="C739" s="162"/>
      <c r="D739" s="162"/>
      <c r="E739" s="162"/>
      <c r="F739" s="163"/>
      <c r="G739" s="163"/>
      <c r="H739" s="163"/>
      <c r="I739" s="163"/>
      <c r="J739" s="163"/>
      <c r="K739" s="163"/>
      <c r="L739" s="163"/>
      <c r="M739" s="163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  <c r="AA739" s="162"/>
    </row>
    <row r="740" spans="1:27" ht="14.25" customHeight="1">
      <c r="A740" s="162"/>
      <c r="B740" s="162"/>
      <c r="C740" s="162"/>
      <c r="D740" s="162"/>
      <c r="E740" s="162"/>
      <c r="F740" s="163"/>
      <c r="G740" s="163"/>
      <c r="H740" s="163"/>
      <c r="I740" s="163"/>
      <c r="J740" s="163"/>
      <c r="K740" s="163"/>
      <c r="L740" s="163"/>
      <c r="M740" s="163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  <c r="AA740" s="162"/>
    </row>
    <row r="741" spans="1:27" ht="14.25" customHeight="1">
      <c r="A741" s="162"/>
      <c r="B741" s="162"/>
      <c r="C741" s="162"/>
      <c r="D741" s="162"/>
      <c r="E741" s="162"/>
      <c r="F741" s="163"/>
      <c r="G741" s="163"/>
      <c r="H741" s="163"/>
      <c r="I741" s="163"/>
      <c r="J741" s="163"/>
      <c r="K741" s="163"/>
      <c r="L741" s="163"/>
      <c r="M741" s="163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  <c r="AA741" s="162"/>
    </row>
    <row r="742" spans="1:27" ht="14.25" customHeight="1">
      <c r="A742" s="162"/>
      <c r="B742" s="162"/>
      <c r="C742" s="162"/>
      <c r="D742" s="162"/>
      <c r="E742" s="162"/>
      <c r="F742" s="163"/>
      <c r="G742" s="163"/>
      <c r="H742" s="163"/>
      <c r="I742" s="163"/>
      <c r="J742" s="163"/>
      <c r="K742" s="163"/>
      <c r="L742" s="163"/>
      <c r="M742" s="163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  <c r="AA742" s="162"/>
    </row>
    <row r="743" spans="1:27" ht="14.25" customHeight="1">
      <c r="A743" s="162"/>
      <c r="B743" s="162"/>
      <c r="C743" s="162"/>
      <c r="D743" s="162"/>
      <c r="E743" s="162"/>
      <c r="F743" s="163"/>
      <c r="G743" s="163"/>
      <c r="H743" s="163"/>
      <c r="I743" s="163"/>
      <c r="J743" s="163"/>
      <c r="K743" s="163"/>
      <c r="L743" s="163"/>
      <c r="M743" s="163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  <c r="AA743" s="162"/>
    </row>
    <row r="744" spans="1:27" ht="14.25" customHeight="1">
      <c r="A744" s="162"/>
      <c r="B744" s="162"/>
      <c r="C744" s="162"/>
      <c r="D744" s="162"/>
      <c r="E744" s="162"/>
      <c r="F744" s="163"/>
      <c r="G744" s="163"/>
      <c r="H744" s="163"/>
      <c r="I744" s="163"/>
      <c r="J744" s="163"/>
      <c r="K744" s="163"/>
      <c r="L744" s="163"/>
      <c r="M744" s="163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  <c r="AA744" s="162"/>
    </row>
    <row r="745" spans="1:27" ht="14.25" customHeight="1">
      <c r="A745" s="162"/>
      <c r="B745" s="162"/>
      <c r="C745" s="162"/>
      <c r="D745" s="162"/>
      <c r="E745" s="162"/>
      <c r="F745" s="163"/>
      <c r="G745" s="163"/>
      <c r="H745" s="163"/>
      <c r="I745" s="163"/>
      <c r="J745" s="163"/>
      <c r="K745" s="163"/>
      <c r="L745" s="163"/>
      <c r="M745" s="163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</row>
    <row r="746" spans="1:27" ht="14.25" customHeight="1">
      <c r="A746" s="162"/>
      <c r="B746" s="162"/>
      <c r="C746" s="162"/>
      <c r="D746" s="162"/>
      <c r="E746" s="162"/>
      <c r="F746" s="163"/>
      <c r="G746" s="163"/>
      <c r="H746" s="163"/>
      <c r="I746" s="163"/>
      <c r="J746" s="163"/>
      <c r="K746" s="163"/>
      <c r="L746" s="163"/>
      <c r="M746" s="163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  <c r="AA746" s="162"/>
    </row>
    <row r="747" spans="1:27" ht="14.25" customHeight="1">
      <c r="A747" s="162"/>
      <c r="B747" s="162"/>
      <c r="C747" s="162"/>
      <c r="D747" s="162"/>
      <c r="E747" s="162"/>
      <c r="F747" s="163"/>
      <c r="G747" s="163"/>
      <c r="H747" s="163"/>
      <c r="I747" s="163"/>
      <c r="J747" s="163"/>
      <c r="K747" s="163"/>
      <c r="L747" s="163"/>
      <c r="M747" s="163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</row>
    <row r="748" spans="1:27" ht="14.25" customHeight="1">
      <c r="A748" s="162"/>
      <c r="B748" s="162"/>
      <c r="C748" s="162"/>
      <c r="D748" s="162"/>
      <c r="E748" s="162"/>
      <c r="F748" s="163"/>
      <c r="G748" s="163"/>
      <c r="H748" s="163"/>
      <c r="I748" s="163"/>
      <c r="J748" s="163"/>
      <c r="K748" s="163"/>
      <c r="L748" s="163"/>
      <c r="M748" s="163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  <c r="AA748" s="162"/>
    </row>
    <row r="749" spans="1:27" ht="14.25" customHeight="1">
      <c r="A749" s="162"/>
      <c r="B749" s="162"/>
      <c r="C749" s="162"/>
      <c r="D749" s="162"/>
      <c r="E749" s="162"/>
      <c r="F749" s="163"/>
      <c r="G749" s="163"/>
      <c r="H749" s="163"/>
      <c r="I749" s="163"/>
      <c r="J749" s="163"/>
      <c r="K749" s="163"/>
      <c r="L749" s="163"/>
      <c r="M749" s="163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  <c r="AA749" s="162"/>
    </row>
    <row r="750" spans="1:27" ht="14.25" customHeight="1">
      <c r="A750" s="162"/>
      <c r="B750" s="162"/>
      <c r="C750" s="162"/>
      <c r="D750" s="162"/>
      <c r="E750" s="162"/>
      <c r="F750" s="163"/>
      <c r="G750" s="163"/>
      <c r="H750" s="163"/>
      <c r="I750" s="163"/>
      <c r="J750" s="163"/>
      <c r="K750" s="163"/>
      <c r="L750" s="163"/>
      <c r="M750" s="163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  <c r="AA750" s="162"/>
    </row>
    <row r="751" spans="1:27" ht="14.25" customHeight="1">
      <c r="A751" s="162"/>
      <c r="B751" s="162"/>
      <c r="C751" s="162"/>
      <c r="D751" s="162"/>
      <c r="E751" s="162"/>
      <c r="F751" s="163"/>
      <c r="G751" s="163"/>
      <c r="H751" s="163"/>
      <c r="I751" s="163"/>
      <c r="J751" s="163"/>
      <c r="K751" s="163"/>
      <c r="L751" s="163"/>
      <c r="M751" s="163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  <c r="AA751" s="162"/>
    </row>
    <row r="752" spans="1:27" ht="14.25" customHeight="1">
      <c r="A752" s="162"/>
      <c r="B752" s="162"/>
      <c r="C752" s="162"/>
      <c r="D752" s="162"/>
      <c r="E752" s="162"/>
      <c r="F752" s="163"/>
      <c r="G752" s="163"/>
      <c r="H752" s="163"/>
      <c r="I752" s="163"/>
      <c r="J752" s="163"/>
      <c r="K752" s="163"/>
      <c r="L752" s="163"/>
      <c r="M752" s="163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  <c r="AA752" s="162"/>
    </row>
    <row r="753" spans="1:27" ht="14.25" customHeight="1">
      <c r="A753" s="162"/>
      <c r="B753" s="162"/>
      <c r="C753" s="162"/>
      <c r="D753" s="162"/>
      <c r="E753" s="162"/>
      <c r="F753" s="163"/>
      <c r="G753" s="163"/>
      <c r="H753" s="163"/>
      <c r="I753" s="163"/>
      <c r="J753" s="163"/>
      <c r="K753" s="163"/>
      <c r="L753" s="163"/>
      <c r="M753" s="163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</row>
    <row r="754" spans="1:27" ht="14.25" customHeight="1">
      <c r="A754" s="162"/>
      <c r="B754" s="162"/>
      <c r="C754" s="162"/>
      <c r="D754" s="162"/>
      <c r="E754" s="162"/>
      <c r="F754" s="163"/>
      <c r="G754" s="163"/>
      <c r="H754" s="163"/>
      <c r="I754" s="163"/>
      <c r="J754" s="163"/>
      <c r="K754" s="163"/>
      <c r="L754" s="163"/>
      <c r="M754" s="163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  <c r="AA754" s="162"/>
    </row>
    <row r="755" spans="1:27" ht="14.25" customHeight="1">
      <c r="A755" s="162"/>
      <c r="B755" s="162"/>
      <c r="C755" s="162"/>
      <c r="D755" s="162"/>
      <c r="E755" s="162"/>
      <c r="F755" s="163"/>
      <c r="G755" s="163"/>
      <c r="H755" s="163"/>
      <c r="I755" s="163"/>
      <c r="J755" s="163"/>
      <c r="K755" s="163"/>
      <c r="L755" s="163"/>
      <c r="M755" s="163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</row>
    <row r="756" spans="1:27" ht="14.25" customHeight="1">
      <c r="A756" s="162"/>
      <c r="B756" s="162"/>
      <c r="C756" s="162"/>
      <c r="D756" s="162"/>
      <c r="E756" s="162"/>
      <c r="F756" s="163"/>
      <c r="G756" s="163"/>
      <c r="H756" s="163"/>
      <c r="I756" s="163"/>
      <c r="J756" s="163"/>
      <c r="K756" s="163"/>
      <c r="L756" s="163"/>
      <c r="M756" s="163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</row>
    <row r="757" spans="1:27" ht="14.25" customHeight="1">
      <c r="A757" s="162"/>
      <c r="B757" s="162"/>
      <c r="C757" s="162"/>
      <c r="D757" s="162"/>
      <c r="E757" s="162"/>
      <c r="F757" s="163"/>
      <c r="G757" s="163"/>
      <c r="H757" s="163"/>
      <c r="I757" s="163"/>
      <c r="J757" s="163"/>
      <c r="K757" s="163"/>
      <c r="L757" s="163"/>
      <c r="M757" s="163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  <c r="AA757" s="162"/>
    </row>
    <row r="758" spans="1:27" ht="14.25" customHeight="1">
      <c r="A758" s="162"/>
      <c r="B758" s="162"/>
      <c r="C758" s="162"/>
      <c r="D758" s="162"/>
      <c r="E758" s="162"/>
      <c r="F758" s="163"/>
      <c r="G758" s="163"/>
      <c r="H758" s="163"/>
      <c r="I758" s="163"/>
      <c r="J758" s="163"/>
      <c r="K758" s="163"/>
      <c r="L758" s="163"/>
      <c r="M758" s="163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</row>
    <row r="759" spans="1:27" ht="14.25" customHeight="1">
      <c r="A759" s="162"/>
      <c r="B759" s="162"/>
      <c r="C759" s="162"/>
      <c r="D759" s="162"/>
      <c r="E759" s="162"/>
      <c r="F759" s="163"/>
      <c r="G759" s="163"/>
      <c r="H759" s="163"/>
      <c r="I759" s="163"/>
      <c r="J759" s="163"/>
      <c r="K759" s="163"/>
      <c r="L759" s="163"/>
      <c r="M759" s="163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</row>
    <row r="760" spans="1:27" ht="14.25" customHeight="1">
      <c r="A760" s="162"/>
      <c r="B760" s="162"/>
      <c r="C760" s="162"/>
      <c r="D760" s="162"/>
      <c r="E760" s="162"/>
      <c r="F760" s="163"/>
      <c r="G760" s="163"/>
      <c r="H760" s="163"/>
      <c r="I760" s="163"/>
      <c r="J760" s="163"/>
      <c r="K760" s="163"/>
      <c r="L760" s="163"/>
      <c r="M760" s="163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</row>
    <row r="761" spans="1:27" ht="14.25" customHeight="1">
      <c r="A761" s="162"/>
      <c r="B761" s="162"/>
      <c r="C761" s="162"/>
      <c r="D761" s="162"/>
      <c r="E761" s="162"/>
      <c r="F761" s="163"/>
      <c r="G761" s="163"/>
      <c r="H761" s="163"/>
      <c r="I761" s="163"/>
      <c r="J761" s="163"/>
      <c r="K761" s="163"/>
      <c r="L761" s="163"/>
      <c r="M761" s="163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</row>
    <row r="762" spans="1:27" ht="14.25" customHeight="1">
      <c r="A762" s="162"/>
      <c r="B762" s="162"/>
      <c r="C762" s="162"/>
      <c r="D762" s="162"/>
      <c r="E762" s="162"/>
      <c r="F762" s="163"/>
      <c r="G762" s="163"/>
      <c r="H762" s="163"/>
      <c r="I762" s="163"/>
      <c r="J762" s="163"/>
      <c r="K762" s="163"/>
      <c r="L762" s="163"/>
      <c r="M762" s="163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</row>
    <row r="763" spans="1:27" ht="14.25" customHeight="1">
      <c r="A763" s="162"/>
      <c r="B763" s="162"/>
      <c r="C763" s="162"/>
      <c r="D763" s="162"/>
      <c r="E763" s="162"/>
      <c r="F763" s="163"/>
      <c r="G763" s="163"/>
      <c r="H763" s="163"/>
      <c r="I763" s="163"/>
      <c r="J763" s="163"/>
      <c r="K763" s="163"/>
      <c r="L763" s="163"/>
      <c r="M763" s="163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  <c r="AA763" s="162"/>
    </row>
    <row r="764" spans="1:27" ht="14.25" customHeight="1">
      <c r="A764" s="162"/>
      <c r="B764" s="162"/>
      <c r="C764" s="162"/>
      <c r="D764" s="162"/>
      <c r="E764" s="162"/>
      <c r="F764" s="163"/>
      <c r="G764" s="163"/>
      <c r="H764" s="163"/>
      <c r="I764" s="163"/>
      <c r="J764" s="163"/>
      <c r="K764" s="163"/>
      <c r="L764" s="163"/>
      <c r="M764" s="163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  <c r="AA764" s="162"/>
    </row>
    <row r="765" spans="1:27" ht="14.25" customHeight="1">
      <c r="A765" s="162"/>
      <c r="B765" s="162"/>
      <c r="C765" s="162"/>
      <c r="D765" s="162"/>
      <c r="E765" s="162"/>
      <c r="F765" s="163"/>
      <c r="G765" s="163"/>
      <c r="H765" s="163"/>
      <c r="I765" s="163"/>
      <c r="J765" s="163"/>
      <c r="K765" s="163"/>
      <c r="L765" s="163"/>
      <c r="M765" s="163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  <c r="AA765" s="162"/>
    </row>
    <row r="766" spans="1:27" ht="14.25" customHeight="1">
      <c r="A766" s="162"/>
      <c r="B766" s="162"/>
      <c r="C766" s="162"/>
      <c r="D766" s="162"/>
      <c r="E766" s="162"/>
      <c r="F766" s="163"/>
      <c r="G766" s="163"/>
      <c r="H766" s="163"/>
      <c r="I766" s="163"/>
      <c r="J766" s="163"/>
      <c r="K766" s="163"/>
      <c r="L766" s="163"/>
      <c r="M766" s="163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</row>
    <row r="767" spans="1:27" ht="14.25" customHeight="1">
      <c r="A767" s="162"/>
      <c r="B767" s="162"/>
      <c r="C767" s="162"/>
      <c r="D767" s="162"/>
      <c r="E767" s="162"/>
      <c r="F767" s="163"/>
      <c r="G767" s="163"/>
      <c r="H767" s="163"/>
      <c r="I767" s="163"/>
      <c r="J767" s="163"/>
      <c r="K767" s="163"/>
      <c r="L767" s="163"/>
      <c r="M767" s="163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  <c r="AA767" s="162"/>
    </row>
    <row r="768" spans="1:27" ht="14.25" customHeight="1">
      <c r="A768" s="162"/>
      <c r="B768" s="162"/>
      <c r="C768" s="162"/>
      <c r="D768" s="162"/>
      <c r="E768" s="162"/>
      <c r="F768" s="163"/>
      <c r="G768" s="163"/>
      <c r="H768" s="163"/>
      <c r="I768" s="163"/>
      <c r="J768" s="163"/>
      <c r="K768" s="163"/>
      <c r="L768" s="163"/>
      <c r="M768" s="163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  <c r="AA768" s="162"/>
    </row>
    <row r="769" spans="1:27" ht="14.25" customHeight="1">
      <c r="A769" s="162"/>
      <c r="B769" s="162"/>
      <c r="C769" s="162"/>
      <c r="D769" s="162"/>
      <c r="E769" s="162"/>
      <c r="F769" s="163"/>
      <c r="G769" s="163"/>
      <c r="H769" s="163"/>
      <c r="I769" s="163"/>
      <c r="J769" s="163"/>
      <c r="K769" s="163"/>
      <c r="L769" s="163"/>
      <c r="M769" s="163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  <c r="AA769" s="162"/>
    </row>
    <row r="770" spans="1:27" ht="14.25" customHeight="1">
      <c r="A770" s="162"/>
      <c r="B770" s="162"/>
      <c r="C770" s="162"/>
      <c r="D770" s="162"/>
      <c r="E770" s="162"/>
      <c r="F770" s="163"/>
      <c r="G770" s="163"/>
      <c r="H770" s="163"/>
      <c r="I770" s="163"/>
      <c r="J770" s="163"/>
      <c r="K770" s="163"/>
      <c r="L770" s="163"/>
      <c r="M770" s="163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  <c r="AA770" s="162"/>
    </row>
    <row r="771" spans="1:27" ht="14.25" customHeight="1">
      <c r="A771" s="162"/>
      <c r="B771" s="162"/>
      <c r="C771" s="162"/>
      <c r="D771" s="162"/>
      <c r="E771" s="162"/>
      <c r="F771" s="163"/>
      <c r="G771" s="163"/>
      <c r="H771" s="163"/>
      <c r="I771" s="163"/>
      <c r="J771" s="163"/>
      <c r="K771" s="163"/>
      <c r="L771" s="163"/>
      <c r="M771" s="163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  <c r="AA771" s="162"/>
    </row>
    <row r="772" spans="1:27" ht="14.25" customHeight="1">
      <c r="A772" s="162"/>
      <c r="B772" s="162"/>
      <c r="C772" s="162"/>
      <c r="D772" s="162"/>
      <c r="E772" s="162"/>
      <c r="F772" s="163"/>
      <c r="G772" s="163"/>
      <c r="H772" s="163"/>
      <c r="I772" s="163"/>
      <c r="J772" s="163"/>
      <c r="K772" s="163"/>
      <c r="L772" s="163"/>
      <c r="M772" s="163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  <c r="AA772" s="162"/>
    </row>
    <row r="773" spans="1:27" ht="14.25" customHeight="1">
      <c r="A773" s="162"/>
      <c r="B773" s="162"/>
      <c r="C773" s="162"/>
      <c r="D773" s="162"/>
      <c r="E773" s="162"/>
      <c r="F773" s="163"/>
      <c r="G773" s="163"/>
      <c r="H773" s="163"/>
      <c r="I773" s="163"/>
      <c r="J773" s="163"/>
      <c r="K773" s="163"/>
      <c r="L773" s="163"/>
      <c r="M773" s="163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</row>
    <row r="774" spans="1:27" ht="14.25" customHeight="1">
      <c r="A774" s="162"/>
      <c r="B774" s="162"/>
      <c r="C774" s="162"/>
      <c r="D774" s="162"/>
      <c r="E774" s="162"/>
      <c r="F774" s="163"/>
      <c r="G774" s="163"/>
      <c r="H774" s="163"/>
      <c r="I774" s="163"/>
      <c r="J774" s="163"/>
      <c r="K774" s="163"/>
      <c r="L774" s="163"/>
      <c r="M774" s="163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</row>
    <row r="775" spans="1:27" ht="14.25" customHeight="1">
      <c r="A775" s="162"/>
      <c r="B775" s="162"/>
      <c r="C775" s="162"/>
      <c r="D775" s="162"/>
      <c r="E775" s="162"/>
      <c r="F775" s="163"/>
      <c r="G775" s="163"/>
      <c r="H775" s="163"/>
      <c r="I775" s="163"/>
      <c r="J775" s="163"/>
      <c r="K775" s="163"/>
      <c r="L775" s="163"/>
      <c r="M775" s="163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  <c r="AA775" s="162"/>
    </row>
    <row r="776" spans="1:27" ht="14.25" customHeight="1">
      <c r="A776" s="162"/>
      <c r="B776" s="162"/>
      <c r="C776" s="162"/>
      <c r="D776" s="162"/>
      <c r="E776" s="162"/>
      <c r="F776" s="163"/>
      <c r="G776" s="163"/>
      <c r="H776" s="163"/>
      <c r="I776" s="163"/>
      <c r="J776" s="163"/>
      <c r="K776" s="163"/>
      <c r="L776" s="163"/>
      <c r="M776" s="163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  <c r="AA776" s="162"/>
    </row>
    <row r="777" spans="1:27" ht="14.25" customHeight="1">
      <c r="A777" s="162"/>
      <c r="B777" s="162"/>
      <c r="C777" s="162"/>
      <c r="D777" s="162"/>
      <c r="E777" s="162"/>
      <c r="F777" s="163"/>
      <c r="G777" s="163"/>
      <c r="H777" s="163"/>
      <c r="I777" s="163"/>
      <c r="J777" s="163"/>
      <c r="K777" s="163"/>
      <c r="L777" s="163"/>
      <c r="M777" s="163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</row>
    <row r="778" spans="1:27" ht="14.25" customHeight="1">
      <c r="A778" s="162"/>
      <c r="B778" s="162"/>
      <c r="C778" s="162"/>
      <c r="D778" s="162"/>
      <c r="E778" s="162"/>
      <c r="F778" s="163"/>
      <c r="G778" s="163"/>
      <c r="H778" s="163"/>
      <c r="I778" s="163"/>
      <c r="J778" s="163"/>
      <c r="K778" s="163"/>
      <c r="L778" s="163"/>
      <c r="M778" s="163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</row>
    <row r="779" spans="1:27" ht="14.25" customHeight="1">
      <c r="A779" s="162"/>
      <c r="B779" s="162"/>
      <c r="C779" s="162"/>
      <c r="D779" s="162"/>
      <c r="E779" s="162"/>
      <c r="F779" s="163"/>
      <c r="G779" s="163"/>
      <c r="H779" s="163"/>
      <c r="I779" s="163"/>
      <c r="J779" s="163"/>
      <c r="K779" s="163"/>
      <c r="L779" s="163"/>
      <c r="M779" s="163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</row>
    <row r="780" spans="1:27" ht="14.25" customHeight="1">
      <c r="A780" s="162"/>
      <c r="B780" s="162"/>
      <c r="C780" s="162"/>
      <c r="D780" s="162"/>
      <c r="E780" s="162"/>
      <c r="F780" s="163"/>
      <c r="G780" s="163"/>
      <c r="H780" s="163"/>
      <c r="I780" s="163"/>
      <c r="J780" s="163"/>
      <c r="K780" s="163"/>
      <c r="L780" s="163"/>
      <c r="M780" s="163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</row>
    <row r="781" spans="1:27" ht="14.25" customHeight="1">
      <c r="A781" s="162"/>
      <c r="B781" s="162"/>
      <c r="C781" s="162"/>
      <c r="D781" s="162"/>
      <c r="E781" s="162"/>
      <c r="F781" s="163"/>
      <c r="G781" s="163"/>
      <c r="H781" s="163"/>
      <c r="I781" s="163"/>
      <c r="J781" s="163"/>
      <c r="K781" s="163"/>
      <c r="L781" s="163"/>
      <c r="M781" s="163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  <c r="AA781" s="162"/>
    </row>
    <row r="782" spans="1:27" ht="14.25" customHeight="1">
      <c r="A782" s="162"/>
      <c r="B782" s="162"/>
      <c r="C782" s="162"/>
      <c r="D782" s="162"/>
      <c r="E782" s="162"/>
      <c r="F782" s="163"/>
      <c r="G782" s="163"/>
      <c r="H782" s="163"/>
      <c r="I782" s="163"/>
      <c r="J782" s="163"/>
      <c r="K782" s="163"/>
      <c r="L782" s="163"/>
      <c r="M782" s="163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</row>
    <row r="783" spans="1:27" ht="14.25" customHeight="1">
      <c r="A783" s="162"/>
      <c r="B783" s="162"/>
      <c r="C783" s="162"/>
      <c r="D783" s="162"/>
      <c r="E783" s="162"/>
      <c r="F783" s="163"/>
      <c r="G783" s="163"/>
      <c r="H783" s="163"/>
      <c r="I783" s="163"/>
      <c r="J783" s="163"/>
      <c r="K783" s="163"/>
      <c r="L783" s="163"/>
      <c r="M783" s="163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  <c r="AA783" s="162"/>
    </row>
    <row r="784" spans="1:27" ht="14.25" customHeight="1">
      <c r="A784" s="162"/>
      <c r="B784" s="162"/>
      <c r="C784" s="162"/>
      <c r="D784" s="162"/>
      <c r="E784" s="162"/>
      <c r="F784" s="163"/>
      <c r="G784" s="163"/>
      <c r="H784" s="163"/>
      <c r="I784" s="163"/>
      <c r="J784" s="163"/>
      <c r="K784" s="163"/>
      <c r="L784" s="163"/>
      <c r="M784" s="163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</row>
    <row r="785" spans="1:27" ht="14.25" customHeight="1">
      <c r="A785" s="162"/>
      <c r="B785" s="162"/>
      <c r="C785" s="162"/>
      <c r="D785" s="162"/>
      <c r="E785" s="162"/>
      <c r="F785" s="163"/>
      <c r="G785" s="163"/>
      <c r="H785" s="163"/>
      <c r="I785" s="163"/>
      <c r="J785" s="163"/>
      <c r="K785" s="163"/>
      <c r="L785" s="163"/>
      <c r="M785" s="163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  <c r="AA785" s="162"/>
    </row>
    <row r="786" spans="1:27" ht="14.25" customHeight="1">
      <c r="A786" s="162"/>
      <c r="B786" s="162"/>
      <c r="C786" s="162"/>
      <c r="D786" s="162"/>
      <c r="E786" s="162"/>
      <c r="F786" s="163"/>
      <c r="G786" s="163"/>
      <c r="H786" s="163"/>
      <c r="I786" s="163"/>
      <c r="J786" s="163"/>
      <c r="K786" s="163"/>
      <c r="L786" s="163"/>
      <c r="M786" s="163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</row>
    <row r="787" spans="1:27" ht="14.25" customHeight="1">
      <c r="A787" s="162"/>
      <c r="B787" s="162"/>
      <c r="C787" s="162"/>
      <c r="D787" s="162"/>
      <c r="E787" s="162"/>
      <c r="F787" s="163"/>
      <c r="G787" s="163"/>
      <c r="H787" s="163"/>
      <c r="I787" s="163"/>
      <c r="J787" s="163"/>
      <c r="K787" s="163"/>
      <c r="L787" s="163"/>
      <c r="M787" s="163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  <c r="AA787" s="162"/>
    </row>
    <row r="788" spans="1:27" ht="14.25" customHeight="1">
      <c r="A788" s="162"/>
      <c r="B788" s="162"/>
      <c r="C788" s="162"/>
      <c r="D788" s="162"/>
      <c r="E788" s="162"/>
      <c r="F788" s="163"/>
      <c r="G788" s="163"/>
      <c r="H788" s="163"/>
      <c r="I788" s="163"/>
      <c r="J788" s="163"/>
      <c r="K788" s="163"/>
      <c r="L788" s="163"/>
      <c r="M788" s="163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</row>
    <row r="789" spans="1:27" ht="14.25" customHeight="1">
      <c r="A789" s="162"/>
      <c r="B789" s="162"/>
      <c r="C789" s="162"/>
      <c r="D789" s="162"/>
      <c r="E789" s="162"/>
      <c r="F789" s="163"/>
      <c r="G789" s="163"/>
      <c r="H789" s="163"/>
      <c r="I789" s="163"/>
      <c r="J789" s="163"/>
      <c r="K789" s="163"/>
      <c r="L789" s="163"/>
      <c r="M789" s="163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</row>
    <row r="790" spans="1:27" ht="14.25" customHeight="1">
      <c r="A790" s="162"/>
      <c r="B790" s="162"/>
      <c r="C790" s="162"/>
      <c r="D790" s="162"/>
      <c r="E790" s="162"/>
      <c r="F790" s="163"/>
      <c r="G790" s="163"/>
      <c r="H790" s="163"/>
      <c r="I790" s="163"/>
      <c r="J790" s="163"/>
      <c r="K790" s="163"/>
      <c r="L790" s="163"/>
      <c r="M790" s="163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  <c r="AA790" s="162"/>
    </row>
    <row r="791" spans="1:27" ht="14.25" customHeight="1">
      <c r="A791" s="162"/>
      <c r="B791" s="162"/>
      <c r="C791" s="162"/>
      <c r="D791" s="162"/>
      <c r="E791" s="162"/>
      <c r="F791" s="163"/>
      <c r="G791" s="163"/>
      <c r="H791" s="163"/>
      <c r="I791" s="163"/>
      <c r="J791" s="163"/>
      <c r="K791" s="163"/>
      <c r="L791" s="163"/>
      <c r="M791" s="163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</row>
    <row r="792" spans="1:27" ht="14.25" customHeight="1">
      <c r="A792" s="162"/>
      <c r="B792" s="162"/>
      <c r="C792" s="162"/>
      <c r="D792" s="162"/>
      <c r="E792" s="162"/>
      <c r="F792" s="163"/>
      <c r="G792" s="163"/>
      <c r="H792" s="163"/>
      <c r="I792" s="163"/>
      <c r="J792" s="163"/>
      <c r="K792" s="163"/>
      <c r="L792" s="163"/>
      <c r="M792" s="163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</row>
    <row r="793" spans="1:27" ht="14.25" customHeight="1">
      <c r="A793" s="162"/>
      <c r="B793" s="162"/>
      <c r="C793" s="162"/>
      <c r="D793" s="162"/>
      <c r="E793" s="162"/>
      <c r="F793" s="163"/>
      <c r="G793" s="163"/>
      <c r="H793" s="163"/>
      <c r="I793" s="163"/>
      <c r="J793" s="163"/>
      <c r="K793" s="163"/>
      <c r="L793" s="163"/>
      <c r="M793" s="163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  <c r="AA793" s="162"/>
    </row>
    <row r="794" spans="1:27" ht="14.25" customHeight="1">
      <c r="A794" s="162"/>
      <c r="B794" s="162"/>
      <c r="C794" s="162"/>
      <c r="D794" s="162"/>
      <c r="E794" s="162"/>
      <c r="F794" s="163"/>
      <c r="G794" s="163"/>
      <c r="H794" s="163"/>
      <c r="I794" s="163"/>
      <c r="J794" s="163"/>
      <c r="K794" s="163"/>
      <c r="L794" s="163"/>
      <c r="M794" s="163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  <c r="AA794" s="162"/>
    </row>
    <row r="795" spans="1:27" ht="14.25" customHeight="1">
      <c r="A795" s="162"/>
      <c r="B795" s="162"/>
      <c r="C795" s="162"/>
      <c r="D795" s="162"/>
      <c r="E795" s="162"/>
      <c r="F795" s="163"/>
      <c r="G795" s="163"/>
      <c r="H795" s="163"/>
      <c r="I795" s="163"/>
      <c r="J795" s="163"/>
      <c r="K795" s="163"/>
      <c r="L795" s="163"/>
      <c r="M795" s="163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  <c r="AA795" s="162"/>
    </row>
    <row r="796" spans="1:27" ht="14.25" customHeight="1">
      <c r="A796" s="162"/>
      <c r="B796" s="162"/>
      <c r="C796" s="162"/>
      <c r="D796" s="162"/>
      <c r="E796" s="162"/>
      <c r="F796" s="163"/>
      <c r="G796" s="163"/>
      <c r="H796" s="163"/>
      <c r="I796" s="163"/>
      <c r="J796" s="163"/>
      <c r="K796" s="163"/>
      <c r="L796" s="163"/>
      <c r="M796" s="163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</row>
    <row r="797" spans="1:27" ht="14.25" customHeight="1">
      <c r="A797" s="162"/>
      <c r="B797" s="162"/>
      <c r="C797" s="162"/>
      <c r="D797" s="162"/>
      <c r="E797" s="162"/>
      <c r="F797" s="163"/>
      <c r="G797" s="163"/>
      <c r="H797" s="163"/>
      <c r="I797" s="163"/>
      <c r="J797" s="163"/>
      <c r="K797" s="163"/>
      <c r="L797" s="163"/>
      <c r="M797" s="163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  <c r="AA797" s="162"/>
    </row>
    <row r="798" spans="1:27" ht="14.25" customHeight="1">
      <c r="A798" s="162"/>
      <c r="B798" s="162"/>
      <c r="C798" s="162"/>
      <c r="D798" s="162"/>
      <c r="E798" s="162"/>
      <c r="F798" s="163"/>
      <c r="G798" s="163"/>
      <c r="H798" s="163"/>
      <c r="I798" s="163"/>
      <c r="J798" s="163"/>
      <c r="K798" s="163"/>
      <c r="L798" s="163"/>
      <c r="M798" s="163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</row>
    <row r="799" spans="1:27" ht="14.25" customHeight="1">
      <c r="A799" s="162"/>
      <c r="B799" s="162"/>
      <c r="C799" s="162"/>
      <c r="D799" s="162"/>
      <c r="E799" s="162"/>
      <c r="F799" s="163"/>
      <c r="G799" s="163"/>
      <c r="H799" s="163"/>
      <c r="I799" s="163"/>
      <c r="J799" s="163"/>
      <c r="K799" s="163"/>
      <c r="L799" s="163"/>
      <c r="M799" s="163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</row>
    <row r="800" spans="1:27" ht="14.25" customHeight="1">
      <c r="A800" s="162"/>
      <c r="B800" s="162"/>
      <c r="C800" s="162"/>
      <c r="D800" s="162"/>
      <c r="E800" s="162"/>
      <c r="F800" s="163"/>
      <c r="G800" s="163"/>
      <c r="H800" s="163"/>
      <c r="I800" s="163"/>
      <c r="J800" s="163"/>
      <c r="K800" s="163"/>
      <c r="L800" s="163"/>
      <c r="M800" s="163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</row>
    <row r="801" spans="1:27" ht="14.25" customHeight="1">
      <c r="A801" s="162"/>
      <c r="B801" s="162"/>
      <c r="C801" s="162"/>
      <c r="D801" s="162"/>
      <c r="E801" s="162"/>
      <c r="F801" s="163"/>
      <c r="G801" s="163"/>
      <c r="H801" s="163"/>
      <c r="I801" s="163"/>
      <c r="J801" s="163"/>
      <c r="K801" s="163"/>
      <c r="L801" s="163"/>
      <c r="M801" s="163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</row>
    <row r="802" spans="1:27" ht="14.25" customHeight="1">
      <c r="A802" s="162"/>
      <c r="B802" s="162"/>
      <c r="C802" s="162"/>
      <c r="D802" s="162"/>
      <c r="E802" s="162"/>
      <c r="F802" s="163"/>
      <c r="G802" s="163"/>
      <c r="H802" s="163"/>
      <c r="I802" s="163"/>
      <c r="J802" s="163"/>
      <c r="K802" s="163"/>
      <c r="L802" s="163"/>
      <c r="M802" s="163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</row>
    <row r="803" spans="1:27" ht="14.25" customHeight="1">
      <c r="A803" s="162"/>
      <c r="B803" s="162"/>
      <c r="C803" s="162"/>
      <c r="D803" s="162"/>
      <c r="E803" s="162"/>
      <c r="F803" s="163"/>
      <c r="G803" s="163"/>
      <c r="H803" s="163"/>
      <c r="I803" s="163"/>
      <c r="J803" s="163"/>
      <c r="K803" s="163"/>
      <c r="L803" s="163"/>
      <c r="M803" s="163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  <c r="AA803" s="162"/>
    </row>
    <row r="804" spans="1:27" ht="14.25" customHeight="1">
      <c r="A804" s="162"/>
      <c r="B804" s="162"/>
      <c r="C804" s="162"/>
      <c r="D804" s="162"/>
      <c r="E804" s="162"/>
      <c r="F804" s="163"/>
      <c r="G804" s="163"/>
      <c r="H804" s="163"/>
      <c r="I804" s="163"/>
      <c r="J804" s="163"/>
      <c r="K804" s="163"/>
      <c r="L804" s="163"/>
      <c r="M804" s="163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  <c r="AA804" s="162"/>
    </row>
    <row r="805" spans="1:27" ht="14.25" customHeight="1">
      <c r="A805" s="162"/>
      <c r="B805" s="162"/>
      <c r="C805" s="162"/>
      <c r="D805" s="162"/>
      <c r="E805" s="162"/>
      <c r="F805" s="163"/>
      <c r="G805" s="163"/>
      <c r="H805" s="163"/>
      <c r="I805" s="163"/>
      <c r="J805" s="163"/>
      <c r="K805" s="163"/>
      <c r="L805" s="163"/>
      <c r="M805" s="163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  <c r="AA805" s="162"/>
    </row>
    <row r="806" spans="1:27" ht="14.25" customHeight="1">
      <c r="A806" s="162"/>
      <c r="B806" s="162"/>
      <c r="C806" s="162"/>
      <c r="D806" s="162"/>
      <c r="E806" s="162"/>
      <c r="F806" s="163"/>
      <c r="G806" s="163"/>
      <c r="H806" s="163"/>
      <c r="I806" s="163"/>
      <c r="J806" s="163"/>
      <c r="K806" s="163"/>
      <c r="L806" s="163"/>
      <c r="M806" s="163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  <c r="AA806" s="162"/>
    </row>
    <row r="807" spans="1:27" ht="14.25" customHeight="1">
      <c r="A807" s="162"/>
      <c r="B807" s="162"/>
      <c r="C807" s="162"/>
      <c r="D807" s="162"/>
      <c r="E807" s="162"/>
      <c r="F807" s="163"/>
      <c r="G807" s="163"/>
      <c r="H807" s="163"/>
      <c r="I807" s="163"/>
      <c r="J807" s="163"/>
      <c r="K807" s="163"/>
      <c r="L807" s="163"/>
      <c r="M807" s="163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  <c r="AA807" s="162"/>
    </row>
    <row r="808" spans="1:27" ht="14.25" customHeight="1">
      <c r="A808" s="162"/>
      <c r="B808" s="162"/>
      <c r="C808" s="162"/>
      <c r="D808" s="162"/>
      <c r="E808" s="162"/>
      <c r="F808" s="163"/>
      <c r="G808" s="163"/>
      <c r="H808" s="163"/>
      <c r="I808" s="163"/>
      <c r="J808" s="163"/>
      <c r="K808" s="163"/>
      <c r="L808" s="163"/>
      <c r="M808" s="163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  <c r="AA808" s="162"/>
    </row>
    <row r="809" spans="1:27" ht="14.25" customHeight="1">
      <c r="A809" s="162"/>
      <c r="B809" s="162"/>
      <c r="C809" s="162"/>
      <c r="D809" s="162"/>
      <c r="E809" s="162"/>
      <c r="F809" s="163"/>
      <c r="G809" s="163"/>
      <c r="H809" s="163"/>
      <c r="I809" s="163"/>
      <c r="J809" s="163"/>
      <c r="K809" s="163"/>
      <c r="L809" s="163"/>
      <c r="M809" s="163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  <c r="AA809" s="162"/>
    </row>
    <row r="810" spans="1:27" ht="14.25" customHeight="1">
      <c r="A810" s="162"/>
      <c r="B810" s="162"/>
      <c r="C810" s="162"/>
      <c r="D810" s="162"/>
      <c r="E810" s="162"/>
      <c r="F810" s="163"/>
      <c r="G810" s="163"/>
      <c r="H810" s="163"/>
      <c r="I810" s="163"/>
      <c r="J810" s="163"/>
      <c r="K810" s="163"/>
      <c r="L810" s="163"/>
      <c r="M810" s="163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  <c r="AA810" s="162"/>
    </row>
    <row r="811" spans="1:27" ht="14.25" customHeight="1">
      <c r="A811" s="162"/>
      <c r="B811" s="162"/>
      <c r="C811" s="162"/>
      <c r="D811" s="162"/>
      <c r="E811" s="162"/>
      <c r="F811" s="163"/>
      <c r="G811" s="163"/>
      <c r="H811" s="163"/>
      <c r="I811" s="163"/>
      <c r="J811" s="163"/>
      <c r="K811" s="163"/>
      <c r="L811" s="163"/>
      <c r="M811" s="163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  <c r="AA811" s="162"/>
    </row>
    <row r="812" spans="1:27" ht="14.25" customHeight="1">
      <c r="A812" s="162"/>
      <c r="B812" s="162"/>
      <c r="C812" s="162"/>
      <c r="D812" s="162"/>
      <c r="E812" s="162"/>
      <c r="F812" s="163"/>
      <c r="G812" s="163"/>
      <c r="H812" s="163"/>
      <c r="I812" s="163"/>
      <c r="J812" s="163"/>
      <c r="K812" s="163"/>
      <c r="L812" s="163"/>
      <c r="M812" s="163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  <c r="AA812" s="162"/>
    </row>
    <row r="813" spans="1:27" ht="14.25" hidden="1" customHeight="1">
      <c r="A813" s="162"/>
      <c r="B813" s="162"/>
      <c r="C813" s="162"/>
      <c r="D813" s="162"/>
      <c r="E813" s="162"/>
      <c r="F813" s="163"/>
      <c r="G813" s="163"/>
      <c r="H813" s="163"/>
      <c r="I813" s="163"/>
      <c r="J813" s="163"/>
      <c r="K813" s="163"/>
      <c r="L813" s="163"/>
      <c r="M813" s="163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  <c r="AA813" s="162"/>
    </row>
    <row r="814" spans="1:27" ht="14.25" hidden="1" customHeight="1">
      <c r="A814" s="162"/>
      <c r="B814" s="162"/>
      <c r="C814" s="162"/>
      <c r="D814" s="162"/>
      <c r="E814" s="162"/>
      <c r="F814" s="163"/>
      <c r="G814" s="163"/>
      <c r="H814" s="163"/>
      <c r="I814" s="163"/>
      <c r="J814" s="163"/>
      <c r="K814" s="163"/>
      <c r="L814" s="163"/>
      <c r="M814" s="163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  <c r="AA814" s="162"/>
    </row>
    <row r="815" spans="1:27" ht="14.25" hidden="1" customHeight="1">
      <c r="A815" s="162"/>
      <c r="B815" s="162"/>
      <c r="C815" s="162"/>
      <c r="D815" s="162"/>
      <c r="E815" s="162"/>
      <c r="F815" s="163"/>
      <c r="G815" s="163"/>
      <c r="H815" s="163"/>
      <c r="I815" s="163"/>
      <c r="J815" s="163"/>
      <c r="K815" s="163"/>
      <c r="L815" s="163"/>
      <c r="M815" s="163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  <c r="AA815" s="162"/>
    </row>
    <row r="816" spans="1:27" ht="14.25" hidden="1" customHeight="1">
      <c r="A816" s="162"/>
      <c r="B816" s="162"/>
      <c r="C816" s="162"/>
      <c r="D816" s="162"/>
      <c r="E816" s="162"/>
      <c r="F816" s="163"/>
      <c r="G816" s="163"/>
      <c r="H816" s="163"/>
      <c r="I816" s="163"/>
      <c r="J816" s="163"/>
      <c r="K816" s="163"/>
      <c r="L816" s="163"/>
      <c r="M816" s="163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</row>
    <row r="817" spans="1:27" ht="14.25" hidden="1" customHeight="1">
      <c r="A817" s="162"/>
      <c r="B817" s="162"/>
      <c r="C817" s="162"/>
      <c r="D817" s="162"/>
      <c r="E817" s="162"/>
      <c r="F817" s="163"/>
      <c r="G817" s="163"/>
      <c r="H817" s="163"/>
      <c r="I817" s="163"/>
      <c r="J817" s="163"/>
      <c r="K817" s="163"/>
      <c r="L817" s="163"/>
      <c r="M817" s="163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</row>
    <row r="818" spans="1:27" ht="14.25" hidden="1" customHeight="1">
      <c r="A818" s="162"/>
      <c r="B818" s="162"/>
      <c r="C818" s="162"/>
      <c r="D818" s="162"/>
      <c r="E818" s="162"/>
      <c r="F818" s="163"/>
      <c r="G818" s="163"/>
      <c r="H818" s="163"/>
      <c r="I818" s="163"/>
      <c r="J818" s="163"/>
      <c r="K818" s="163"/>
      <c r="L818" s="163"/>
      <c r="M818" s="163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</row>
    <row r="819" spans="1:27" ht="14.25" hidden="1" customHeight="1">
      <c r="A819" s="162"/>
      <c r="B819" s="162"/>
      <c r="C819" s="162"/>
      <c r="D819" s="162"/>
      <c r="E819" s="162"/>
      <c r="F819" s="163"/>
      <c r="G819" s="163"/>
      <c r="H819" s="163"/>
      <c r="I819" s="163"/>
      <c r="J819" s="163"/>
      <c r="K819" s="163"/>
      <c r="L819" s="163"/>
      <c r="M819" s="163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</row>
    <row r="820" spans="1:27" ht="14.25" hidden="1" customHeight="1">
      <c r="A820" s="162"/>
      <c r="B820" s="162"/>
      <c r="C820" s="162"/>
      <c r="D820" s="162"/>
      <c r="E820" s="162"/>
      <c r="F820" s="163"/>
      <c r="G820" s="163"/>
      <c r="H820" s="163"/>
      <c r="I820" s="163"/>
      <c r="J820" s="163"/>
      <c r="K820" s="163"/>
      <c r="L820" s="163"/>
      <c r="M820" s="163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  <c r="AA820" s="162"/>
    </row>
    <row r="821" spans="1:27" ht="14.25" hidden="1" customHeight="1">
      <c r="A821" s="162"/>
      <c r="B821" s="162"/>
      <c r="C821" s="162"/>
      <c r="D821" s="162"/>
      <c r="E821" s="162"/>
      <c r="F821" s="163"/>
      <c r="G821" s="163"/>
      <c r="H821" s="163"/>
      <c r="I821" s="163"/>
      <c r="J821" s="163"/>
      <c r="K821" s="163"/>
      <c r="L821" s="163"/>
      <c r="M821" s="163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</row>
    <row r="822" spans="1:27" ht="14.25" hidden="1" customHeight="1">
      <c r="A822" s="162"/>
      <c r="B822" s="162"/>
      <c r="C822" s="162"/>
      <c r="D822" s="162"/>
      <c r="E822" s="162"/>
      <c r="F822" s="163"/>
      <c r="G822" s="163"/>
      <c r="H822" s="163"/>
      <c r="I822" s="163"/>
      <c r="J822" s="163"/>
      <c r="K822" s="163"/>
      <c r="L822" s="163"/>
      <c r="M822" s="163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</row>
    <row r="823" spans="1:27" ht="14.25" hidden="1" customHeight="1">
      <c r="A823" s="162"/>
      <c r="B823" s="162"/>
      <c r="C823" s="162"/>
      <c r="D823" s="162"/>
      <c r="E823" s="162"/>
      <c r="F823" s="163"/>
      <c r="G823" s="163"/>
      <c r="H823" s="163"/>
      <c r="I823" s="163"/>
      <c r="J823" s="163"/>
      <c r="K823" s="163"/>
      <c r="L823" s="163"/>
      <c r="M823" s="163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  <c r="AA823" s="162"/>
    </row>
    <row r="824" spans="1:27" ht="14.25" hidden="1" customHeight="1">
      <c r="A824" s="162"/>
      <c r="B824" s="162"/>
      <c r="C824" s="162"/>
      <c r="D824" s="162"/>
      <c r="E824" s="162"/>
      <c r="F824" s="163"/>
      <c r="G824" s="163"/>
      <c r="H824" s="163"/>
      <c r="I824" s="163"/>
      <c r="J824" s="163"/>
      <c r="K824" s="163"/>
      <c r="L824" s="163"/>
      <c r="M824" s="163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</row>
    <row r="825" spans="1:27" ht="14.25" hidden="1" customHeight="1">
      <c r="A825" s="162"/>
      <c r="B825" s="162"/>
      <c r="C825" s="162"/>
      <c r="D825" s="162"/>
      <c r="E825" s="162"/>
      <c r="F825" s="163"/>
      <c r="G825" s="163"/>
      <c r="H825" s="163"/>
      <c r="I825" s="163"/>
      <c r="J825" s="163"/>
      <c r="K825" s="163"/>
      <c r="L825" s="163"/>
      <c r="M825" s="163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</row>
    <row r="826" spans="1:27" ht="14.25" hidden="1" customHeight="1">
      <c r="A826" s="162"/>
      <c r="B826" s="162"/>
      <c r="C826" s="162"/>
      <c r="D826" s="162"/>
      <c r="E826" s="162"/>
      <c r="F826" s="163"/>
      <c r="G826" s="163"/>
      <c r="H826" s="163"/>
      <c r="I826" s="163"/>
      <c r="J826" s="163"/>
      <c r="K826" s="163"/>
      <c r="L826" s="163"/>
      <c r="M826" s="163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</row>
    <row r="827" spans="1:27" ht="14.25" customHeight="1">
      <c r="A827" s="162"/>
      <c r="B827" s="162"/>
      <c r="C827" s="162"/>
      <c r="D827" s="162"/>
      <c r="E827" s="162"/>
      <c r="F827" s="163"/>
      <c r="G827" s="163"/>
      <c r="H827" s="163"/>
      <c r="I827" s="163"/>
      <c r="J827" s="163"/>
      <c r="K827" s="163"/>
      <c r="L827" s="163"/>
      <c r="M827" s="163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</row>
    <row r="828" spans="1:27" ht="14.25" customHeight="1">
      <c r="A828" s="162"/>
      <c r="B828" s="162"/>
      <c r="C828" s="162"/>
      <c r="D828" s="162"/>
      <c r="E828" s="162"/>
      <c r="F828" s="163"/>
      <c r="G828" s="163"/>
      <c r="H828" s="163"/>
      <c r="I828" s="163"/>
      <c r="J828" s="163"/>
      <c r="K828" s="163"/>
      <c r="L828" s="163"/>
      <c r="M828" s="163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</row>
    <row r="829" spans="1:27" ht="14.25" customHeight="1">
      <c r="A829" s="162"/>
      <c r="B829" s="162"/>
      <c r="C829" s="162"/>
      <c r="D829" s="162"/>
      <c r="E829" s="162"/>
      <c r="F829" s="163"/>
      <c r="G829" s="163"/>
      <c r="H829" s="163"/>
      <c r="I829" s="163"/>
      <c r="J829" s="163"/>
      <c r="K829" s="163"/>
      <c r="L829" s="163"/>
      <c r="M829" s="163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</row>
    <row r="830" spans="1:27" ht="14.25" hidden="1" customHeight="1">
      <c r="A830" s="162"/>
      <c r="B830" s="162"/>
      <c r="C830" s="162"/>
      <c r="D830" s="162"/>
      <c r="E830" s="162"/>
      <c r="F830" s="163"/>
      <c r="G830" s="163"/>
      <c r="H830" s="163"/>
      <c r="I830" s="163"/>
      <c r="J830" s="163"/>
      <c r="K830" s="163"/>
      <c r="L830" s="163"/>
      <c r="M830" s="163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</row>
    <row r="831" spans="1:27" ht="14.25" hidden="1" customHeight="1">
      <c r="A831" s="162"/>
      <c r="B831" s="162"/>
      <c r="C831" s="162"/>
      <c r="D831" s="162"/>
      <c r="E831" s="162"/>
      <c r="F831" s="163"/>
      <c r="G831" s="163"/>
      <c r="H831" s="163"/>
      <c r="I831" s="163"/>
      <c r="J831" s="163"/>
      <c r="K831" s="163"/>
      <c r="L831" s="163"/>
      <c r="M831" s="163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</row>
    <row r="832" spans="1:27" ht="14.25" hidden="1" customHeight="1">
      <c r="A832" s="162"/>
      <c r="B832" s="162"/>
      <c r="C832" s="162"/>
      <c r="D832" s="162"/>
      <c r="E832" s="162"/>
      <c r="F832" s="163"/>
      <c r="G832" s="163"/>
      <c r="H832" s="163"/>
      <c r="I832" s="163"/>
      <c r="J832" s="163"/>
      <c r="K832" s="163"/>
      <c r="L832" s="163"/>
      <c r="M832" s="163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</row>
    <row r="833" spans="1:27" ht="14.25" hidden="1" customHeight="1">
      <c r="A833" s="162"/>
      <c r="B833" s="162"/>
      <c r="C833" s="162"/>
      <c r="D833" s="162"/>
      <c r="E833" s="162"/>
      <c r="F833" s="163"/>
      <c r="G833" s="163"/>
      <c r="H833" s="163"/>
      <c r="I833" s="163"/>
      <c r="J833" s="163"/>
      <c r="K833" s="163"/>
      <c r="L833" s="163"/>
      <c r="M833" s="163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</row>
    <row r="834" spans="1:27" ht="14.25" customHeight="1">
      <c r="A834" s="162"/>
      <c r="B834" s="162"/>
      <c r="C834" s="162"/>
      <c r="D834" s="162"/>
      <c r="E834" s="162"/>
      <c r="F834" s="163"/>
      <c r="G834" s="163"/>
      <c r="H834" s="163"/>
      <c r="I834" s="163"/>
      <c r="J834" s="163"/>
      <c r="K834" s="163"/>
      <c r="L834" s="163"/>
      <c r="M834" s="163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  <c r="AA834" s="162"/>
    </row>
    <row r="835" spans="1:27" ht="14.25" customHeight="1">
      <c r="A835" s="162"/>
      <c r="B835" s="162"/>
      <c r="C835" s="162"/>
      <c r="D835" s="162"/>
      <c r="E835" s="162"/>
      <c r="F835" s="163"/>
      <c r="G835" s="163"/>
      <c r="H835" s="163"/>
      <c r="I835" s="163"/>
      <c r="J835" s="163"/>
      <c r="K835" s="163"/>
      <c r="L835" s="163"/>
      <c r="M835" s="163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</row>
    <row r="836" spans="1:27" ht="14.25" customHeight="1">
      <c r="A836" s="162"/>
      <c r="B836" s="162"/>
      <c r="C836" s="162"/>
      <c r="D836" s="162"/>
      <c r="E836" s="162"/>
      <c r="F836" s="163"/>
      <c r="G836" s="163"/>
      <c r="H836" s="163"/>
      <c r="I836" s="163"/>
      <c r="J836" s="163"/>
      <c r="K836" s="163"/>
      <c r="L836" s="163"/>
      <c r="M836" s="163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  <c r="AA836" s="162"/>
    </row>
    <row r="837" spans="1:27" ht="14.25" customHeight="1">
      <c r="A837" s="162"/>
      <c r="B837" s="162"/>
      <c r="C837" s="162"/>
      <c r="D837" s="162"/>
      <c r="E837" s="162"/>
      <c r="F837" s="163"/>
      <c r="G837" s="163"/>
      <c r="H837" s="163"/>
      <c r="I837" s="163"/>
      <c r="J837" s="163"/>
      <c r="K837" s="163"/>
      <c r="L837" s="163"/>
      <c r="M837" s="163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</row>
    <row r="838" spans="1:27" ht="14.25" customHeight="1">
      <c r="A838" s="162"/>
      <c r="B838" s="162"/>
      <c r="C838" s="162"/>
      <c r="D838" s="162"/>
      <c r="E838" s="162"/>
      <c r="F838" s="163"/>
      <c r="G838" s="163"/>
      <c r="H838" s="163"/>
      <c r="I838" s="163"/>
      <c r="J838" s="163"/>
      <c r="K838" s="163"/>
      <c r="L838" s="163"/>
      <c r="M838" s="163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</row>
    <row r="839" spans="1:27" ht="14.25" customHeight="1">
      <c r="A839" s="162"/>
      <c r="B839" s="162"/>
      <c r="C839" s="162"/>
      <c r="D839" s="162"/>
      <c r="E839" s="162"/>
      <c r="F839" s="163"/>
      <c r="G839" s="163"/>
      <c r="H839" s="163"/>
      <c r="I839" s="163"/>
      <c r="J839" s="163"/>
      <c r="K839" s="163"/>
      <c r="L839" s="163"/>
      <c r="M839" s="163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  <c r="AA839" s="162"/>
    </row>
    <row r="840" spans="1:27" ht="14.25" customHeight="1">
      <c r="A840" s="162"/>
      <c r="B840" s="162"/>
      <c r="C840" s="162"/>
      <c r="D840" s="162"/>
      <c r="E840" s="162"/>
      <c r="F840" s="163"/>
      <c r="G840" s="163"/>
      <c r="H840" s="163"/>
      <c r="I840" s="163"/>
      <c r="J840" s="163"/>
      <c r="K840" s="163"/>
      <c r="L840" s="163"/>
      <c r="M840" s="163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  <c r="AA840" s="162"/>
    </row>
    <row r="841" spans="1:27" ht="14.25" customHeight="1">
      <c r="A841" s="162"/>
      <c r="B841" s="162"/>
      <c r="C841" s="162"/>
      <c r="D841" s="162"/>
      <c r="E841" s="162"/>
      <c r="F841" s="163"/>
      <c r="G841" s="163"/>
      <c r="H841" s="163"/>
      <c r="I841" s="163"/>
      <c r="J841" s="163"/>
      <c r="K841" s="163"/>
      <c r="L841" s="163"/>
      <c r="M841" s="163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  <c r="AA841" s="162"/>
    </row>
    <row r="842" spans="1:27" ht="14.25" customHeight="1">
      <c r="A842" s="162"/>
      <c r="B842" s="162"/>
      <c r="C842" s="162"/>
      <c r="D842" s="162"/>
      <c r="E842" s="162"/>
      <c r="F842" s="163"/>
      <c r="G842" s="163"/>
      <c r="H842" s="163"/>
      <c r="I842" s="163"/>
      <c r="J842" s="163"/>
      <c r="K842" s="163"/>
      <c r="L842" s="163"/>
      <c r="M842" s="163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  <c r="AA842" s="162"/>
    </row>
    <row r="843" spans="1:27" ht="14.25" customHeight="1">
      <c r="A843" s="162"/>
      <c r="B843" s="162"/>
      <c r="C843" s="162"/>
      <c r="D843" s="162"/>
      <c r="E843" s="162"/>
      <c r="F843" s="163"/>
      <c r="G843" s="163"/>
      <c r="H843" s="163"/>
      <c r="I843" s="163"/>
      <c r="J843" s="163"/>
      <c r="K843" s="163"/>
      <c r="L843" s="163"/>
      <c r="M843" s="163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  <c r="AA843" s="162"/>
    </row>
    <row r="844" spans="1:27" ht="14.25" customHeight="1">
      <c r="A844" s="162"/>
      <c r="B844" s="162"/>
      <c r="C844" s="162"/>
      <c r="D844" s="162"/>
      <c r="E844" s="162"/>
      <c r="F844" s="163"/>
      <c r="G844" s="163"/>
      <c r="H844" s="163"/>
      <c r="I844" s="163"/>
      <c r="J844" s="163"/>
      <c r="K844" s="163"/>
      <c r="L844" s="163"/>
      <c r="M844" s="163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  <c r="AA844" s="162"/>
    </row>
    <row r="845" spans="1:27" ht="14.25" hidden="1" customHeight="1">
      <c r="A845" s="162"/>
      <c r="B845" s="162"/>
      <c r="C845" s="162"/>
      <c r="D845" s="162"/>
      <c r="E845" s="162"/>
      <c r="F845" s="163"/>
      <c r="G845" s="163"/>
      <c r="H845" s="163"/>
      <c r="I845" s="163"/>
      <c r="J845" s="163"/>
      <c r="K845" s="163"/>
      <c r="L845" s="163"/>
      <c r="M845" s="163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  <c r="AA845" s="162"/>
    </row>
    <row r="846" spans="1:27" ht="14.25" hidden="1" customHeight="1">
      <c r="A846" s="162"/>
      <c r="B846" s="162"/>
      <c r="C846" s="162"/>
      <c r="D846" s="162"/>
      <c r="E846" s="162"/>
      <c r="F846" s="163"/>
      <c r="G846" s="163"/>
      <c r="H846" s="163"/>
      <c r="I846" s="163"/>
      <c r="J846" s="163"/>
      <c r="K846" s="163"/>
      <c r="L846" s="163"/>
      <c r="M846" s="163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  <c r="AA846" s="162"/>
    </row>
    <row r="847" spans="1:27" ht="14.25" hidden="1" customHeight="1">
      <c r="A847" s="162"/>
      <c r="B847" s="162"/>
      <c r="C847" s="162"/>
      <c r="D847" s="162"/>
      <c r="E847" s="162"/>
      <c r="F847" s="163"/>
      <c r="G847" s="163"/>
      <c r="H847" s="163"/>
      <c r="I847" s="163"/>
      <c r="J847" s="163"/>
      <c r="K847" s="163"/>
      <c r="L847" s="163"/>
      <c r="M847" s="163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  <c r="AA847" s="162"/>
    </row>
    <row r="848" spans="1:27" ht="14.25" hidden="1" customHeight="1">
      <c r="A848" s="162"/>
      <c r="B848" s="162"/>
      <c r="C848" s="162"/>
      <c r="D848" s="162"/>
      <c r="E848" s="162"/>
      <c r="F848" s="163"/>
      <c r="G848" s="163"/>
      <c r="H848" s="163"/>
      <c r="I848" s="163"/>
      <c r="J848" s="163"/>
      <c r="K848" s="163"/>
      <c r="L848" s="163"/>
      <c r="M848" s="163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  <c r="AA848" s="162"/>
    </row>
    <row r="849" spans="1:27" ht="14.25" hidden="1" customHeight="1">
      <c r="A849" s="162"/>
      <c r="B849" s="162"/>
      <c r="C849" s="162"/>
      <c r="D849" s="162"/>
      <c r="E849" s="162"/>
      <c r="F849" s="163"/>
      <c r="G849" s="163"/>
      <c r="H849" s="163"/>
      <c r="I849" s="163"/>
      <c r="J849" s="163"/>
      <c r="K849" s="163"/>
      <c r="L849" s="163"/>
      <c r="M849" s="163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  <c r="AA849" s="162"/>
    </row>
    <row r="850" spans="1:27" ht="14.25" hidden="1" customHeight="1">
      <c r="A850" s="162"/>
      <c r="B850" s="162"/>
      <c r="C850" s="162"/>
      <c r="D850" s="162"/>
      <c r="E850" s="162"/>
      <c r="F850" s="163"/>
      <c r="G850" s="163"/>
      <c r="H850" s="163"/>
      <c r="I850" s="163"/>
      <c r="J850" s="163"/>
      <c r="K850" s="163"/>
      <c r="L850" s="163"/>
      <c r="M850" s="163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  <c r="AA850" s="162"/>
    </row>
    <row r="851" spans="1:27" ht="14.25" hidden="1" customHeight="1">
      <c r="A851" s="162"/>
      <c r="B851" s="162"/>
      <c r="C851" s="162"/>
      <c r="D851" s="162"/>
      <c r="E851" s="162"/>
      <c r="F851" s="163"/>
      <c r="G851" s="163"/>
      <c r="H851" s="163"/>
      <c r="I851" s="163"/>
      <c r="J851" s="163"/>
      <c r="K851" s="163"/>
      <c r="L851" s="163"/>
      <c r="M851" s="163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  <c r="AA851" s="162"/>
    </row>
    <row r="852" spans="1:27" ht="14.25" hidden="1" customHeight="1">
      <c r="A852" s="162"/>
      <c r="B852" s="162"/>
      <c r="C852" s="162"/>
      <c r="D852" s="162"/>
      <c r="E852" s="162"/>
      <c r="F852" s="163"/>
      <c r="G852" s="163"/>
      <c r="H852" s="163"/>
      <c r="I852" s="163"/>
      <c r="J852" s="163"/>
      <c r="K852" s="163"/>
      <c r="L852" s="163"/>
      <c r="M852" s="163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  <c r="AA852" s="162"/>
    </row>
    <row r="853" spans="1:27" ht="14.25" hidden="1" customHeight="1">
      <c r="A853" s="162"/>
      <c r="B853" s="162"/>
      <c r="C853" s="162"/>
      <c r="D853" s="162"/>
      <c r="E853" s="162"/>
      <c r="F853" s="163"/>
      <c r="G853" s="163"/>
      <c r="H853" s="163"/>
      <c r="I853" s="163"/>
      <c r="J853" s="163"/>
      <c r="K853" s="163"/>
      <c r="L853" s="163"/>
      <c r="M853" s="163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  <c r="AA853" s="162"/>
    </row>
    <row r="854" spans="1:27" ht="14.25" hidden="1" customHeight="1">
      <c r="A854" s="162"/>
      <c r="B854" s="162"/>
      <c r="C854" s="162"/>
      <c r="D854" s="162"/>
      <c r="E854" s="162"/>
      <c r="F854" s="163"/>
      <c r="G854" s="163"/>
      <c r="H854" s="163"/>
      <c r="I854" s="163"/>
      <c r="J854" s="163"/>
      <c r="K854" s="163"/>
      <c r="L854" s="163"/>
      <c r="M854" s="163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  <c r="AA854" s="162"/>
    </row>
    <row r="855" spans="1:27" ht="14.25" hidden="1" customHeight="1">
      <c r="A855" s="162"/>
      <c r="B855" s="162"/>
      <c r="C855" s="162"/>
      <c r="D855" s="162"/>
      <c r="E855" s="162"/>
      <c r="F855" s="163"/>
      <c r="G855" s="163"/>
      <c r="H855" s="163"/>
      <c r="I855" s="163"/>
      <c r="J855" s="163"/>
      <c r="K855" s="163"/>
      <c r="L855" s="163"/>
      <c r="M855" s="163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  <c r="AA855" s="162"/>
    </row>
    <row r="856" spans="1:27" ht="14.25" hidden="1" customHeight="1">
      <c r="A856" s="162"/>
      <c r="B856" s="162"/>
      <c r="C856" s="162"/>
      <c r="D856" s="162"/>
      <c r="E856" s="162"/>
      <c r="F856" s="163"/>
      <c r="G856" s="163"/>
      <c r="H856" s="163"/>
      <c r="I856" s="163"/>
      <c r="J856" s="163"/>
      <c r="K856" s="163"/>
      <c r="L856" s="163"/>
      <c r="M856" s="163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  <c r="AA856" s="162"/>
    </row>
    <row r="857" spans="1:27" ht="14.25" hidden="1" customHeight="1">
      <c r="A857" s="162"/>
      <c r="B857" s="162"/>
      <c r="C857" s="162"/>
      <c r="D857" s="162"/>
      <c r="E857" s="162"/>
      <c r="F857" s="163"/>
      <c r="G857" s="163"/>
      <c r="H857" s="163"/>
      <c r="I857" s="163"/>
      <c r="J857" s="163"/>
      <c r="K857" s="163"/>
      <c r="L857" s="163"/>
      <c r="M857" s="163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  <c r="AA857" s="162"/>
    </row>
    <row r="858" spans="1:27" ht="14.25" hidden="1" customHeight="1">
      <c r="A858" s="162"/>
      <c r="B858" s="162"/>
      <c r="C858" s="162"/>
      <c r="D858" s="162"/>
      <c r="E858" s="162"/>
      <c r="F858" s="163"/>
      <c r="G858" s="163"/>
      <c r="H858" s="163"/>
      <c r="I858" s="163"/>
      <c r="J858" s="163"/>
      <c r="K858" s="163"/>
      <c r="L858" s="163"/>
      <c r="M858" s="163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  <c r="AA858" s="162"/>
    </row>
    <row r="859" spans="1:27" ht="14.25" hidden="1" customHeight="1">
      <c r="A859" s="162"/>
      <c r="B859" s="162"/>
      <c r="C859" s="162"/>
      <c r="D859" s="162"/>
      <c r="E859" s="162"/>
      <c r="F859" s="163"/>
      <c r="G859" s="163"/>
      <c r="H859" s="163"/>
      <c r="I859" s="163"/>
      <c r="J859" s="163"/>
      <c r="K859" s="163"/>
      <c r="L859" s="163"/>
      <c r="M859" s="163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  <c r="AA859" s="162"/>
    </row>
    <row r="860" spans="1:27" ht="14.25" hidden="1" customHeight="1">
      <c r="A860" s="162"/>
      <c r="B860" s="162"/>
      <c r="C860" s="162"/>
      <c r="D860" s="162"/>
      <c r="E860" s="162"/>
      <c r="F860" s="163"/>
      <c r="G860" s="163"/>
      <c r="H860" s="163"/>
      <c r="I860" s="163"/>
      <c r="J860" s="163"/>
      <c r="K860" s="163"/>
      <c r="L860" s="163"/>
      <c r="M860" s="163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  <c r="AA860" s="162"/>
    </row>
    <row r="861" spans="1:27" ht="14.25" hidden="1" customHeight="1">
      <c r="A861" s="162"/>
      <c r="B861" s="162"/>
      <c r="C861" s="162"/>
      <c r="D861" s="162"/>
      <c r="E861" s="162"/>
      <c r="F861" s="163"/>
      <c r="G861" s="163"/>
      <c r="H861" s="163"/>
      <c r="I861" s="163"/>
      <c r="J861" s="163"/>
      <c r="K861" s="163"/>
      <c r="L861" s="163"/>
      <c r="M861" s="163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  <c r="AA861" s="162"/>
    </row>
    <row r="862" spans="1:27" ht="14.25" hidden="1" customHeight="1">
      <c r="A862" s="162"/>
      <c r="B862" s="162"/>
      <c r="C862" s="162"/>
      <c r="D862" s="162"/>
      <c r="E862" s="162"/>
      <c r="F862" s="163"/>
      <c r="G862" s="163"/>
      <c r="H862" s="163"/>
      <c r="I862" s="163"/>
      <c r="J862" s="163"/>
      <c r="K862" s="163"/>
      <c r="L862" s="163"/>
      <c r="M862" s="163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  <c r="AA862" s="162"/>
    </row>
    <row r="863" spans="1:27" ht="14.25" hidden="1" customHeight="1">
      <c r="A863" s="162"/>
      <c r="B863" s="162"/>
      <c r="C863" s="162"/>
      <c r="D863" s="162"/>
      <c r="E863" s="162"/>
      <c r="F863" s="163"/>
      <c r="G863" s="163"/>
      <c r="H863" s="163"/>
      <c r="I863" s="163"/>
      <c r="J863" s="163"/>
      <c r="K863" s="163"/>
      <c r="L863" s="163"/>
      <c r="M863" s="163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  <c r="AA863" s="162"/>
    </row>
    <row r="864" spans="1:27" ht="14.25" hidden="1" customHeight="1">
      <c r="A864" s="162"/>
      <c r="B864" s="162"/>
      <c r="C864" s="162"/>
      <c r="D864" s="162"/>
      <c r="E864" s="162"/>
      <c r="F864" s="163"/>
      <c r="G864" s="163"/>
      <c r="H864" s="163"/>
      <c r="I864" s="163"/>
      <c r="J864" s="163"/>
      <c r="K864" s="163"/>
      <c r="L864" s="163"/>
      <c r="M864" s="163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  <c r="AA864" s="162"/>
    </row>
    <row r="865" spans="1:27" ht="14.25" hidden="1" customHeight="1">
      <c r="A865" s="162"/>
      <c r="B865" s="162"/>
      <c r="C865" s="162"/>
      <c r="D865" s="162"/>
      <c r="E865" s="162"/>
      <c r="F865" s="163"/>
      <c r="G865" s="163"/>
      <c r="H865" s="163"/>
      <c r="I865" s="163"/>
      <c r="J865" s="163"/>
      <c r="K865" s="163"/>
      <c r="L865" s="163"/>
      <c r="M865" s="163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  <c r="AA865" s="162"/>
    </row>
    <row r="866" spans="1:27" ht="14.25" customHeight="1">
      <c r="A866" s="162"/>
      <c r="B866" s="162"/>
      <c r="C866" s="162"/>
      <c r="D866" s="162"/>
      <c r="E866" s="162"/>
      <c r="F866" s="163"/>
      <c r="G866" s="163"/>
      <c r="H866" s="163"/>
      <c r="I866" s="163"/>
      <c r="J866" s="163"/>
      <c r="K866" s="163"/>
      <c r="L866" s="163"/>
      <c r="M866" s="163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  <c r="AA866" s="162"/>
    </row>
    <row r="867" spans="1:27" ht="14.25" customHeight="1">
      <c r="A867" s="162"/>
      <c r="B867" s="162"/>
      <c r="C867" s="162"/>
      <c r="D867" s="162"/>
      <c r="E867" s="162"/>
      <c r="F867" s="163"/>
      <c r="G867" s="163"/>
      <c r="H867" s="163"/>
      <c r="I867" s="163"/>
      <c r="J867" s="163"/>
      <c r="K867" s="163"/>
      <c r="L867" s="163"/>
      <c r="M867" s="163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  <c r="AA867" s="162"/>
    </row>
    <row r="868" spans="1:27" ht="14.25" customHeight="1">
      <c r="A868" s="162"/>
      <c r="B868" s="162"/>
      <c r="C868" s="162"/>
      <c r="D868" s="162"/>
      <c r="E868" s="162"/>
      <c r="F868" s="163"/>
      <c r="G868" s="163"/>
      <c r="H868" s="163"/>
      <c r="I868" s="163"/>
      <c r="J868" s="163"/>
      <c r="K868" s="163"/>
      <c r="L868" s="163"/>
      <c r="M868" s="163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  <c r="AA868" s="162"/>
    </row>
    <row r="869" spans="1:27" ht="14.25" customHeight="1">
      <c r="A869" s="162"/>
      <c r="B869" s="162"/>
      <c r="C869" s="162"/>
      <c r="D869" s="162"/>
      <c r="E869" s="162"/>
      <c r="F869" s="163"/>
      <c r="G869" s="163"/>
      <c r="H869" s="163"/>
      <c r="I869" s="163"/>
      <c r="J869" s="163"/>
      <c r="K869" s="163"/>
      <c r="L869" s="163"/>
      <c r="M869" s="163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  <c r="AA869" s="162"/>
    </row>
    <row r="870" spans="1:27" ht="14.25" customHeight="1">
      <c r="A870" s="162"/>
      <c r="B870" s="162"/>
      <c r="C870" s="162"/>
      <c r="D870" s="162"/>
      <c r="E870" s="162"/>
      <c r="F870" s="163"/>
      <c r="G870" s="163"/>
      <c r="H870" s="163"/>
      <c r="I870" s="163"/>
      <c r="J870" s="163"/>
      <c r="K870" s="163"/>
      <c r="L870" s="163"/>
      <c r="M870" s="163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  <c r="AA870" s="162"/>
    </row>
    <row r="871" spans="1:27" ht="14.25" customHeight="1">
      <c r="A871" s="162"/>
      <c r="B871" s="162"/>
      <c r="C871" s="162"/>
      <c r="D871" s="162"/>
      <c r="E871" s="162"/>
      <c r="F871" s="163"/>
      <c r="G871" s="163"/>
      <c r="H871" s="163"/>
      <c r="I871" s="163"/>
      <c r="J871" s="163"/>
      <c r="K871" s="163"/>
      <c r="L871" s="163"/>
      <c r="M871" s="163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  <c r="AA871" s="162"/>
    </row>
    <row r="872" spans="1:27" ht="14.25" customHeight="1">
      <c r="A872" s="162"/>
      <c r="B872" s="162"/>
      <c r="C872" s="162"/>
      <c r="D872" s="162"/>
      <c r="E872" s="162"/>
      <c r="F872" s="163"/>
      <c r="G872" s="163"/>
      <c r="H872" s="163"/>
      <c r="I872" s="163"/>
      <c r="J872" s="163"/>
      <c r="K872" s="163"/>
      <c r="L872" s="163"/>
      <c r="M872" s="163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  <c r="AA872" s="162"/>
    </row>
    <row r="873" spans="1:27" ht="14.25" customHeight="1">
      <c r="A873" s="162"/>
      <c r="B873" s="162"/>
      <c r="C873" s="162"/>
      <c r="D873" s="162"/>
      <c r="E873" s="162"/>
      <c r="F873" s="163"/>
      <c r="G873" s="163"/>
      <c r="H873" s="163"/>
      <c r="I873" s="163"/>
      <c r="J873" s="163"/>
      <c r="K873" s="163"/>
      <c r="L873" s="163"/>
      <c r="M873" s="163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  <c r="AA873" s="162"/>
    </row>
    <row r="874" spans="1:27" ht="14.25" customHeight="1">
      <c r="A874" s="162"/>
      <c r="B874" s="162"/>
      <c r="C874" s="162"/>
      <c r="D874" s="162"/>
      <c r="E874" s="162"/>
      <c r="F874" s="163"/>
      <c r="G874" s="163"/>
      <c r="H874" s="163"/>
      <c r="I874" s="163"/>
      <c r="J874" s="163"/>
      <c r="K874" s="163"/>
      <c r="L874" s="163"/>
      <c r="M874" s="163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</row>
    <row r="875" spans="1:27" ht="14.25" customHeight="1">
      <c r="A875" s="162"/>
      <c r="B875" s="162"/>
      <c r="C875" s="162"/>
      <c r="D875" s="162"/>
      <c r="E875" s="162"/>
      <c r="F875" s="163"/>
      <c r="G875" s="163"/>
      <c r="H875" s="163"/>
      <c r="I875" s="163"/>
      <c r="J875" s="163"/>
      <c r="K875" s="163"/>
      <c r="L875" s="163"/>
      <c r="M875" s="163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  <c r="AA875" s="162"/>
    </row>
    <row r="891" ht="14.25" hidden="1" customHeight="1"/>
    <row r="892" ht="14.25" hidden="1" customHeight="1"/>
    <row r="893" ht="14.25" hidden="1" customHeight="1"/>
    <row r="894" ht="14.25" hidden="1" customHeight="1"/>
    <row r="895" ht="14.25" hidden="1" customHeight="1"/>
    <row r="896" ht="14.25" hidden="1" customHeight="1"/>
    <row r="897" ht="14.25" hidden="1" customHeight="1"/>
    <row r="898" ht="14.25" hidden="1" customHeight="1"/>
    <row r="899" ht="14.25" hidden="1" customHeight="1"/>
    <row r="900" ht="14.25" hidden="1" customHeight="1"/>
    <row r="901" ht="14.25" hidden="1" customHeight="1"/>
    <row r="902" ht="14.25" hidden="1" customHeight="1"/>
    <row r="903" ht="14.25" hidden="1" customHeight="1"/>
    <row r="904" ht="14.25" hidden="1" customHeight="1"/>
    <row r="905" ht="14.25" hidden="1" customHeight="1"/>
    <row r="906" ht="14.25" hidden="1" customHeight="1"/>
    <row r="907" ht="14.25" hidden="1" customHeight="1"/>
    <row r="908" ht="14.25" hidden="1" customHeight="1"/>
    <row r="909" ht="14.25" hidden="1" customHeight="1"/>
    <row r="910" ht="14.25" hidden="1" customHeight="1"/>
    <row r="911" ht="14.25" hidden="1" customHeight="1"/>
    <row r="912" ht="14.25" hidden="1" customHeight="1"/>
    <row r="913" ht="14.25" hidden="1" customHeight="1"/>
    <row r="914" ht="14.25" hidden="1" customHeight="1"/>
    <row r="915" ht="14.25" hidden="1" customHeight="1"/>
    <row r="916" ht="14.25" hidden="1" customHeight="1"/>
    <row r="917" ht="14.25" hidden="1" customHeight="1"/>
    <row r="918" ht="14.25" hidden="1" customHeight="1"/>
    <row r="919" ht="14.25" hidden="1" customHeight="1"/>
    <row r="920" ht="14.25" hidden="1" customHeight="1"/>
    <row r="921" ht="14.25" hidden="1" customHeight="1"/>
    <row r="922" ht="14.25" hidden="1" customHeight="1"/>
    <row r="923" ht="14.25" hidden="1" customHeight="1"/>
    <row r="924" ht="14.25" hidden="1" customHeight="1"/>
    <row r="925" ht="14.25" hidden="1" customHeight="1"/>
    <row r="926" ht="14.25" hidden="1" customHeight="1"/>
    <row r="927" ht="14.25" hidden="1" customHeight="1"/>
    <row r="928" ht="14.25" hidden="1" customHeight="1"/>
    <row r="929" ht="14.25" hidden="1" customHeight="1"/>
    <row r="930" ht="14.25" hidden="1" customHeight="1"/>
    <row r="931" ht="14.25" hidden="1" customHeight="1"/>
    <row r="932" ht="14.25" hidden="1" customHeight="1"/>
    <row r="933" ht="14.25" hidden="1" customHeight="1"/>
    <row r="934" ht="14.25" hidden="1" customHeight="1"/>
    <row r="935" ht="14.25" hidden="1" customHeight="1"/>
    <row r="936" ht="14.25" hidden="1" customHeight="1"/>
    <row r="937" ht="14.25" hidden="1" customHeight="1"/>
    <row r="938" ht="14.25" hidden="1" customHeight="1"/>
    <row r="939" ht="14.25" hidden="1" customHeight="1"/>
    <row r="940" ht="14.25" hidden="1" customHeight="1"/>
    <row r="941" ht="14.25" hidden="1" customHeight="1"/>
    <row r="942" ht="14.25" hidden="1" customHeight="1"/>
    <row r="943" ht="14.25" hidden="1" customHeight="1"/>
    <row r="944" ht="14.25" hidden="1" customHeight="1"/>
    <row r="945" ht="14.25" hidden="1" customHeight="1"/>
    <row r="946" ht="14.25" hidden="1" customHeight="1"/>
    <row r="947" ht="14.25" hidden="1" customHeight="1"/>
    <row r="948" ht="14.25" hidden="1" customHeight="1"/>
    <row r="949" ht="14.25" hidden="1" customHeight="1"/>
    <row r="950" ht="14.25" hidden="1" customHeight="1"/>
    <row r="951" ht="14.25" hidden="1" customHeight="1"/>
    <row r="952" ht="14.25" hidden="1" customHeight="1"/>
    <row r="953" ht="14.25" hidden="1" customHeight="1"/>
    <row r="954" ht="14.25" hidden="1" customHeight="1"/>
    <row r="955" ht="14.25" hidden="1" customHeight="1"/>
    <row r="956" ht="14.25" hidden="1" customHeight="1"/>
    <row r="967" ht="14.25" hidden="1" customHeight="1"/>
    <row r="968" ht="14.25" hidden="1" customHeight="1"/>
    <row r="969" ht="14.25" hidden="1" customHeight="1"/>
    <row r="970" ht="14.25" hidden="1" customHeight="1"/>
    <row r="971" ht="14.25" hidden="1" customHeight="1"/>
    <row r="984" ht="14.25" hidden="1" customHeight="1"/>
    <row r="985" ht="14.25" hidden="1" customHeight="1"/>
    <row r="986" ht="14.25" hidden="1" customHeight="1"/>
    <row r="987" ht="14.25" hidden="1" customHeight="1"/>
    <row r="1021" ht="14.25" hidden="1" customHeight="1"/>
    <row r="1022" ht="14.25" hidden="1" customHeight="1"/>
    <row r="1023" ht="14.25" hidden="1" customHeight="1"/>
    <row r="1024" ht="14.25" hidden="1" customHeight="1"/>
    <row r="1025" ht="14.25" hidden="1" customHeight="1"/>
    <row r="1040" ht="14.25" hidden="1" customHeight="1"/>
    <row r="1041" ht="14.25" hidden="1" customHeight="1"/>
    <row r="1042" ht="14.25" hidden="1" customHeight="1"/>
    <row r="1043" ht="14.25" hidden="1" customHeight="1"/>
  </sheetData>
  <mergeCells count="650">
    <mergeCell ref="BJ55:BJ57"/>
    <mergeCell ref="BH124:BH126"/>
    <mergeCell ref="BG124:BG126"/>
    <mergeCell ref="R370:T370"/>
    <mergeCell ref="T684:V684"/>
    <mergeCell ref="S695:U695"/>
    <mergeCell ref="S696:U696"/>
    <mergeCell ref="S706:U706"/>
    <mergeCell ref="R677:T677"/>
    <mergeCell ref="U677:X677"/>
    <mergeCell ref="Y677:Z677"/>
    <mergeCell ref="S679:U679"/>
    <mergeCell ref="S680:U680"/>
    <mergeCell ref="T683:V683"/>
    <mergeCell ref="S644:U644"/>
    <mergeCell ref="S654:U654"/>
    <mergeCell ref="Y621:AA624"/>
    <mergeCell ref="R622:T622"/>
    <mergeCell ref="U622:X622"/>
    <mergeCell ref="S598:U598"/>
    <mergeCell ref="T601:V601"/>
    <mergeCell ref="T602:V602"/>
    <mergeCell ref="S609:U609"/>
    <mergeCell ref="S610:U610"/>
    <mergeCell ref="A675:C677"/>
    <mergeCell ref="D675:Q675"/>
    <mergeCell ref="R675:T675"/>
    <mergeCell ref="U675:X675"/>
    <mergeCell ref="D676:Q677"/>
    <mergeCell ref="R676:T676"/>
    <mergeCell ref="U676:X676"/>
    <mergeCell ref="A623:C625"/>
    <mergeCell ref="D623:Q623"/>
    <mergeCell ref="R623:T623"/>
    <mergeCell ref="U623:X623"/>
    <mergeCell ref="D624:Q625"/>
    <mergeCell ref="R624:T624"/>
    <mergeCell ref="U624:X624"/>
    <mergeCell ref="Y625:Z625"/>
    <mergeCell ref="S629:U629"/>
    <mergeCell ref="S630:U630"/>
    <mergeCell ref="T633:V633"/>
    <mergeCell ref="T634:V634"/>
    <mergeCell ref="S643:U643"/>
    <mergeCell ref="Y673:AA676"/>
    <mergeCell ref="R674:T674"/>
    <mergeCell ref="U674:X674"/>
    <mergeCell ref="R625:T625"/>
    <mergeCell ref="U625:X625"/>
    <mergeCell ref="T614:V614"/>
    <mergeCell ref="A673:C674"/>
    <mergeCell ref="D673:Q674"/>
    <mergeCell ref="R673:T673"/>
    <mergeCell ref="U673:X673"/>
    <mergeCell ref="R573:T573"/>
    <mergeCell ref="U573:X573"/>
    <mergeCell ref="A569:C570"/>
    <mergeCell ref="D569:Q570"/>
    <mergeCell ref="R569:T569"/>
    <mergeCell ref="U569:X569"/>
    <mergeCell ref="A621:C622"/>
    <mergeCell ref="D621:Q622"/>
    <mergeCell ref="R621:T621"/>
    <mergeCell ref="U621:X621"/>
    <mergeCell ref="S576:U576"/>
    <mergeCell ref="S577:U577"/>
    <mergeCell ref="T579:V579"/>
    <mergeCell ref="T580:V580"/>
    <mergeCell ref="S587:U587"/>
    <mergeCell ref="T613:V613"/>
    <mergeCell ref="Y569:AA572"/>
    <mergeCell ref="R570:T570"/>
    <mergeCell ref="U570:X570"/>
    <mergeCell ref="A571:C573"/>
    <mergeCell ref="D571:Q571"/>
    <mergeCell ref="R571:T571"/>
    <mergeCell ref="Y573:Z573"/>
    <mergeCell ref="U521:X521"/>
    <mergeCell ref="S543:U543"/>
    <mergeCell ref="M544:O544"/>
    <mergeCell ref="S554:U554"/>
    <mergeCell ref="S555:U555"/>
    <mergeCell ref="M556:O556"/>
    <mergeCell ref="M557:O557"/>
    <mergeCell ref="Y521:Z521"/>
    <mergeCell ref="S525:U525"/>
    <mergeCell ref="S526:U526"/>
    <mergeCell ref="S540:U540"/>
    <mergeCell ref="S541:U541"/>
    <mergeCell ref="S542:U542"/>
    <mergeCell ref="U571:X571"/>
    <mergeCell ref="D572:Q573"/>
    <mergeCell ref="R572:T572"/>
    <mergeCell ref="U572:X572"/>
    <mergeCell ref="AN507:AN509"/>
    <mergeCell ref="AO507:AO509"/>
    <mergeCell ref="AQ507:AQ509"/>
    <mergeCell ref="A517:C518"/>
    <mergeCell ref="D517:Q518"/>
    <mergeCell ref="R517:T517"/>
    <mergeCell ref="U517:X517"/>
    <mergeCell ref="Y517:AA520"/>
    <mergeCell ref="R518:T518"/>
    <mergeCell ref="U518:X518"/>
    <mergeCell ref="AG507:AG509"/>
    <mergeCell ref="AH507:AH509"/>
    <mergeCell ref="AJ507:AJ509"/>
    <mergeCell ref="AK507:AK509"/>
    <mergeCell ref="AL507:AL509"/>
    <mergeCell ref="AM507:AM509"/>
    <mergeCell ref="A519:C521"/>
    <mergeCell ref="D519:Q519"/>
    <mergeCell ref="R519:T519"/>
    <mergeCell ref="U519:X519"/>
    <mergeCell ref="D520:Q521"/>
    <mergeCell ref="R520:T520"/>
    <mergeCell ref="U520:X520"/>
    <mergeCell ref="R521:T521"/>
    <mergeCell ref="AC507:AC509"/>
    <mergeCell ref="AD507:AD509"/>
    <mergeCell ref="AE507:AE509"/>
    <mergeCell ref="AF507:AF509"/>
    <mergeCell ref="S489:U489"/>
    <mergeCell ref="S490:U490"/>
    <mergeCell ref="S491:U491"/>
    <mergeCell ref="M492:O492"/>
    <mergeCell ref="S502:U502"/>
    <mergeCell ref="S503:U503"/>
    <mergeCell ref="Y469:Z469"/>
    <mergeCell ref="S473:U473"/>
    <mergeCell ref="S474:U474"/>
    <mergeCell ref="S488:U488"/>
    <mergeCell ref="Y465:AA468"/>
    <mergeCell ref="R466:T466"/>
    <mergeCell ref="U466:X466"/>
    <mergeCell ref="M504:O504"/>
    <mergeCell ref="M505:O505"/>
    <mergeCell ref="Y417:Z417"/>
    <mergeCell ref="S429:U429"/>
    <mergeCell ref="S430:U430"/>
    <mergeCell ref="S442:U442"/>
    <mergeCell ref="Y413:AA416"/>
    <mergeCell ref="R414:T414"/>
    <mergeCell ref="U414:X414"/>
    <mergeCell ref="A467:C469"/>
    <mergeCell ref="D467:Q467"/>
    <mergeCell ref="R467:T467"/>
    <mergeCell ref="U467:X467"/>
    <mergeCell ref="D468:Q469"/>
    <mergeCell ref="R468:T468"/>
    <mergeCell ref="U468:X468"/>
    <mergeCell ref="S443:U443"/>
    <mergeCell ref="M444:O444"/>
    <mergeCell ref="S454:U454"/>
    <mergeCell ref="S455:U455"/>
    <mergeCell ref="A465:C466"/>
    <mergeCell ref="D465:Q466"/>
    <mergeCell ref="R465:T465"/>
    <mergeCell ref="U465:X465"/>
    <mergeCell ref="R469:T469"/>
    <mergeCell ref="U469:X469"/>
    <mergeCell ref="A415:C417"/>
    <mergeCell ref="D415:Q415"/>
    <mergeCell ref="R415:T415"/>
    <mergeCell ref="U415:X415"/>
    <mergeCell ref="D416:Q417"/>
    <mergeCell ref="R416:T416"/>
    <mergeCell ref="U416:X416"/>
    <mergeCell ref="T398:V398"/>
    <mergeCell ref="S405:U405"/>
    <mergeCell ref="S406:U406"/>
    <mergeCell ref="S407:U407"/>
    <mergeCell ref="S408:U408"/>
    <mergeCell ref="A413:C414"/>
    <mergeCell ref="D413:Q414"/>
    <mergeCell ref="R413:T413"/>
    <mergeCell ref="U413:X413"/>
    <mergeCell ref="R417:T417"/>
    <mergeCell ref="U417:X417"/>
    <mergeCell ref="R369:T369"/>
    <mergeCell ref="R382:T382"/>
    <mergeCell ref="R383:T383"/>
    <mergeCell ref="S394:U394"/>
    <mergeCell ref="T397:V397"/>
    <mergeCell ref="R363:T363"/>
    <mergeCell ref="U363:X363"/>
    <mergeCell ref="D364:Q365"/>
    <mergeCell ref="R364:T364"/>
    <mergeCell ref="U364:X364"/>
    <mergeCell ref="R365:T365"/>
    <mergeCell ref="U365:X365"/>
    <mergeCell ref="R351:T351"/>
    <mergeCell ref="A361:C362"/>
    <mergeCell ref="D361:Q362"/>
    <mergeCell ref="R361:T361"/>
    <mergeCell ref="U361:X361"/>
    <mergeCell ref="Y361:AA364"/>
    <mergeCell ref="R362:T362"/>
    <mergeCell ref="U362:X362"/>
    <mergeCell ref="A363:C365"/>
    <mergeCell ref="D363:Q363"/>
    <mergeCell ref="Y365:Z365"/>
    <mergeCell ref="AV340:AX340"/>
    <mergeCell ref="AV341:AX341"/>
    <mergeCell ref="AV342:AX342"/>
    <mergeCell ref="R348:T348"/>
    <mergeCell ref="R349:T349"/>
    <mergeCell ref="R350:T350"/>
    <mergeCell ref="AT327:AV327"/>
    <mergeCell ref="R333:T333"/>
    <mergeCell ref="R334:T334"/>
    <mergeCell ref="R335:T335"/>
    <mergeCell ref="R336:T336"/>
    <mergeCell ref="AV339:AX339"/>
    <mergeCell ref="R318:T318"/>
    <mergeCell ref="R319:T319"/>
    <mergeCell ref="AT319:AV319"/>
    <mergeCell ref="AT320:AV320"/>
    <mergeCell ref="AT326:AV326"/>
    <mergeCell ref="U311:X311"/>
    <mergeCell ref="D312:Q313"/>
    <mergeCell ref="R312:T312"/>
    <mergeCell ref="U312:X312"/>
    <mergeCell ref="R313:T313"/>
    <mergeCell ref="U313:X313"/>
    <mergeCell ref="A309:C310"/>
    <mergeCell ref="D309:Q310"/>
    <mergeCell ref="R309:T309"/>
    <mergeCell ref="U309:X309"/>
    <mergeCell ref="Y309:AA312"/>
    <mergeCell ref="R310:T310"/>
    <mergeCell ref="U310:X310"/>
    <mergeCell ref="A311:C313"/>
    <mergeCell ref="D311:Q311"/>
    <mergeCell ref="R311:T311"/>
    <mergeCell ref="Y313:Z313"/>
    <mergeCell ref="R300:T300"/>
    <mergeCell ref="BG302:BG303"/>
    <mergeCell ref="BF303:BF305"/>
    <mergeCell ref="BE304:BE306"/>
    <mergeCell ref="BD306:BD308"/>
    <mergeCell ref="BC307:BC309"/>
    <mergeCell ref="R283:T283"/>
    <mergeCell ref="AY283:BA283"/>
    <mergeCell ref="R284:T284"/>
    <mergeCell ref="AO290:AT290"/>
    <mergeCell ref="BI295:BI297"/>
    <mergeCell ref="R297:T297"/>
    <mergeCell ref="BH297:BH299"/>
    <mergeCell ref="R298:T298"/>
    <mergeCell ref="R299:T299"/>
    <mergeCell ref="AY275:BA275"/>
    <mergeCell ref="AY276:BA276"/>
    <mergeCell ref="AY279:BA279"/>
    <mergeCell ref="AY280:BA280"/>
    <mergeCell ref="R281:T281"/>
    <mergeCell ref="R282:T282"/>
    <mergeCell ref="AY282:BA282"/>
    <mergeCell ref="AT269:AV269"/>
    <mergeCell ref="BF269:BF271"/>
    <mergeCell ref="BG269:BG271"/>
    <mergeCell ref="BD270:BD272"/>
    <mergeCell ref="BE270:BE272"/>
    <mergeCell ref="BC271:BC273"/>
    <mergeCell ref="AT272:AV272"/>
    <mergeCell ref="AT273:AV273"/>
    <mergeCell ref="AY261:BA261"/>
    <mergeCell ref="AY262:BA262"/>
    <mergeCell ref="BI264:BI266"/>
    <mergeCell ref="R266:T266"/>
    <mergeCell ref="BH266:BH268"/>
    <mergeCell ref="R267:T267"/>
    <mergeCell ref="AT268:AV268"/>
    <mergeCell ref="R260:T260"/>
    <mergeCell ref="U260:X260"/>
    <mergeCell ref="AO260:AT260"/>
    <mergeCell ref="R261:T261"/>
    <mergeCell ref="U261:X261"/>
    <mergeCell ref="Y261:Z261"/>
    <mergeCell ref="Y257:AA260"/>
    <mergeCell ref="R258:T258"/>
    <mergeCell ref="U258:X258"/>
    <mergeCell ref="AO258:AT258"/>
    <mergeCell ref="A259:C261"/>
    <mergeCell ref="D259:Q259"/>
    <mergeCell ref="R259:T259"/>
    <mergeCell ref="U259:X259"/>
    <mergeCell ref="AO259:AT259"/>
    <mergeCell ref="D260:Q261"/>
    <mergeCell ref="R245:T245"/>
    <mergeCell ref="R246:T246"/>
    <mergeCell ref="A257:C258"/>
    <mergeCell ref="D257:Q258"/>
    <mergeCell ref="R257:T257"/>
    <mergeCell ref="U257:X257"/>
    <mergeCell ref="BF244:BF246"/>
    <mergeCell ref="BG244:BG246"/>
    <mergeCell ref="BH244:BH246"/>
    <mergeCell ref="BI244:BI246"/>
    <mergeCell ref="R217:T217"/>
    <mergeCell ref="AJ217:AL217"/>
    <mergeCell ref="R218:T218"/>
    <mergeCell ref="AT228:AV228"/>
    <mergeCell ref="AW229:AY229"/>
    <mergeCell ref="AT232:AV232"/>
    <mergeCell ref="R228:T228"/>
    <mergeCell ref="R242:T242"/>
    <mergeCell ref="Y213:Z213"/>
    <mergeCell ref="AT214:AV214"/>
    <mergeCell ref="AT215:AV215"/>
    <mergeCell ref="U209:X209"/>
    <mergeCell ref="Y209:AA212"/>
    <mergeCell ref="R210:T210"/>
    <mergeCell ref="U210:X210"/>
    <mergeCell ref="AT233:AV233"/>
    <mergeCell ref="BE244:BE246"/>
    <mergeCell ref="A211:C213"/>
    <mergeCell ref="D211:Q211"/>
    <mergeCell ref="R211:T211"/>
    <mergeCell ref="U211:X211"/>
    <mergeCell ref="D212:Q213"/>
    <mergeCell ref="R212:T212"/>
    <mergeCell ref="R197:T197"/>
    <mergeCell ref="R198:T198"/>
    <mergeCell ref="R199:T199"/>
    <mergeCell ref="R200:T200"/>
    <mergeCell ref="A209:C210"/>
    <mergeCell ref="D209:Q210"/>
    <mergeCell ref="R209:T209"/>
    <mergeCell ref="U212:X212"/>
    <mergeCell ref="R213:T213"/>
    <mergeCell ref="U213:X213"/>
    <mergeCell ref="BF192:BF194"/>
    <mergeCell ref="BG192:BG194"/>
    <mergeCell ref="BH192:BH194"/>
    <mergeCell ref="BI192:BI194"/>
    <mergeCell ref="R193:T193"/>
    <mergeCell ref="R194:T194"/>
    <mergeCell ref="AT181:AV181"/>
    <mergeCell ref="R191:T191"/>
    <mergeCell ref="R192:T192"/>
    <mergeCell ref="BC192:BC194"/>
    <mergeCell ref="BD192:BD194"/>
    <mergeCell ref="BE192:BE194"/>
    <mergeCell ref="R152:T152"/>
    <mergeCell ref="R166:T166"/>
    <mergeCell ref="R167:T167"/>
    <mergeCell ref="AT176:AV176"/>
    <mergeCell ref="AW177:AY177"/>
    <mergeCell ref="R178:T178"/>
    <mergeCell ref="AT180:AV180"/>
    <mergeCell ref="Y161:Z161"/>
    <mergeCell ref="AT162:AV162"/>
    <mergeCell ref="AT163:AV163"/>
    <mergeCell ref="R164:T164"/>
    <mergeCell ref="R165:T165"/>
    <mergeCell ref="AJ165:AL165"/>
    <mergeCell ref="AO155:AT155"/>
    <mergeCell ref="A157:C158"/>
    <mergeCell ref="D157:Q158"/>
    <mergeCell ref="R157:T157"/>
    <mergeCell ref="U157:X157"/>
    <mergeCell ref="Y157:AA160"/>
    <mergeCell ref="R158:T158"/>
    <mergeCell ref="U158:X158"/>
    <mergeCell ref="A159:C161"/>
    <mergeCell ref="D159:Q159"/>
    <mergeCell ref="R159:T159"/>
    <mergeCell ref="U159:X159"/>
    <mergeCell ref="D160:Q161"/>
    <mergeCell ref="R160:T160"/>
    <mergeCell ref="U160:X160"/>
    <mergeCell ref="R161:T161"/>
    <mergeCell ref="U161:X161"/>
    <mergeCell ref="BF124:BF126"/>
    <mergeCell ref="O134:Q134"/>
    <mergeCell ref="R149:T149"/>
    <mergeCell ref="AJ149:AL149"/>
    <mergeCell ref="R150:T150"/>
    <mergeCell ref="R151:T151"/>
    <mergeCell ref="AZ124:AZ126"/>
    <mergeCell ref="BA124:BA126"/>
    <mergeCell ref="BB124:BB126"/>
    <mergeCell ref="BC124:BC126"/>
    <mergeCell ref="BD124:BD126"/>
    <mergeCell ref="BE124:BE126"/>
    <mergeCell ref="AT124:AT126"/>
    <mergeCell ref="AU124:AU126"/>
    <mergeCell ref="AV124:AV126"/>
    <mergeCell ref="AW124:AW126"/>
    <mergeCell ref="AX124:AX126"/>
    <mergeCell ref="AY124:AY126"/>
    <mergeCell ref="AL124:AL126"/>
    <mergeCell ref="AM124:AM126"/>
    <mergeCell ref="AN124:AN126"/>
    <mergeCell ref="AO124:AO126"/>
    <mergeCell ref="AQ124:AQ126"/>
    <mergeCell ref="AS124:AS126"/>
    <mergeCell ref="AF124:AF126"/>
    <mergeCell ref="AG124:AG126"/>
    <mergeCell ref="AH124:AH126"/>
    <mergeCell ref="AI124:AI126"/>
    <mergeCell ref="AJ124:AJ126"/>
    <mergeCell ref="AK124:AK126"/>
    <mergeCell ref="T121:V121"/>
    <mergeCell ref="T122:V122"/>
    <mergeCell ref="T123:V123"/>
    <mergeCell ref="AC124:AC126"/>
    <mergeCell ref="AD124:AD126"/>
    <mergeCell ref="AE124:AE126"/>
    <mergeCell ref="T114:V114"/>
    <mergeCell ref="T115:V115"/>
    <mergeCell ref="T116:V116"/>
    <mergeCell ref="T117:V117"/>
    <mergeCell ref="T120:V120"/>
    <mergeCell ref="U107:X107"/>
    <mergeCell ref="D108:Q109"/>
    <mergeCell ref="R108:T108"/>
    <mergeCell ref="U108:X108"/>
    <mergeCell ref="R109:T109"/>
    <mergeCell ref="U109:X109"/>
    <mergeCell ref="A105:C106"/>
    <mergeCell ref="D105:Q106"/>
    <mergeCell ref="R105:T105"/>
    <mergeCell ref="U105:X105"/>
    <mergeCell ref="Y105:AA108"/>
    <mergeCell ref="R106:T106"/>
    <mergeCell ref="U106:X106"/>
    <mergeCell ref="A107:C109"/>
    <mergeCell ref="D107:Q107"/>
    <mergeCell ref="R107:T107"/>
    <mergeCell ref="Y109:Z109"/>
    <mergeCell ref="BD82:BD84"/>
    <mergeCell ref="BE82:BE84"/>
    <mergeCell ref="BF82:BF84"/>
    <mergeCell ref="BG82:BG84"/>
    <mergeCell ref="P84:Q84"/>
    <mergeCell ref="R94:S94"/>
    <mergeCell ref="AX82:AX84"/>
    <mergeCell ref="AY82:AY84"/>
    <mergeCell ref="AZ82:AZ84"/>
    <mergeCell ref="BA82:BA84"/>
    <mergeCell ref="BB82:BB84"/>
    <mergeCell ref="BC82:BC84"/>
    <mergeCell ref="AR82:AR84"/>
    <mergeCell ref="AS82:AS84"/>
    <mergeCell ref="AT82:AT84"/>
    <mergeCell ref="AU82:AU84"/>
    <mergeCell ref="AV82:AV84"/>
    <mergeCell ref="AW82:AW84"/>
    <mergeCell ref="AL82:AL84"/>
    <mergeCell ref="AM82:AM84"/>
    <mergeCell ref="AN82:AN84"/>
    <mergeCell ref="AO82:AO84"/>
    <mergeCell ref="AP82:AP84"/>
    <mergeCell ref="AQ82:AQ84"/>
    <mergeCell ref="AF82:AF84"/>
    <mergeCell ref="AG82:AG84"/>
    <mergeCell ref="AH82:AH84"/>
    <mergeCell ref="AI82:AI84"/>
    <mergeCell ref="AJ82:AJ84"/>
    <mergeCell ref="AK82:AK84"/>
    <mergeCell ref="R79:T79"/>
    <mergeCell ref="R81:S81"/>
    <mergeCell ref="R82:S82"/>
    <mergeCell ref="AC82:AC84"/>
    <mergeCell ref="AD82:AD84"/>
    <mergeCell ref="AE82:AE84"/>
    <mergeCell ref="U67:W67"/>
    <mergeCell ref="U68:W68"/>
    <mergeCell ref="U69:W69"/>
    <mergeCell ref="M72:O72"/>
    <mergeCell ref="M73:O73"/>
    <mergeCell ref="D74:J74"/>
    <mergeCell ref="M74:O74"/>
    <mergeCell ref="M60:O60"/>
    <mergeCell ref="M61:O61"/>
    <mergeCell ref="M62:O62"/>
    <mergeCell ref="M63:O63"/>
    <mergeCell ref="M64:O64"/>
    <mergeCell ref="M65:O65"/>
    <mergeCell ref="BE55:BE57"/>
    <mergeCell ref="BF55:BF57"/>
    <mergeCell ref="BG55:BG57"/>
    <mergeCell ref="BH55:BH57"/>
    <mergeCell ref="BI55:BI57"/>
    <mergeCell ref="D56:Q57"/>
    <mergeCell ref="R56:T56"/>
    <mergeCell ref="U56:X56"/>
    <mergeCell ref="R57:T57"/>
    <mergeCell ref="U57:X57"/>
    <mergeCell ref="AY55:AY57"/>
    <mergeCell ref="AZ55:AZ57"/>
    <mergeCell ref="BA55:BA57"/>
    <mergeCell ref="BB55:BB57"/>
    <mergeCell ref="BC55:BC57"/>
    <mergeCell ref="BD55:BD57"/>
    <mergeCell ref="AS55:AS57"/>
    <mergeCell ref="AT55:AT57"/>
    <mergeCell ref="AU55:AU57"/>
    <mergeCell ref="AV55:AV57"/>
    <mergeCell ref="AW55:AW57"/>
    <mergeCell ref="AX55:AX57"/>
    <mergeCell ref="AM55:AM57"/>
    <mergeCell ref="AN55:AN57"/>
    <mergeCell ref="AO55:AO57"/>
    <mergeCell ref="AP55:AP57"/>
    <mergeCell ref="AQ55:AQ57"/>
    <mergeCell ref="AR55:AR57"/>
    <mergeCell ref="AG55:AG57"/>
    <mergeCell ref="AH55:AH57"/>
    <mergeCell ref="AI55:AI57"/>
    <mergeCell ref="AJ55:AJ57"/>
    <mergeCell ref="AK55:AK57"/>
    <mergeCell ref="AL55:AL57"/>
    <mergeCell ref="AC55:AC57"/>
    <mergeCell ref="AD55:AD57"/>
    <mergeCell ref="AE55:AE57"/>
    <mergeCell ref="AF55:AF57"/>
    <mergeCell ref="Y57:Z57"/>
    <mergeCell ref="Y51:Z51"/>
    <mergeCell ref="A53:C54"/>
    <mergeCell ref="D53:Q54"/>
    <mergeCell ref="R53:T53"/>
    <mergeCell ref="U53:X53"/>
    <mergeCell ref="Y53:AA56"/>
    <mergeCell ref="R54:T54"/>
    <mergeCell ref="U54:X54"/>
    <mergeCell ref="A55:C57"/>
    <mergeCell ref="D55:Q55"/>
    <mergeCell ref="C51:E51"/>
    <mergeCell ref="F51:G51"/>
    <mergeCell ref="H51:I51"/>
    <mergeCell ref="J51:K51"/>
    <mergeCell ref="L51:M51"/>
    <mergeCell ref="N51:Q51"/>
    <mergeCell ref="R51:T51"/>
    <mergeCell ref="U51:X51"/>
    <mergeCell ref="R55:T55"/>
    <mergeCell ref="U55:X55"/>
    <mergeCell ref="R49:T49"/>
    <mergeCell ref="U49:X49"/>
    <mergeCell ref="Y49:Z49"/>
    <mergeCell ref="C50:E50"/>
    <mergeCell ref="F50:G50"/>
    <mergeCell ref="H50:I50"/>
    <mergeCell ref="J50:K50"/>
    <mergeCell ref="L50:M50"/>
    <mergeCell ref="N50:Q50"/>
    <mergeCell ref="R50:T50"/>
    <mergeCell ref="C49:E49"/>
    <mergeCell ref="F49:G49"/>
    <mergeCell ref="H49:I49"/>
    <mergeCell ref="J49:K49"/>
    <mergeCell ref="L49:M49"/>
    <mergeCell ref="N49:Q49"/>
    <mergeCell ref="U50:X50"/>
    <mergeCell ref="Y50:Z50"/>
    <mergeCell ref="C48:E48"/>
    <mergeCell ref="F48:G48"/>
    <mergeCell ref="H48:I48"/>
    <mergeCell ref="J48:K48"/>
    <mergeCell ref="L48:M48"/>
    <mergeCell ref="N48:Q48"/>
    <mergeCell ref="R48:T48"/>
    <mergeCell ref="U48:X48"/>
    <mergeCell ref="Y48:Z48"/>
    <mergeCell ref="C47:E47"/>
    <mergeCell ref="F47:G47"/>
    <mergeCell ref="H47:I47"/>
    <mergeCell ref="J47:K47"/>
    <mergeCell ref="L47:M47"/>
    <mergeCell ref="N47:Q47"/>
    <mergeCell ref="R47:T47"/>
    <mergeCell ref="U47:X47"/>
    <mergeCell ref="Y47:Z47"/>
    <mergeCell ref="R45:T45"/>
    <mergeCell ref="U45:X45"/>
    <mergeCell ref="Y45:Z45"/>
    <mergeCell ref="C46:E46"/>
    <mergeCell ref="F46:G46"/>
    <mergeCell ref="H46:I46"/>
    <mergeCell ref="J46:K46"/>
    <mergeCell ref="L46:M46"/>
    <mergeCell ref="N46:Q46"/>
    <mergeCell ref="R46:T46"/>
    <mergeCell ref="C45:E45"/>
    <mergeCell ref="F45:G45"/>
    <mergeCell ref="H45:I45"/>
    <mergeCell ref="J45:K45"/>
    <mergeCell ref="L45:M45"/>
    <mergeCell ref="N45:Q45"/>
    <mergeCell ref="U46:X46"/>
    <mergeCell ref="Y46:Z46"/>
    <mergeCell ref="C44:E44"/>
    <mergeCell ref="F44:G44"/>
    <mergeCell ref="H44:I44"/>
    <mergeCell ref="J44:K44"/>
    <mergeCell ref="L44:M44"/>
    <mergeCell ref="N44:Q44"/>
    <mergeCell ref="R44:T44"/>
    <mergeCell ref="U44:X44"/>
    <mergeCell ref="Y44:Z44"/>
    <mergeCell ref="C43:E43"/>
    <mergeCell ref="F43:G43"/>
    <mergeCell ref="H43:I43"/>
    <mergeCell ref="J43:K43"/>
    <mergeCell ref="L43:M43"/>
    <mergeCell ref="N43:Q43"/>
    <mergeCell ref="R43:T43"/>
    <mergeCell ref="U43:X43"/>
    <mergeCell ref="Y43:Z43"/>
    <mergeCell ref="C42:E42"/>
    <mergeCell ref="F42:G42"/>
    <mergeCell ref="H42:I42"/>
    <mergeCell ref="J42:K42"/>
    <mergeCell ref="L42:M42"/>
    <mergeCell ref="N42:Q42"/>
    <mergeCell ref="R42:T42"/>
    <mergeCell ref="U42:X42"/>
    <mergeCell ref="Y42:Z42"/>
    <mergeCell ref="C40:E41"/>
    <mergeCell ref="F40:G40"/>
    <mergeCell ref="H40:I41"/>
    <mergeCell ref="J40:K41"/>
    <mergeCell ref="L40:M41"/>
    <mergeCell ref="N40:Q40"/>
    <mergeCell ref="R40:T40"/>
    <mergeCell ref="U40:X40"/>
    <mergeCell ref="Y40:Z41"/>
    <mergeCell ref="N41:Q41"/>
    <mergeCell ref="R41:T41"/>
    <mergeCell ref="U41:X41"/>
    <mergeCell ref="Y1:AA4"/>
    <mergeCell ref="R2:T2"/>
    <mergeCell ref="U2:X2"/>
    <mergeCell ref="A3:C5"/>
    <mergeCell ref="D3:Q3"/>
    <mergeCell ref="R3:T3"/>
    <mergeCell ref="U3:X3"/>
    <mergeCell ref="D4:Q5"/>
    <mergeCell ref="R4:T4"/>
    <mergeCell ref="U4:X4"/>
    <mergeCell ref="R5:T5"/>
    <mergeCell ref="U5:X5"/>
    <mergeCell ref="A1:C2"/>
    <mergeCell ref="D1:Q2"/>
    <mergeCell ref="R1:T1"/>
    <mergeCell ref="U1:X1"/>
    <mergeCell ref="Y5:Z5"/>
  </mergeCells>
  <printOptions horizontalCentered="1" verticalCentered="1"/>
  <pageMargins left="0.25" right="0.25" top="0.75" bottom="0.75" header="0.3" footer="0.3"/>
  <pageSetup paperSize="9" fitToHeight="0" orientation="portrait" r:id="rId1"/>
  <headerFooter alignWithMargins="0"/>
  <rowBreaks count="13" manualBreakCount="13">
    <brk id="52" max="26" man="1"/>
    <brk id="104" max="26" man="1"/>
    <brk id="156" max="26" man="1"/>
    <brk id="208" max="26" man="1"/>
    <brk id="256" max="26" man="1"/>
    <brk id="308" max="26" man="1"/>
    <brk id="360" max="26" man="1"/>
    <brk id="412" max="26" man="1"/>
    <brk id="464" max="26" man="1"/>
    <brk id="516" max="26" man="1"/>
    <brk id="568" max="26" man="1"/>
    <brk id="620" max="26" man="1"/>
    <brk id="672" max="2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5466"/>
  <sheetViews>
    <sheetView zoomScaleNormal="100" workbookViewId="0">
      <selection activeCell="D52" sqref="D52:D66"/>
    </sheetView>
  </sheetViews>
  <sheetFormatPr defaultRowHeight="11.4"/>
  <cols>
    <col min="1" max="1" width="9.21875" style="12"/>
    <col min="2" max="16" width="3" style="12" customWidth="1"/>
    <col min="17" max="17" width="4" style="12" customWidth="1"/>
    <col min="18" max="19" width="3" style="12" customWidth="1"/>
    <col min="20" max="20" width="3.5546875" style="12" customWidth="1"/>
    <col min="21" max="27" width="3" style="12" customWidth="1"/>
    <col min="28" max="28" width="9.21875" style="12"/>
    <col min="29" max="38" width="9.21875" style="1"/>
    <col min="39" max="39" width="10" style="1" customWidth="1"/>
    <col min="40" max="44" width="9.21875" style="1"/>
    <col min="45" max="45" width="9.5546875" style="1" customWidth="1"/>
    <col min="46" max="143" width="9.21875" style="1"/>
    <col min="144" max="161" width="3" style="1" customWidth="1"/>
    <col min="162" max="162" width="3.5546875" style="1" customWidth="1"/>
    <col min="163" max="169" width="3" style="1" customWidth="1"/>
    <col min="170" max="180" width="9.21875" style="1"/>
    <col min="181" max="181" width="10" style="1" customWidth="1"/>
    <col min="182" max="186" width="9.21875" style="1"/>
    <col min="187" max="187" width="9.5546875" style="1" customWidth="1"/>
    <col min="188" max="399" width="9.21875" style="1"/>
    <col min="400" max="417" width="3" style="1" customWidth="1"/>
    <col min="418" max="418" width="3.5546875" style="1" customWidth="1"/>
    <col min="419" max="425" width="3" style="1" customWidth="1"/>
    <col min="426" max="436" width="9.21875" style="1"/>
    <col min="437" max="437" width="10" style="1" customWidth="1"/>
    <col min="438" max="442" width="9.21875" style="1"/>
    <col min="443" max="443" width="9.5546875" style="1" customWidth="1"/>
    <col min="444" max="655" width="9.21875" style="1"/>
    <col min="656" max="673" width="3" style="1" customWidth="1"/>
    <col min="674" max="674" width="3.5546875" style="1" customWidth="1"/>
    <col min="675" max="681" width="3" style="1" customWidth="1"/>
    <col min="682" max="692" width="9.21875" style="1"/>
    <col min="693" max="693" width="10" style="1" customWidth="1"/>
    <col min="694" max="698" width="9.21875" style="1"/>
    <col min="699" max="699" width="9.5546875" style="1" customWidth="1"/>
    <col min="700" max="911" width="9.21875" style="1"/>
    <col min="912" max="929" width="3" style="1" customWidth="1"/>
    <col min="930" max="930" width="3.5546875" style="1" customWidth="1"/>
    <col min="931" max="937" width="3" style="1" customWidth="1"/>
    <col min="938" max="948" width="9.21875" style="1"/>
    <col min="949" max="949" width="10" style="1" customWidth="1"/>
    <col min="950" max="954" width="9.21875" style="1"/>
    <col min="955" max="955" width="9.5546875" style="1" customWidth="1"/>
    <col min="956" max="1167" width="9.21875" style="1"/>
    <col min="1168" max="1185" width="3" style="1" customWidth="1"/>
    <col min="1186" max="1186" width="3.5546875" style="1" customWidth="1"/>
    <col min="1187" max="1193" width="3" style="1" customWidth="1"/>
    <col min="1194" max="1204" width="9.21875" style="1"/>
    <col min="1205" max="1205" width="10" style="1" customWidth="1"/>
    <col min="1206" max="1210" width="9.21875" style="1"/>
    <col min="1211" max="1211" width="9.5546875" style="1" customWidth="1"/>
    <col min="1212" max="1423" width="9.21875" style="1"/>
    <col min="1424" max="1441" width="3" style="1" customWidth="1"/>
    <col min="1442" max="1442" width="3.5546875" style="1" customWidth="1"/>
    <col min="1443" max="1449" width="3" style="1" customWidth="1"/>
    <col min="1450" max="1460" width="9.21875" style="1"/>
    <col min="1461" max="1461" width="10" style="1" customWidth="1"/>
    <col min="1462" max="1466" width="9.21875" style="1"/>
    <col min="1467" max="1467" width="9.5546875" style="1" customWidth="1"/>
    <col min="1468" max="1679" width="9.21875" style="1"/>
    <col min="1680" max="1697" width="3" style="1" customWidth="1"/>
    <col min="1698" max="1698" width="3.5546875" style="1" customWidth="1"/>
    <col min="1699" max="1705" width="3" style="1" customWidth="1"/>
    <col min="1706" max="1716" width="9.21875" style="1"/>
    <col min="1717" max="1717" width="10" style="1" customWidth="1"/>
    <col min="1718" max="1722" width="9.21875" style="1"/>
    <col min="1723" max="1723" width="9.5546875" style="1" customWidth="1"/>
    <col min="1724" max="1935" width="9.21875" style="1"/>
    <col min="1936" max="1953" width="3" style="1" customWidth="1"/>
    <col min="1954" max="1954" width="3.5546875" style="1" customWidth="1"/>
    <col min="1955" max="1961" width="3" style="1" customWidth="1"/>
    <col min="1962" max="1972" width="9.21875" style="1"/>
    <col min="1973" max="1973" width="10" style="1" customWidth="1"/>
    <col min="1974" max="1978" width="9.21875" style="1"/>
    <col min="1979" max="1979" width="9.5546875" style="1" customWidth="1"/>
    <col min="1980" max="2191" width="9.21875" style="1"/>
    <col min="2192" max="2209" width="3" style="1" customWidth="1"/>
    <col min="2210" max="2210" width="3.5546875" style="1" customWidth="1"/>
    <col min="2211" max="2217" width="3" style="1" customWidth="1"/>
    <col min="2218" max="2228" width="9.21875" style="1"/>
    <col min="2229" max="2229" width="10" style="1" customWidth="1"/>
    <col min="2230" max="2234" width="9.21875" style="1"/>
    <col min="2235" max="2235" width="9.5546875" style="1" customWidth="1"/>
    <col min="2236" max="2447" width="9.21875" style="1"/>
    <col min="2448" max="2465" width="3" style="1" customWidth="1"/>
    <col min="2466" max="2466" width="3.5546875" style="1" customWidth="1"/>
    <col min="2467" max="2473" width="3" style="1" customWidth="1"/>
    <col min="2474" max="2484" width="9.21875" style="1"/>
    <col min="2485" max="2485" width="10" style="1" customWidth="1"/>
    <col min="2486" max="2490" width="9.21875" style="1"/>
    <col min="2491" max="2491" width="9.5546875" style="1" customWidth="1"/>
    <col min="2492" max="2703" width="9.21875" style="1"/>
    <col min="2704" max="2721" width="3" style="1" customWidth="1"/>
    <col min="2722" max="2722" width="3.5546875" style="1" customWidth="1"/>
    <col min="2723" max="2729" width="3" style="1" customWidth="1"/>
    <col min="2730" max="2740" width="9.21875" style="1"/>
    <col min="2741" max="2741" width="10" style="1" customWidth="1"/>
    <col min="2742" max="2746" width="9.21875" style="1"/>
    <col min="2747" max="2747" width="9.5546875" style="1" customWidth="1"/>
    <col min="2748" max="2959" width="9.21875" style="1"/>
    <col min="2960" max="2977" width="3" style="1" customWidth="1"/>
    <col min="2978" max="2978" width="3.5546875" style="1" customWidth="1"/>
    <col min="2979" max="2985" width="3" style="1" customWidth="1"/>
    <col min="2986" max="2996" width="9.21875" style="1"/>
    <col min="2997" max="2997" width="10" style="1" customWidth="1"/>
    <col min="2998" max="3002" width="9.21875" style="1"/>
    <col min="3003" max="3003" width="9.5546875" style="1" customWidth="1"/>
    <col min="3004" max="3215" width="9.21875" style="1"/>
    <col min="3216" max="3233" width="3" style="1" customWidth="1"/>
    <col min="3234" max="3234" width="3.5546875" style="1" customWidth="1"/>
    <col min="3235" max="3241" width="3" style="1" customWidth="1"/>
    <col min="3242" max="3252" width="9.21875" style="1"/>
    <col min="3253" max="3253" width="10" style="1" customWidth="1"/>
    <col min="3254" max="3258" width="9.21875" style="1"/>
    <col min="3259" max="3259" width="9.5546875" style="1" customWidth="1"/>
    <col min="3260" max="3471" width="9.21875" style="1"/>
    <col min="3472" max="3489" width="3" style="1" customWidth="1"/>
    <col min="3490" max="3490" width="3.5546875" style="1" customWidth="1"/>
    <col min="3491" max="3497" width="3" style="1" customWidth="1"/>
    <col min="3498" max="3508" width="9.21875" style="1"/>
    <col min="3509" max="3509" width="10" style="1" customWidth="1"/>
    <col min="3510" max="3514" width="9.21875" style="1"/>
    <col min="3515" max="3515" width="9.5546875" style="1" customWidth="1"/>
    <col min="3516" max="3727" width="9.21875" style="1"/>
    <col min="3728" max="3745" width="3" style="1" customWidth="1"/>
    <col min="3746" max="3746" width="3.5546875" style="1" customWidth="1"/>
    <col min="3747" max="3753" width="3" style="1" customWidth="1"/>
    <col min="3754" max="3764" width="9.21875" style="1"/>
    <col min="3765" max="3765" width="10" style="1" customWidth="1"/>
    <col min="3766" max="3770" width="9.21875" style="1"/>
    <col min="3771" max="3771" width="9.5546875" style="1" customWidth="1"/>
    <col min="3772" max="3983" width="9.21875" style="1"/>
    <col min="3984" max="4001" width="3" style="1" customWidth="1"/>
    <col min="4002" max="4002" width="3.5546875" style="1" customWidth="1"/>
    <col min="4003" max="4009" width="3" style="1" customWidth="1"/>
    <col min="4010" max="4020" width="9.21875" style="1"/>
    <col min="4021" max="4021" width="10" style="1" customWidth="1"/>
    <col min="4022" max="4026" width="9.21875" style="1"/>
    <col min="4027" max="4027" width="9.5546875" style="1" customWidth="1"/>
    <col min="4028" max="4239" width="9.21875" style="1"/>
    <col min="4240" max="4257" width="3" style="1" customWidth="1"/>
    <col min="4258" max="4258" width="3.5546875" style="1" customWidth="1"/>
    <col min="4259" max="4265" width="3" style="1" customWidth="1"/>
    <col min="4266" max="4276" width="9.21875" style="1"/>
    <col min="4277" max="4277" width="10" style="1" customWidth="1"/>
    <col min="4278" max="4282" width="9.21875" style="1"/>
    <col min="4283" max="4283" width="9.5546875" style="1" customWidth="1"/>
    <col min="4284" max="4495" width="9.21875" style="1"/>
    <col min="4496" max="4513" width="3" style="1" customWidth="1"/>
    <col min="4514" max="4514" width="3.5546875" style="1" customWidth="1"/>
    <col min="4515" max="4521" width="3" style="1" customWidth="1"/>
    <col min="4522" max="4532" width="9.21875" style="1"/>
    <col min="4533" max="4533" width="10" style="1" customWidth="1"/>
    <col min="4534" max="4538" width="9.21875" style="1"/>
    <col min="4539" max="4539" width="9.5546875" style="1" customWidth="1"/>
    <col min="4540" max="4751" width="9.21875" style="1"/>
    <col min="4752" max="4769" width="3" style="1" customWidth="1"/>
    <col min="4770" max="4770" width="3.5546875" style="1" customWidth="1"/>
    <col min="4771" max="4777" width="3" style="1" customWidth="1"/>
    <col min="4778" max="4788" width="9.21875" style="1"/>
    <col min="4789" max="4789" width="10" style="1" customWidth="1"/>
    <col min="4790" max="4794" width="9.21875" style="1"/>
    <col min="4795" max="4795" width="9.5546875" style="1" customWidth="1"/>
    <col min="4796" max="5007" width="9.21875" style="1"/>
    <col min="5008" max="5025" width="3" style="1" customWidth="1"/>
    <col min="5026" max="5026" width="3.5546875" style="1" customWidth="1"/>
    <col min="5027" max="5033" width="3" style="1" customWidth="1"/>
    <col min="5034" max="5044" width="9.21875" style="1"/>
    <col min="5045" max="5045" width="10" style="1" customWidth="1"/>
    <col min="5046" max="5050" width="9.21875" style="1"/>
    <col min="5051" max="5051" width="9.5546875" style="1" customWidth="1"/>
    <col min="5052" max="5263" width="9.21875" style="1"/>
    <col min="5264" max="5281" width="3" style="1" customWidth="1"/>
    <col min="5282" max="5282" width="3.5546875" style="1" customWidth="1"/>
    <col min="5283" max="5289" width="3" style="1" customWidth="1"/>
    <col min="5290" max="5300" width="9.21875" style="1"/>
    <col min="5301" max="5301" width="10" style="1" customWidth="1"/>
    <col min="5302" max="5306" width="9.21875" style="1"/>
    <col min="5307" max="5307" width="9.5546875" style="1" customWidth="1"/>
    <col min="5308" max="5519" width="9.21875" style="1"/>
    <col min="5520" max="5537" width="3" style="1" customWidth="1"/>
    <col min="5538" max="5538" width="3.5546875" style="1" customWidth="1"/>
    <col min="5539" max="5545" width="3" style="1" customWidth="1"/>
    <col min="5546" max="5556" width="9.21875" style="1"/>
    <col min="5557" max="5557" width="10" style="1" customWidth="1"/>
    <col min="5558" max="5562" width="9.21875" style="1"/>
    <col min="5563" max="5563" width="9.5546875" style="1" customWidth="1"/>
    <col min="5564" max="5775" width="9.21875" style="1"/>
    <col min="5776" max="5793" width="3" style="1" customWidth="1"/>
    <col min="5794" max="5794" width="3.5546875" style="1" customWidth="1"/>
    <col min="5795" max="5801" width="3" style="1" customWidth="1"/>
    <col min="5802" max="5812" width="9.21875" style="1"/>
    <col min="5813" max="5813" width="10" style="1" customWidth="1"/>
    <col min="5814" max="5818" width="9.21875" style="1"/>
    <col min="5819" max="5819" width="9.5546875" style="1" customWidth="1"/>
    <col min="5820" max="6031" width="9.21875" style="1"/>
    <col min="6032" max="6049" width="3" style="1" customWidth="1"/>
    <col min="6050" max="6050" width="3.5546875" style="1" customWidth="1"/>
    <col min="6051" max="6057" width="3" style="1" customWidth="1"/>
    <col min="6058" max="6068" width="9.21875" style="1"/>
    <col min="6069" max="6069" width="10" style="1" customWidth="1"/>
    <col min="6070" max="6074" width="9.21875" style="1"/>
    <col min="6075" max="6075" width="9.5546875" style="1" customWidth="1"/>
    <col min="6076" max="6287" width="9.21875" style="1"/>
    <col min="6288" max="6305" width="3" style="1" customWidth="1"/>
    <col min="6306" max="6306" width="3.5546875" style="1" customWidth="1"/>
    <col min="6307" max="6313" width="3" style="1" customWidth="1"/>
    <col min="6314" max="6324" width="9.21875" style="1"/>
    <col min="6325" max="6325" width="10" style="1" customWidth="1"/>
    <col min="6326" max="6330" width="9.21875" style="1"/>
    <col min="6331" max="6331" width="9.5546875" style="1" customWidth="1"/>
    <col min="6332" max="6543" width="9.21875" style="1"/>
    <col min="6544" max="6561" width="3" style="1" customWidth="1"/>
    <col min="6562" max="6562" width="3.5546875" style="1" customWidth="1"/>
    <col min="6563" max="6569" width="3" style="1" customWidth="1"/>
    <col min="6570" max="6580" width="9.21875" style="1"/>
    <col min="6581" max="6581" width="10" style="1" customWidth="1"/>
    <col min="6582" max="6586" width="9.21875" style="1"/>
    <col min="6587" max="6587" width="9.5546875" style="1" customWidth="1"/>
    <col min="6588" max="6799" width="9.21875" style="1"/>
    <col min="6800" max="6817" width="3" style="1" customWidth="1"/>
    <col min="6818" max="6818" width="3.5546875" style="1" customWidth="1"/>
    <col min="6819" max="6825" width="3" style="1" customWidth="1"/>
    <col min="6826" max="6836" width="9.21875" style="1"/>
    <col min="6837" max="6837" width="10" style="1" customWidth="1"/>
    <col min="6838" max="6842" width="9.21875" style="1"/>
    <col min="6843" max="6843" width="9.5546875" style="1" customWidth="1"/>
    <col min="6844" max="7055" width="9.21875" style="1"/>
    <col min="7056" max="7073" width="3" style="1" customWidth="1"/>
    <col min="7074" max="7074" width="3.5546875" style="1" customWidth="1"/>
    <col min="7075" max="7081" width="3" style="1" customWidth="1"/>
    <col min="7082" max="7092" width="9.21875" style="1"/>
    <col min="7093" max="7093" width="10" style="1" customWidth="1"/>
    <col min="7094" max="7098" width="9.21875" style="1"/>
    <col min="7099" max="7099" width="9.5546875" style="1" customWidth="1"/>
    <col min="7100" max="7311" width="9.21875" style="1"/>
    <col min="7312" max="7329" width="3" style="1" customWidth="1"/>
    <col min="7330" max="7330" width="3.5546875" style="1" customWidth="1"/>
    <col min="7331" max="7337" width="3" style="1" customWidth="1"/>
    <col min="7338" max="7348" width="9.21875" style="1"/>
    <col min="7349" max="7349" width="10" style="1" customWidth="1"/>
    <col min="7350" max="7354" width="9.21875" style="1"/>
    <col min="7355" max="7355" width="9.5546875" style="1" customWidth="1"/>
    <col min="7356" max="7567" width="9.21875" style="1"/>
    <col min="7568" max="7585" width="3" style="1" customWidth="1"/>
    <col min="7586" max="7586" width="3.5546875" style="1" customWidth="1"/>
    <col min="7587" max="7593" width="3" style="1" customWidth="1"/>
    <col min="7594" max="7604" width="9.21875" style="1"/>
    <col min="7605" max="7605" width="10" style="1" customWidth="1"/>
    <col min="7606" max="7610" width="9.21875" style="1"/>
    <col min="7611" max="7611" width="9.5546875" style="1" customWidth="1"/>
    <col min="7612" max="7823" width="9.21875" style="1"/>
    <col min="7824" max="7841" width="3" style="1" customWidth="1"/>
    <col min="7842" max="7842" width="3.5546875" style="1" customWidth="1"/>
    <col min="7843" max="7849" width="3" style="1" customWidth="1"/>
    <col min="7850" max="7860" width="9.21875" style="1"/>
    <col min="7861" max="7861" width="10" style="1" customWidth="1"/>
    <col min="7862" max="7866" width="9.21875" style="1"/>
    <col min="7867" max="7867" width="9.5546875" style="1" customWidth="1"/>
    <col min="7868" max="8079" width="9.21875" style="1"/>
    <col min="8080" max="8097" width="3" style="1" customWidth="1"/>
    <col min="8098" max="8098" width="3.5546875" style="1" customWidth="1"/>
    <col min="8099" max="8105" width="3" style="1" customWidth="1"/>
    <col min="8106" max="8116" width="9.21875" style="1"/>
    <col min="8117" max="8117" width="10" style="1" customWidth="1"/>
    <col min="8118" max="8122" width="9.21875" style="1"/>
    <col min="8123" max="8123" width="9.5546875" style="1" customWidth="1"/>
    <col min="8124" max="8335" width="9.21875" style="1"/>
    <col min="8336" max="8353" width="3" style="1" customWidth="1"/>
    <col min="8354" max="8354" width="3.5546875" style="1" customWidth="1"/>
    <col min="8355" max="8361" width="3" style="1" customWidth="1"/>
    <col min="8362" max="8372" width="9.21875" style="1"/>
    <col min="8373" max="8373" width="10" style="1" customWidth="1"/>
    <col min="8374" max="8378" width="9.21875" style="1"/>
    <col min="8379" max="8379" width="9.5546875" style="1" customWidth="1"/>
    <col min="8380" max="8591" width="9.21875" style="1"/>
    <col min="8592" max="8609" width="3" style="1" customWidth="1"/>
    <col min="8610" max="8610" width="3.5546875" style="1" customWidth="1"/>
    <col min="8611" max="8617" width="3" style="1" customWidth="1"/>
    <col min="8618" max="8628" width="9.21875" style="1"/>
    <col min="8629" max="8629" width="10" style="1" customWidth="1"/>
    <col min="8630" max="8634" width="9.21875" style="1"/>
    <col min="8635" max="8635" width="9.5546875" style="1" customWidth="1"/>
    <col min="8636" max="8847" width="9.21875" style="1"/>
    <col min="8848" max="8865" width="3" style="1" customWidth="1"/>
    <col min="8866" max="8866" width="3.5546875" style="1" customWidth="1"/>
    <col min="8867" max="8873" width="3" style="1" customWidth="1"/>
    <col min="8874" max="8884" width="9.21875" style="1"/>
    <col min="8885" max="8885" width="10" style="1" customWidth="1"/>
    <col min="8886" max="8890" width="9.21875" style="1"/>
    <col min="8891" max="8891" width="9.5546875" style="1" customWidth="1"/>
    <col min="8892" max="9103" width="9.21875" style="1"/>
    <col min="9104" max="9121" width="3" style="1" customWidth="1"/>
    <col min="9122" max="9122" width="3.5546875" style="1" customWidth="1"/>
    <col min="9123" max="9129" width="3" style="1" customWidth="1"/>
    <col min="9130" max="9140" width="9.21875" style="1"/>
    <col min="9141" max="9141" width="10" style="1" customWidth="1"/>
    <col min="9142" max="9146" width="9.21875" style="1"/>
    <col min="9147" max="9147" width="9.5546875" style="1" customWidth="1"/>
    <col min="9148" max="9359" width="9.21875" style="1"/>
    <col min="9360" max="9377" width="3" style="1" customWidth="1"/>
    <col min="9378" max="9378" width="3.5546875" style="1" customWidth="1"/>
    <col min="9379" max="9385" width="3" style="1" customWidth="1"/>
    <col min="9386" max="9396" width="9.21875" style="1"/>
    <col min="9397" max="9397" width="10" style="1" customWidth="1"/>
    <col min="9398" max="9402" width="9.21875" style="1"/>
    <col min="9403" max="9403" width="9.5546875" style="1" customWidth="1"/>
    <col min="9404" max="9615" width="9.21875" style="1"/>
    <col min="9616" max="9633" width="3" style="1" customWidth="1"/>
    <col min="9634" max="9634" width="3.5546875" style="1" customWidth="1"/>
    <col min="9635" max="9641" width="3" style="1" customWidth="1"/>
    <col min="9642" max="9652" width="9.21875" style="1"/>
    <col min="9653" max="9653" width="10" style="1" customWidth="1"/>
    <col min="9654" max="9658" width="9.21875" style="1"/>
    <col min="9659" max="9659" width="9.5546875" style="1" customWidth="1"/>
    <col min="9660" max="9871" width="9.21875" style="1"/>
    <col min="9872" max="9889" width="3" style="1" customWidth="1"/>
    <col min="9890" max="9890" width="3.5546875" style="1" customWidth="1"/>
    <col min="9891" max="9897" width="3" style="1" customWidth="1"/>
    <col min="9898" max="9908" width="9.21875" style="1"/>
    <col min="9909" max="9909" width="10" style="1" customWidth="1"/>
    <col min="9910" max="9914" width="9.21875" style="1"/>
    <col min="9915" max="9915" width="9.5546875" style="1" customWidth="1"/>
    <col min="9916" max="10127" width="9.21875" style="1"/>
    <col min="10128" max="10145" width="3" style="1" customWidth="1"/>
    <col min="10146" max="10146" width="3.5546875" style="1" customWidth="1"/>
    <col min="10147" max="10153" width="3" style="1" customWidth="1"/>
    <col min="10154" max="10164" width="9.21875" style="1"/>
    <col min="10165" max="10165" width="10" style="1" customWidth="1"/>
    <col min="10166" max="10170" width="9.21875" style="1"/>
    <col min="10171" max="10171" width="9.5546875" style="1" customWidth="1"/>
    <col min="10172" max="10383" width="9.21875" style="1"/>
    <col min="10384" max="10401" width="3" style="1" customWidth="1"/>
    <col min="10402" max="10402" width="3.5546875" style="1" customWidth="1"/>
    <col min="10403" max="10409" width="3" style="1" customWidth="1"/>
    <col min="10410" max="10420" width="9.21875" style="1"/>
    <col min="10421" max="10421" width="10" style="1" customWidth="1"/>
    <col min="10422" max="10426" width="9.21875" style="1"/>
    <col min="10427" max="10427" width="9.5546875" style="1" customWidth="1"/>
    <col min="10428" max="10639" width="9.21875" style="1"/>
    <col min="10640" max="10657" width="3" style="1" customWidth="1"/>
    <col min="10658" max="10658" width="3.5546875" style="1" customWidth="1"/>
    <col min="10659" max="10665" width="3" style="1" customWidth="1"/>
    <col min="10666" max="10676" width="9.21875" style="1"/>
    <col min="10677" max="10677" width="10" style="1" customWidth="1"/>
    <col min="10678" max="10682" width="9.21875" style="1"/>
    <col min="10683" max="10683" width="9.5546875" style="1" customWidth="1"/>
    <col min="10684" max="10895" width="9.21875" style="1"/>
    <col min="10896" max="10913" width="3" style="1" customWidth="1"/>
    <col min="10914" max="10914" width="3.5546875" style="1" customWidth="1"/>
    <col min="10915" max="10921" width="3" style="1" customWidth="1"/>
    <col min="10922" max="10932" width="9.21875" style="1"/>
    <col min="10933" max="10933" width="10" style="1" customWidth="1"/>
    <col min="10934" max="10938" width="9.21875" style="1"/>
    <col min="10939" max="10939" width="9.5546875" style="1" customWidth="1"/>
    <col min="10940" max="11151" width="9.21875" style="1"/>
    <col min="11152" max="11169" width="3" style="1" customWidth="1"/>
    <col min="11170" max="11170" width="3.5546875" style="1" customWidth="1"/>
    <col min="11171" max="11177" width="3" style="1" customWidth="1"/>
    <col min="11178" max="11188" width="9.21875" style="1"/>
    <col min="11189" max="11189" width="10" style="1" customWidth="1"/>
    <col min="11190" max="11194" width="9.21875" style="1"/>
    <col min="11195" max="11195" width="9.5546875" style="1" customWidth="1"/>
    <col min="11196" max="11407" width="9.21875" style="1"/>
    <col min="11408" max="11425" width="3" style="1" customWidth="1"/>
    <col min="11426" max="11426" width="3.5546875" style="1" customWidth="1"/>
    <col min="11427" max="11433" width="3" style="1" customWidth="1"/>
    <col min="11434" max="11444" width="9.21875" style="1"/>
    <col min="11445" max="11445" width="10" style="1" customWidth="1"/>
    <col min="11446" max="11450" width="9.21875" style="1"/>
    <col min="11451" max="11451" width="9.5546875" style="1" customWidth="1"/>
    <col min="11452" max="11663" width="9.21875" style="1"/>
    <col min="11664" max="11681" width="3" style="1" customWidth="1"/>
    <col min="11682" max="11682" width="3.5546875" style="1" customWidth="1"/>
    <col min="11683" max="11689" width="3" style="1" customWidth="1"/>
    <col min="11690" max="11700" width="9.21875" style="1"/>
    <col min="11701" max="11701" width="10" style="1" customWidth="1"/>
    <col min="11702" max="11706" width="9.21875" style="1"/>
    <col min="11707" max="11707" width="9.5546875" style="1" customWidth="1"/>
    <col min="11708" max="11919" width="9.21875" style="1"/>
    <col min="11920" max="11937" width="3" style="1" customWidth="1"/>
    <col min="11938" max="11938" width="3.5546875" style="1" customWidth="1"/>
    <col min="11939" max="11945" width="3" style="1" customWidth="1"/>
    <col min="11946" max="11956" width="9.21875" style="1"/>
    <col min="11957" max="11957" width="10" style="1" customWidth="1"/>
    <col min="11958" max="11962" width="9.21875" style="1"/>
    <col min="11963" max="11963" width="9.5546875" style="1" customWidth="1"/>
    <col min="11964" max="12175" width="9.21875" style="1"/>
    <col min="12176" max="12193" width="3" style="1" customWidth="1"/>
    <col min="12194" max="12194" width="3.5546875" style="1" customWidth="1"/>
    <col min="12195" max="12201" width="3" style="1" customWidth="1"/>
    <col min="12202" max="12212" width="9.21875" style="1"/>
    <col min="12213" max="12213" width="10" style="1" customWidth="1"/>
    <col min="12214" max="12218" width="9.21875" style="1"/>
    <col min="12219" max="12219" width="9.5546875" style="1" customWidth="1"/>
    <col min="12220" max="12431" width="9.21875" style="1"/>
    <col min="12432" max="12449" width="3" style="1" customWidth="1"/>
    <col min="12450" max="12450" width="3.5546875" style="1" customWidth="1"/>
    <col min="12451" max="12457" width="3" style="1" customWidth="1"/>
    <col min="12458" max="12468" width="9.21875" style="1"/>
    <col min="12469" max="12469" width="10" style="1" customWidth="1"/>
    <col min="12470" max="12474" width="9.21875" style="1"/>
    <col min="12475" max="12475" width="9.5546875" style="1" customWidth="1"/>
    <col min="12476" max="12687" width="9.21875" style="1"/>
    <col min="12688" max="12705" width="3" style="1" customWidth="1"/>
    <col min="12706" max="12706" width="3.5546875" style="1" customWidth="1"/>
    <col min="12707" max="12713" width="3" style="1" customWidth="1"/>
    <col min="12714" max="12724" width="9.21875" style="1"/>
    <col min="12725" max="12725" width="10" style="1" customWidth="1"/>
    <col min="12726" max="12730" width="9.21875" style="1"/>
    <col min="12731" max="12731" width="9.5546875" style="1" customWidth="1"/>
    <col min="12732" max="12943" width="9.21875" style="1"/>
    <col min="12944" max="12961" width="3" style="1" customWidth="1"/>
    <col min="12962" max="12962" width="3.5546875" style="1" customWidth="1"/>
    <col min="12963" max="12969" width="3" style="1" customWidth="1"/>
    <col min="12970" max="12980" width="9.21875" style="1"/>
    <col min="12981" max="12981" width="10" style="1" customWidth="1"/>
    <col min="12982" max="12986" width="9.21875" style="1"/>
    <col min="12987" max="12987" width="9.5546875" style="1" customWidth="1"/>
    <col min="12988" max="13199" width="9.21875" style="1"/>
    <col min="13200" max="13217" width="3" style="1" customWidth="1"/>
    <col min="13218" max="13218" width="3.5546875" style="1" customWidth="1"/>
    <col min="13219" max="13225" width="3" style="1" customWidth="1"/>
    <col min="13226" max="13236" width="9.21875" style="1"/>
    <col min="13237" max="13237" width="10" style="1" customWidth="1"/>
    <col min="13238" max="13242" width="9.21875" style="1"/>
    <col min="13243" max="13243" width="9.5546875" style="1" customWidth="1"/>
    <col min="13244" max="13455" width="9.21875" style="1"/>
    <col min="13456" max="13473" width="3" style="1" customWidth="1"/>
    <col min="13474" max="13474" width="3.5546875" style="1" customWidth="1"/>
    <col min="13475" max="13481" width="3" style="1" customWidth="1"/>
    <col min="13482" max="13492" width="9.21875" style="1"/>
    <col min="13493" max="13493" width="10" style="1" customWidth="1"/>
    <col min="13494" max="13498" width="9.21875" style="1"/>
    <col min="13499" max="13499" width="9.5546875" style="1" customWidth="1"/>
    <col min="13500" max="13711" width="9.21875" style="1"/>
    <col min="13712" max="13729" width="3" style="1" customWidth="1"/>
    <col min="13730" max="13730" width="3.5546875" style="1" customWidth="1"/>
    <col min="13731" max="13737" width="3" style="1" customWidth="1"/>
    <col min="13738" max="13748" width="9.21875" style="1"/>
    <col min="13749" max="13749" width="10" style="1" customWidth="1"/>
    <col min="13750" max="13754" width="9.21875" style="1"/>
    <col min="13755" max="13755" width="9.5546875" style="1" customWidth="1"/>
    <col min="13756" max="13967" width="9.21875" style="1"/>
    <col min="13968" max="13985" width="3" style="1" customWidth="1"/>
    <col min="13986" max="13986" width="3.5546875" style="1" customWidth="1"/>
    <col min="13987" max="13993" width="3" style="1" customWidth="1"/>
    <col min="13994" max="14004" width="9.21875" style="1"/>
    <col min="14005" max="14005" width="10" style="1" customWidth="1"/>
    <col min="14006" max="14010" width="9.21875" style="1"/>
    <col min="14011" max="14011" width="9.5546875" style="1" customWidth="1"/>
    <col min="14012" max="14223" width="9.21875" style="1"/>
    <col min="14224" max="14241" width="3" style="1" customWidth="1"/>
    <col min="14242" max="14242" width="3.5546875" style="1" customWidth="1"/>
    <col min="14243" max="14249" width="3" style="1" customWidth="1"/>
    <col min="14250" max="14260" width="9.21875" style="1"/>
    <col min="14261" max="14261" width="10" style="1" customWidth="1"/>
    <col min="14262" max="14266" width="9.21875" style="1"/>
    <col min="14267" max="14267" width="9.5546875" style="1" customWidth="1"/>
    <col min="14268" max="14479" width="9.21875" style="1"/>
    <col min="14480" max="14497" width="3" style="1" customWidth="1"/>
    <col min="14498" max="14498" width="3.5546875" style="1" customWidth="1"/>
    <col min="14499" max="14505" width="3" style="1" customWidth="1"/>
    <col min="14506" max="14516" width="9.21875" style="1"/>
    <col min="14517" max="14517" width="10" style="1" customWidth="1"/>
    <col min="14518" max="14522" width="9.21875" style="1"/>
    <col min="14523" max="14523" width="9.5546875" style="1" customWidth="1"/>
    <col min="14524" max="14735" width="9.21875" style="1"/>
    <col min="14736" max="14753" width="3" style="1" customWidth="1"/>
    <col min="14754" max="14754" width="3.5546875" style="1" customWidth="1"/>
    <col min="14755" max="14761" width="3" style="1" customWidth="1"/>
    <col min="14762" max="14772" width="9.21875" style="1"/>
    <col min="14773" max="14773" width="10" style="1" customWidth="1"/>
    <col min="14774" max="14778" width="9.21875" style="1"/>
    <col min="14779" max="14779" width="9.5546875" style="1" customWidth="1"/>
    <col min="14780" max="14991" width="9.21875" style="1"/>
    <col min="14992" max="15009" width="3" style="1" customWidth="1"/>
    <col min="15010" max="15010" width="3.5546875" style="1" customWidth="1"/>
    <col min="15011" max="15017" width="3" style="1" customWidth="1"/>
    <col min="15018" max="15028" width="9.21875" style="1"/>
    <col min="15029" max="15029" width="10" style="1" customWidth="1"/>
    <col min="15030" max="15034" width="9.21875" style="1"/>
    <col min="15035" max="15035" width="9.5546875" style="1" customWidth="1"/>
    <col min="15036" max="15247" width="9.21875" style="1"/>
    <col min="15248" max="15265" width="3" style="1" customWidth="1"/>
    <col min="15266" max="15266" width="3.5546875" style="1" customWidth="1"/>
    <col min="15267" max="15273" width="3" style="1" customWidth="1"/>
    <col min="15274" max="15284" width="9.21875" style="1"/>
    <col min="15285" max="15285" width="10" style="1" customWidth="1"/>
    <col min="15286" max="15290" width="9.21875" style="1"/>
    <col min="15291" max="15291" width="9.5546875" style="1" customWidth="1"/>
    <col min="15292" max="15503" width="9.21875" style="1"/>
    <col min="15504" max="15521" width="3" style="1" customWidth="1"/>
    <col min="15522" max="15522" width="3.5546875" style="1" customWidth="1"/>
    <col min="15523" max="15529" width="3" style="1" customWidth="1"/>
    <col min="15530" max="15540" width="9.21875" style="1"/>
    <col min="15541" max="15541" width="10" style="1" customWidth="1"/>
    <col min="15542" max="15546" width="9.21875" style="1"/>
    <col min="15547" max="15547" width="9.5546875" style="1" customWidth="1"/>
    <col min="15548" max="15759" width="9.21875" style="1"/>
    <col min="15760" max="15777" width="3" style="1" customWidth="1"/>
    <col min="15778" max="15778" width="3.5546875" style="1" customWidth="1"/>
    <col min="15779" max="15785" width="3" style="1" customWidth="1"/>
    <col min="15786" max="15796" width="9.21875" style="1"/>
    <col min="15797" max="15797" width="10" style="1" customWidth="1"/>
    <col min="15798" max="15802" width="9.21875" style="1"/>
    <col min="15803" max="15803" width="9.5546875" style="1" customWidth="1"/>
    <col min="15804" max="16015" width="9.21875" style="1"/>
    <col min="16016" max="16033" width="3" style="1" customWidth="1"/>
    <col min="16034" max="16034" width="3.5546875" style="1" customWidth="1"/>
    <col min="16035" max="16041" width="3" style="1" customWidth="1"/>
    <col min="16042" max="16052" width="9.21875" style="1"/>
    <col min="16053" max="16053" width="10" style="1" customWidth="1"/>
    <col min="16054" max="16058" width="9.21875" style="1"/>
    <col min="16059" max="16059" width="9.5546875" style="1" customWidth="1"/>
    <col min="16060" max="16384" width="9.21875" style="1"/>
  </cols>
  <sheetData>
    <row r="1" spans="1:54" ht="12.75" customHeight="1">
      <c r="A1" s="98" t="s">
        <v>282</v>
      </c>
      <c r="B1" s="99"/>
      <c r="C1" s="99"/>
      <c r="D1" s="99"/>
      <c r="E1" s="99"/>
      <c r="F1" s="99"/>
      <c r="G1" s="99"/>
      <c r="H1" s="99"/>
      <c r="I1" s="99"/>
      <c r="J1" s="99"/>
      <c r="K1" s="100"/>
      <c r="L1" s="662"/>
      <c r="M1" s="663"/>
      <c r="N1" s="663"/>
      <c r="O1" s="663"/>
      <c r="P1" s="663"/>
      <c r="Q1" s="663"/>
      <c r="R1" s="663"/>
      <c r="S1" s="663"/>
      <c r="T1" s="663"/>
      <c r="U1" s="663"/>
      <c r="V1" s="663"/>
      <c r="W1" s="663"/>
      <c r="X1" s="663"/>
      <c r="Y1" s="663"/>
      <c r="Z1" s="663"/>
      <c r="AA1" s="663"/>
      <c r="AB1" s="664"/>
      <c r="AD1" s="12"/>
      <c r="AE1" s="12"/>
      <c r="AF1" s="12"/>
      <c r="AG1" s="655"/>
      <c r="AH1" s="655"/>
      <c r="AI1" s="595"/>
      <c r="AJ1" s="595"/>
      <c r="AK1" s="595"/>
      <c r="AL1" s="595"/>
      <c r="AM1" s="668"/>
      <c r="AN1" s="668"/>
      <c r="AO1" s="595"/>
      <c r="AP1" s="595"/>
      <c r="AQ1" s="595"/>
      <c r="AR1" s="595"/>
      <c r="AS1" s="595"/>
      <c r="AT1" s="595"/>
      <c r="AU1" s="595"/>
      <c r="AV1" s="595"/>
      <c r="AW1" s="595"/>
      <c r="AX1" s="655"/>
      <c r="AY1" s="595"/>
      <c r="AZ1" s="595"/>
      <c r="BA1" s="595"/>
    </row>
    <row r="2" spans="1:54" ht="12.75" customHeight="1">
      <c r="A2" s="656" t="s">
        <v>283</v>
      </c>
      <c r="B2" s="657"/>
      <c r="C2" s="657"/>
      <c r="D2" s="657"/>
      <c r="E2" s="657"/>
      <c r="F2" s="657"/>
      <c r="G2" s="657"/>
      <c r="H2" s="657"/>
      <c r="I2" s="657"/>
      <c r="J2" s="657"/>
      <c r="K2" s="658"/>
      <c r="L2" s="665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7"/>
      <c r="AD2" s="12"/>
      <c r="AE2" s="12"/>
      <c r="AF2" s="12"/>
      <c r="AG2" s="76"/>
      <c r="AH2" s="77"/>
      <c r="AI2" s="595"/>
      <c r="AJ2" s="595"/>
      <c r="AK2" s="595"/>
      <c r="AL2" s="595"/>
      <c r="AM2" s="668"/>
      <c r="AN2" s="668"/>
      <c r="AO2" s="595"/>
      <c r="AP2" s="595"/>
      <c r="AQ2" s="595"/>
      <c r="AR2" s="595"/>
      <c r="AS2" s="595"/>
      <c r="AT2" s="595"/>
      <c r="AU2" s="595"/>
      <c r="AV2" s="595"/>
      <c r="AW2" s="595"/>
      <c r="AX2" s="595"/>
      <c r="AY2" s="595"/>
      <c r="AZ2" s="595"/>
      <c r="BA2" s="595"/>
    </row>
    <row r="3" spans="1:54" ht="12.75" customHeight="1">
      <c r="A3" s="656"/>
      <c r="B3" s="657"/>
      <c r="C3" s="657"/>
      <c r="D3" s="657"/>
      <c r="E3" s="657"/>
      <c r="F3" s="657"/>
      <c r="G3" s="657"/>
      <c r="H3" s="657"/>
      <c r="I3" s="657"/>
      <c r="J3" s="657"/>
      <c r="K3" s="658"/>
      <c r="L3" s="665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7"/>
      <c r="AD3" s="596"/>
      <c r="AE3" s="596"/>
      <c r="AF3" s="596"/>
      <c r="AG3" s="595"/>
      <c r="AH3" s="595"/>
      <c r="AI3" s="595"/>
      <c r="AJ3" s="595"/>
      <c r="AK3" s="595"/>
      <c r="AL3" s="595"/>
      <c r="AM3" s="595"/>
      <c r="AN3" s="595"/>
      <c r="AO3" s="595"/>
      <c r="AP3" s="595"/>
      <c r="AQ3" s="595"/>
      <c r="AR3" s="595"/>
      <c r="AS3" s="649"/>
      <c r="AT3" s="649"/>
      <c r="AU3" s="649"/>
      <c r="AV3" s="595"/>
      <c r="AW3" s="595"/>
      <c r="AX3" s="595"/>
      <c r="AY3" s="595"/>
      <c r="AZ3" s="595"/>
      <c r="BA3" s="595"/>
    </row>
    <row r="4" spans="1:54" ht="12.75" customHeight="1">
      <c r="A4" s="659"/>
      <c r="B4" s="660"/>
      <c r="C4" s="660"/>
      <c r="D4" s="660"/>
      <c r="E4" s="660"/>
      <c r="F4" s="660"/>
      <c r="G4" s="660"/>
      <c r="H4" s="660"/>
      <c r="I4" s="660"/>
      <c r="J4" s="660"/>
      <c r="K4" s="661"/>
      <c r="L4" s="652"/>
      <c r="M4" s="653"/>
      <c r="N4" s="653"/>
      <c r="O4" s="653"/>
      <c r="P4" s="653"/>
      <c r="Q4" s="653"/>
      <c r="R4" s="653"/>
      <c r="S4" s="653"/>
      <c r="T4" s="653"/>
      <c r="U4" s="653"/>
      <c r="V4" s="653"/>
      <c r="W4" s="653"/>
      <c r="X4" s="653"/>
      <c r="Y4" s="653"/>
      <c r="Z4" s="653"/>
      <c r="AA4" s="653"/>
      <c r="AB4" s="654"/>
      <c r="AD4" s="596"/>
      <c r="AE4" s="596"/>
      <c r="AF4" s="596"/>
      <c r="AG4" s="595"/>
      <c r="AH4" s="595"/>
      <c r="AI4" s="595"/>
      <c r="AJ4" s="595"/>
      <c r="AK4" s="595"/>
      <c r="AL4" s="595"/>
      <c r="AM4" s="595"/>
      <c r="AN4" s="595"/>
      <c r="AO4" s="595"/>
      <c r="AP4" s="595"/>
      <c r="AQ4" s="595"/>
      <c r="AR4" s="595"/>
      <c r="AS4" s="597"/>
      <c r="AT4" s="597"/>
      <c r="AU4" s="597"/>
      <c r="AV4" s="595"/>
      <c r="AW4" s="595"/>
      <c r="AX4" s="595"/>
      <c r="AY4" s="595"/>
      <c r="AZ4" s="595"/>
      <c r="BA4" s="595"/>
    </row>
    <row r="5" spans="1:54" ht="12.75" customHeight="1">
      <c r="A5" s="137" t="s">
        <v>284</v>
      </c>
      <c r="B5" s="2"/>
      <c r="C5" s="2"/>
      <c r="D5" s="2"/>
      <c r="E5" s="2"/>
      <c r="F5" s="2"/>
      <c r="G5" s="2"/>
      <c r="H5" s="2"/>
      <c r="I5" s="2"/>
      <c r="J5" s="3"/>
      <c r="K5" s="4"/>
      <c r="L5" s="138" t="s">
        <v>285</v>
      </c>
      <c r="M5" s="139"/>
      <c r="N5" s="139"/>
      <c r="O5" s="140"/>
      <c r="P5" s="643" t="s">
        <v>286</v>
      </c>
      <c r="Q5" s="643"/>
      <c r="R5" s="643"/>
      <c r="S5" s="644"/>
      <c r="T5" s="141" t="s">
        <v>287</v>
      </c>
      <c r="U5" s="142"/>
      <c r="V5" s="139"/>
      <c r="W5" s="139"/>
      <c r="X5" s="139"/>
      <c r="Y5" s="650"/>
      <c r="Z5" s="650"/>
      <c r="AA5" s="650"/>
      <c r="AB5" s="651"/>
      <c r="AD5" s="78"/>
      <c r="AE5" s="78"/>
      <c r="AF5" s="78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9"/>
      <c r="AT5" s="79"/>
      <c r="AU5" s="79"/>
      <c r="AV5" s="77"/>
      <c r="AW5" s="77"/>
      <c r="AX5" s="77"/>
      <c r="AY5" s="77"/>
      <c r="AZ5" s="77"/>
      <c r="BA5" s="77"/>
    </row>
    <row r="6" spans="1:54" ht="12.75" customHeight="1">
      <c r="A6" s="640" t="s">
        <v>288</v>
      </c>
      <c r="B6" s="641"/>
      <c r="C6" s="641"/>
      <c r="D6" s="641"/>
      <c r="E6" s="641"/>
      <c r="F6" s="641"/>
      <c r="G6" s="641"/>
      <c r="H6" s="641"/>
      <c r="I6" s="641"/>
      <c r="J6" s="641"/>
      <c r="K6" s="642"/>
      <c r="L6" s="143" t="s">
        <v>289</v>
      </c>
      <c r="M6" s="144"/>
      <c r="N6" s="144"/>
      <c r="O6" s="140"/>
      <c r="P6" s="643" t="s">
        <v>290</v>
      </c>
      <c r="Q6" s="643"/>
      <c r="R6" s="643"/>
      <c r="S6" s="644"/>
      <c r="T6" s="141" t="s">
        <v>291</v>
      </c>
      <c r="U6" s="142"/>
      <c r="V6" s="645">
        <f ca="1">TODAY()</f>
        <v>45183</v>
      </c>
      <c r="W6" s="645"/>
      <c r="X6" s="645"/>
      <c r="Y6" s="645"/>
      <c r="Z6" s="645"/>
      <c r="AA6" s="145"/>
      <c r="AB6" s="146" t="s">
        <v>292</v>
      </c>
      <c r="AC6" s="7"/>
      <c r="AD6" s="78"/>
      <c r="AE6" s="78"/>
      <c r="AF6" s="78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9"/>
      <c r="AT6" s="79"/>
      <c r="AU6" s="79"/>
      <c r="AV6" s="77"/>
      <c r="AW6" s="77"/>
      <c r="AX6" s="77"/>
      <c r="AY6" s="77"/>
      <c r="AZ6" s="77"/>
      <c r="BA6" s="77"/>
    </row>
    <row r="7" spans="1:54" ht="12.75" customHeight="1">
      <c r="A7" s="646" t="s">
        <v>293</v>
      </c>
      <c r="B7" s="647"/>
      <c r="C7" s="647"/>
      <c r="D7" s="647"/>
      <c r="E7" s="647"/>
      <c r="F7" s="647"/>
      <c r="G7" s="647"/>
      <c r="H7" s="647"/>
      <c r="I7" s="647"/>
      <c r="J7" s="647"/>
      <c r="K7" s="648"/>
      <c r="L7" s="138" t="s">
        <v>294</v>
      </c>
      <c r="M7" s="139"/>
      <c r="N7" s="139"/>
      <c r="O7" s="139"/>
      <c r="P7" s="643" t="s">
        <v>295</v>
      </c>
      <c r="Q7" s="643"/>
      <c r="R7" s="643"/>
      <c r="S7" s="644"/>
      <c r="T7" s="141" t="s">
        <v>291</v>
      </c>
      <c r="U7" s="142"/>
      <c r="V7" s="645"/>
      <c r="W7" s="645"/>
      <c r="X7" s="645"/>
      <c r="Y7" s="645"/>
      <c r="Z7" s="645"/>
      <c r="AA7" s="147"/>
      <c r="AB7" s="101">
        <v>0</v>
      </c>
      <c r="AC7" s="7"/>
      <c r="AD7" s="78"/>
      <c r="AE7" s="78"/>
      <c r="AF7" s="78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9"/>
      <c r="AT7" s="79"/>
      <c r="AU7" s="79"/>
      <c r="AV7" s="77"/>
      <c r="AW7" s="77"/>
      <c r="AX7" s="77"/>
      <c r="AY7" s="77"/>
      <c r="AZ7" s="77"/>
      <c r="BA7" s="77"/>
    </row>
    <row r="8" spans="1:54" ht="12.75" customHeight="1">
      <c r="A8" s="148" t="s">
        <v>296</v>
      </c>
      <c r="B8" s="617"/>
      <c r="C8" s="618"/>
      <c r="D8" s="618"/>
      <c r="E8" s="618"/>
      <c r="F8" s="618"/>
      <c r="G8" s="618"/>
      <c r="H8" s="618"/>
      <c r="I8" s="618"/>
      <c r="J8" s="618"/>
      <c r="K8" s="619"/>
      <c r="L8" s="149" t="s">
        <v>297</v>
      </c>
      <c r="M8" s="150"/>
      <c r="N8" s="150"/>
      <c r="O8" s="618"/>
      <c r="P8" s="618"/>
      <c r="Q8" s="618"/>
      <c r="R8" s="618"/>
      <c r="S8" s="618"/>
      <c r="T8" s="618"/>
      <c r="U8" s="618"/>
      <c r="V8" s="618"/>
      <c r="W8" s="618"/>
      <c r="X8" s="618"/>
      <c r="Y8" s="618"/>
      <c r="Z8" s="618"/>
      <c r="AA8" s="619"/>
      <c r="AB8" s="151" t="s">
        <v>298</v>
      </c>
      <c r="AC8" s="7"/>
      <c r="AD8" s="78"/>
      <c r="AE8" s="78"/>
      <c r="AF8" s="78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9"/>
      <c r="AT8" s="79"/>
      <c r="AU8" s="79"/>
      <c r="AV8" s="77"/>
      <c r="AW8" s="77"/>
      <c r="AX8" s="77"/>
      <c r="AY8" s="77"/>
      <c r="AZ8" s="77"/>
      <c r="BA8" s="77"/>
    </row>
    <row r="9" spans="1:54" ht="12.75" customHeight="1">
      <c r="A9" s="15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53"/>
      <c r="AB9" s="154"/>
      <c r="AD9" s="78"/>
      <c r="AE9" s="78"/>
      <c r="AF9" s="78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9"/>
      <c r="AT9" s="79"/>
      <c r="AU9" s="79"/>
      <c r="AV9" s="77"/>
      <c r="AW9" s="77"/>
      <c r="AX9" s="77"/>
      <c r="AY9" s="77"/>
      <c r="AZ9" s="77"/>
      <c r="BA9" s="77"/>
    </row>
    <row r="10" spans="1:54" ht="12.75" customHeight="1">
      <c r="A10" s="102"/>
      <c r="B10" s="13" t="s">
        <v>299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4"/>
      <c r="AB10" s="103"/>
      <c r="AD10" s="78"/>
      <c r="AE10" s="78"/>
      <c r="AF10" s="78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9"/>
      <c r="AT10" s="79"/>
      <c r="AU10" s="79"/>
      <c r="AV10" s="77"/>
      <c r="AW10" s="77"/>
      <c r="AX10" s="77"/>
      <c r="AY10" s="77"/>
      <c r="AZ10" s="77"/>
      <c r="BA10" s="77"/>
      <c r="BB10" s="15"/>
    </row>
    <row r="11" spans="1:54" ht="12.75" customHeight="1" thickBot="1">
      <c r="A11" s="10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4"/>
      <c r="AB11" s="103"/>
      <c r="AD11" s="78"/>
      <c r="AE11" s="78"/>
      <c r="AF11" s="78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9"/>
      <c r="AT11" s="79"/>
      <c r="AU11" s="79"/>
      <c r="AV11" s="77"/>
      <c r="AW11" s="77"/>
      <c r="AX11" s="77"/>
      <c r="AY11" s="77"/>
      <c r="AZ11" s="77"/>
      <c r="BA11" s="77"/>
      <c r="BB11" s="15"/>
    </row>
    <row r="12" spans="1:54" s="15" customFormat="1" ht="12.75" customHeight="1">
      <c r="A12" s="59"/>
      <c r="B12" s="620" t="s">
        <v>300</v>
      </c>
      <c r="C12" s="621"/>
      <c r="D12" s="621"/>
      <c r="E12" s="622"/>
      <c r="F12" s="626" t="s">
        <v>22</v>
      </c>
      <c r="G12" s="627"/>
      <c r="H12" s="628"/>
      <c r="I12" s="80"/>
      <c r="J12" s="81" t="s">
        <v>301</v>
      </c>
      <c r="K12" s="80"/>
      <c r="L12" s="629" t="s">
        <v>302</v>
      </c>
      <c r="M12" s="630"/>
      <c r="N12" s="631"/>
      <c r="O12" s="626" t="s">
        <v>303</v>
      </c>
      <c r="P12" s="627"/>
      <c r="Q12" s="635"/>
      <c r="R12" s="11"/>
      <c r="S12" s="11"/>
      <c r="T12" s="11"/>
      <c r="U12" s="11"/>
      <c r="V12" s="11"/>
      <c r="W12" s="11"/>
      <c r="X12" s="11"/>
      <c r="Y12" s="11"/>
      <c r="Z12" s="11"/>
      <c r="AA12" s="14"/>
      <c r="AB12" s="60"/>
      <c r="AD12" s="78"/>
      <c r="AE12" s="78"/>
      <c r="AF12" s="78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9"/>
      <c r="AT12" s="79"/>
      <c r="AU12" s="79"/>
      <c r="AV12" s="77"/>
      <c r="AW12" s="77"/>
      <c r="AX12" s="77"/>
      <c r="AY12" s="77"/>
      <c r="AZ12" s="77"/>
      <c r="BA12" s="77"/>
    </row>
    <row r="13" spans="1:54" s="15" customFormat="1" ht="12.75" customHeight="1">
      <c r="A13" s="59"/>
      <c r="B13" s="623"/>
      <c r="C13" s="624"/>
      <c r="D13" s="624"/>
      <c r="E13" s="625"/>
      <c r="F13" s="636" t="s">
        <v>304</v>
      </c>
      <c r="G13" s="637"/>
      <c r="H13" s="638"/>
      <c r="I13" s="636" t="s">
        <v>91</v>
      </c>
      <c r="J13" s="637"/>
      <c r="K13" s="638"/>
      <c r="L13" s="632"/>
      <c r="M13" s="633"/>
      <c r="N13" s="634"/>
      <c r="O13" s="636" t="s">
        <v>305</v>
      </c>
      <c r="P13" s="637"/>
      <c r="Q13" s="639"/>
      <c r="R13" s="11"/>
      <c r="S13" s="11"/>
      <c r="T13" s="11"/>
      <c r="U13" s="11"/>
      <c r="V13" s="11"/>
      <c r="W13" s="11"/>
      <c r="X13" s="11"/>
      <c r="Y13" s="11"/>
      <c r="Z13" s="11"/>
      <c r="AA13" s="14"/>
      <c r="AB13" s="60"/>
      <c r="AD13" s="78"/>
      <c r="AE13" s="78"/>
      <c r="AF13" s="78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9"/>
      <c r="AT13" s="79"/>
      <c r="AU13" s="79"/>
      <c r="AV13" s="77"/>
      <c r="AW13" s="77"/>
      <c r="AX13" s="77"/>
      <c r="AY13" s="77"/>
      <c r="AZ13" s="77"/>
      <c r="BA13" s="77"/>
    </row>
    <row r="14" spans="1:54" s="15" customFormat="1" ht="13.2">
      <c r="A14" s="59"/>
      <c r="B14" s="82" t="s">
        <v>26</v>
      </c>
      <c r="C14" s="155"/>
      <c r="D14" s="155"/>
      <c r="E14" s="156"/>
      <c r="F14" s="611">
        <v>12000</v>
      </c>
      <c r="G14" s="612"/>
      <c r="H14" s="605"/>
      <c r="I14" s="616">
        <v>9.5</v>
      </c>
      <c r="J14" s="614"/>
      <c r="K14" s="615"/>
      <c r="L14" s="613">
        <v>0.3</v>
      </c>
      <c r="M14" s="614"/>
      <c r="N14" s="615"/>
      <c r="O14" s="608">
        <f>IFERROR(F14/(I14*(1-L14^2)),"")</f>
        <v>1388.0855986119145</v>
      </c>
      <c r="P14" s="609"/>
      <c r="Q14" s="610"/>
      <c r="R14" s="11"/>
      <c r="S14" s="16"/>
      <c r="T14" s="11"/>
      <c r="U14" s="11"/>
      <c r="V14" s="11"/>
      <c r="W14" s="11"/>
      <c r="X14" s="11"/>
      <c r="Y14" s="11"/>
      <c r="Z14" s="11"/>
      <c r="AA14" s="14"/>
      <c r="AB14" s="60"/>
      <c r="AD14" s="78"/>
      <c r="AE14" s="78"/>
      <c r="AF14" s="78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9"/>
      <c r="AT14" s="79"/>
      <c r="AU14" s="79"/>
      <c r="AV14" s="77"/>
      <c r="AW14" s="77"/>
      <c r="AX14" s="77"/>
      <c r="AY14" s="77"/>
      <c r="AZ14" s="77"/>
      <c r="BA14" s="77"/>
    </row>
    <row r="15" spans="1:54" s="15" customFormat="1" ht="13.2">
      <c r="A15" s="59"/>
      <c r="B15" s="82" t="s">
        <v>40</v>
      </c>
      <c r="C15" s="155"/>
      <c r="D15" s="155"/>
      <c r="E15" s="156"/>
      <c r="F15" s="611"/>
      <c r="G15" s="612"/>
      <c r="H15" s="605"/>
      <c r="I15" s="613"/>
      <c r="J15" s="614"/>
      <c r="K15" s="615"/>
      <c r="L15" s="613">
        <v>0.3</v>
      </c>
      <c r="M15" s="614"/>
      <c r="N15" s="615"/>
      <c r="O15" s="608" t="str">
        <f t="shared" ref="O15:O20" si="0">IFERROR(F15/(I15*(1-L15^2)),"")</f>
        <v/>
      </c>
      <c r="P15" s="609"/>
      <c r="Q15" s="610"/>
      <c r="R15" s="11"/>
      <c r="S15" s="11"/>
      <c r="T15" s="11"/>
      <c r="U15" s="11"/>
      <c r="V15" s="11"/>
      <c r="W15" s="11"/>
      <c r="X15" s="11"/>
      <c r="Y15" s="11"/>
      <c r="Z15" s="11"/>
      <c r="AA15" s="14"/>
      <c r="AB15" s="60"/>
      <c r="AD15" s="78"/>
      <c r="AE15" s="78"/>
      <c r="AF15" s="78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9"/>
      <c r="AT15" s="79"/>
      <c r="AU15" s="79"/>
      <c r="AV15" s="77"/>
      <c r="AW15" s="77"/>
      <c r="AX15" s="77"/>
      <c r="AY15" s="77"/>
      <c r="AZ15" s="77"/>
      <c r="BA15" s="77"/>
    </row>
    <row r="16" spans="1:54" s="15" customFormat="1" ht="13.2">
      <c r="A16" s="59"/>
      <c r="B16" s="82"/>
      <c r="C16" s="155"/>
      <c r="D16" s="155"/>
      <c r="E16" s="156"/>
      <c r="F16" s="611"/>
      <c r="G16" s="612"/>
      <c r="H16" s="605"/>
      <c r="I16" s="613"/>
      <c r="J16" s="614"/>
      <c r="K16" s="615"/>
      <c r="L16" s="613"/>
      <c r="M16" s="614"/>
      <c r="N16" s="615"/>
      <c r="O16" s="608" t="str">
        <f t="shared" si="0"/>
        <v/>
      </c>
      <c r="P16" s="609"/>
      <c r="Q16" s="610"/>
      <c r="R16" s="11"/>
      <c r="S16" s="11"/>
      <c r="T16" s="11"/>
      <c r="U16" s="11"/>
      <c r="V16" s="11"/>
      <c r="W16" s="11"/>
      <c r="X16" s="11"/>
      <c r="Y16" s="11"/>
      <c r="Z16" s="11"/>
      <c r="AA16" s="14"/>
      <c r="AB16" s="60"/>
      <c r="AD16" s="78"/>
      <c r="AE16" s="78"/>
      <c r="AF16" s="78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9"/>
      <c r="AT16" s="79"/>
      <c r="AU16" s="79"/>
      <c r="AV16" s="77"/>
      <c r="AW16" s="77"/>
      <c r="AX16" s="77"/>
      <c r="AY16" s="77"/>
      <c r="AZ16" s="77"/>
      <c r="BA16" s="77"/>
    </row>
    <row r="17" spans="1:53" s="15" customFormat="1" ht="12.75" customHeight="1">
      <c r="A17" s="59"/>
      <c r="B17" s="82"/>
      <c r="C17" s="155"/>
      <c r="D17" s="155"/>
      <c r="E17" s="156"/>
      <c r="F17" s="605"/>
      <c r="G17" s="606"/>
      <c r="H17" s="606"/>
      <c r="I17" s="607"/>
      <c r="J17" s="607"/>
      <c r="K17" s="607"/>
      <c r="L17" s="607"/>
      <c r="M17" s="607"/>
      <c r="N17" s="607"/>
      <c r="O17" s="608" t="str">
        <f>IFERROR(F17/(I17*(1-L17^2)),"")</f>
        <v/>
      </c>
      <c r="P17" s="609"/>
      <c r="Q17" s="610"/>
      <c r="R17" s="11"/>
      <c r="S17" s="11"/>
      <c r="T17" s="11"/>
      <c r="U17" s="11"/>
      <c r="V17" s="11"/>
      <c r="W17" s="11"/>
      <c r="X17" s="11"/>
      <c r="Y17" s="11"/>
      <c r="Z17" s="11"/>
      <c r="AA17" s="14"/>
      <c r="AB17" s="60"/>
      <c r="AD17" s="78"/>
      <c r="AE17" s="78"/>
      <c r="AF17" s="78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9"/>
      <c r="AT17" s="79"/>
      <c r="AU17" s="79"/>
      <c r="AV17" s="77"/>
      <c r="AW17" s="77"/>
      <c r="AX17" s="77"/>
      <c r="AY17" s="77"/>
      <c r="AZ17" s="77"/>
      <c r="BA17" s="77"/>
    </row>
    <row r="18" spans="1:53" s="15" customFormat="1" ht="12.75" customHeight="1">
      <c r="A18" s="59"/>
      <c r="B18" s="82"/>
      <c r="C18" s="155"/>
      <c r="D18" s="155"/>
      <c r="E18" s="156"/>
      <c r="F18" s="605"/>
      <c r="G18" s="606"/>
      <c r="H18" s="606"/>
      <c r="I18" s="607"/>
      <c r="J18" s="607"/>
      <c r="K18" s="607"/>
      <c r="L18" s="607"/>
      <c r="M18" s="607"/>
      <c r="N18" s="607"/>
      <c r="O18" s="608" t="str">
        <f t="shared" si="0"/>
        <v/>
      </c>
      <c r="P18" s="609"/>
      <c r="Q18" s="610"/>
      <c r="R18" s="11"/>
      <c r="S18" s="11"/>
      <c r="T18" s="11"/>
      <c r="U18" s="11"/>
      <c r="V18" s="11"/>
      <c r="W18" s="11"/>
      <c r="X18" s="11"/>
      <c r="Y18" s="11"/>
      <c r="Z18" s="11"/>
      <c r="AA18" s="14"/>
      <c r="AB18" s="60"/>
      <c r="AD18" s="78"/>
      <c r="AE18" s="78"/>
      <c r="AF18" s="78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9"/>
      <c r="AT18" s="79"/>
      <c r="AU18" s="79"/>
      <c r="AV18" s="77"/>
      <c r="AW18" s="77"/>
      <c r="AX18" s="77"/>
      <c r="AY18" s="77"/>
      <c r="AZ18" s="77"/>
      <c r="BA18" s="77"/>
    </row>
    <row r="19" spans="1:53" s="15" customFormat="1" ht="12.75" customHeight="1">
      <c r="A19" s="59"/>
      <c r="B19" s="82"/>
      <c r="C19" s="155"/>
      <c r="D19" s="155"/>
      <c r="E19" s="156"/>
      <c r="F19" s="605"/>
      <c r="G19" s="606"/>
      <c r="H19" s="606"/>
      <c r="I19" s="607"/>
      <c r="J19" s="607"/>
      <c r="K19" s="607"/>
      <c r="L19" s="607"/>
      <c r="M19" s="607"/>
      <c r="N19" s="607"/>
      <c r="O19" s="608" t="str">
        <f>IFERROR(F19/(I19*(1-L19^2)),"")</f>
        <v/>
      </c>
      <c r="P19" s="609"/>
      <c r="Q19" s="610"/>
      <c r="R19" s="11"/>
      <c r="S19" s="11"/>
      <c r="T19" s="11"/>
      <c r="U19" s="11"/>
      <c r="V19" s="11"/>
      <c r="W19" s="11"/>
      <c r="X19" s="11"/>
      <c r="Y19" s="11"/>
      <c r="Z19" s="11"/>
      <c r="AA19" s="14"/>
      <c r="AB19" s="60"/>
      <c r="AD19" s="78"/>
      <c r="AE19" s="78"/>
      <c r="AF19" s="78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9"/>
      <c r="AT19" s="79"/>
      <c r="AU19" s="79"/>
      <c r="AV19" s="77"/>
      <c r="AW19" s="77"/>
      <c r="AX19" s="77"/>
      <c r="AY19" s="77"/>
      <c r="AZ19" s="77"/>
      <c r="BA19" s="77"/>
    </row>
    <row r="20" spans="1:53" s="15" customFormat="1" ht="12.75" customHeight="1" thickBot="1">
      <c r="A20" s="59"/>
      <c r="B20" s="83"/>
      <c r="C20" s="84"/>
      <c r="D20" s="84"/>
      <c r="E20" s="85"/>
      <c r="F20" s="598"/>
      <c r="G20" s="599"/>
      <c r="H20" s="599"/>
      <c r="I20" s="600"/>
      <c r="J20" s="601"/>
      <c r="K20" s="601"/>
      <c r="L20" s="601"/>
      <c r="M20" s="601"/>
      <c r="N20" s="601"/>
      <c r="O20" s="602" t="str">
        <f t="shared" si="0"/>
        <v/>
      </c>
      <c r="P20" s="603"/>
      <c r="Q20" s="604"/>
      <c r="R20" s="11"/>
      <c r="S20" s="11"/>
      <c r="T20" s="11"/>
      <c r="U20" s="11"/>
      <c r="V20" s="11"/>
      <c r="W20" s="11"/>
      <c r="X20" s="11"/>
      <c r="Y20" s="11"/>
      <c r="Z20" s="11"/>
      <c r="AA20" s="14"/>
      <c r="AB20" s="60"/>
      <c r="AD20" s="78"/>
      <c r="AE20" s="78"/>
      <c r="AF20" s="78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9"/>
      <c r="AT20" s="79"/>
      <c r="AU20" s="79"/>
      <c r="AV20" s="77"/>
      <c r="AW20" s="77"/>
      <c r="AX20" s="77"/>
      <c r="AY20" s="77"/>
      <c r="AZ20" s="77"/>
      <c r="BA20" s="77"/>
    </row>
    <row r="21" spans="1:53" s="15" customFormat="1" ht="12.75" customHeight="1">
      <c r="A21" s="59"/>
      <c r="B21" s="17"/>
      <c r="C21" s="17"/>
      <c r="D21" s="17"/>
      <c r="E21" s="17"/>
      <c r="F21" s="18"/>
      <c r="G21" s="18"/>
      <c r="H21" s="18"/>
      <c r="I21" s="19"/>
      <c r="J21" s="19"/>
      <c r="K21" s="19"/>
      <c r="L21" s="20"/>
      <c r="M21" s="20"/>
      <c r="N21" s="20"/>
      <c r="O21" s="21"/>
      <c r="P21" s="21"/>
      <c r="Q21" s="21"/>
      <c r="R21" s="11"/>
      <c r="S21" s="11"/>
      <c r="T21" s="11"/>
      <c r="U21" s="11"/>
      <c r="V21" s="11"/>
      <c r="W21" s="11"/>
      <c r="X21" s="11"/>
      <c r="Y21" s="11"/>
      <c r="Z21" s="11"/>
      <c r="AA21" s="14"/>
      <c r="AB21" s="60"/>
      <c r="AD21" s="78"/>
      <c r="AE21" s="78"/>
      <c r="AF21" s="78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9"/>
      <c r="AT21" s="79"/>
      <c r="AU21" s="79"/>
      <c r="AV21" s="77"/>
      <c r="AW21" s="77"/>
      <c r="AX21" s="77"/>
      <c r="AY21" s="77"/>
      <c r="AZ21" s="77"/>
      <c r="BA21" s="77"/>
    </row>
    <row r="22" spans="1:53" s="15" customFormat="1" ht="12.75" customHeight="1">
      <c r="A22" s="104"/>
      <c r="B22" s="11" t="s">
        <v>306</v>
      </c>
      <c r="C22" s="11"/>
      <c r="D22" s="11"/>
      <c r="E22" s="11"/>
      <c r="F22" s="22"/>
      <c r="G22" s="22"/>
      <c r="H22" s="22"/>
      <c r="I22" s="11"/>
      <c r="J22" s="11"/>
      <c r="K22" s="11"/>
      <c r="L22" s="11" t="s">
        <v>142</v>
      </c>
      <c r="M22" s="11"/>
      <c r="N22" s="11"/>
      <c r="O22" s="11"/>
      <c r="P22" s="11"/>
      <c r="Q22" s="23"/>
      <c r="R22" s="11"/>
      <c r="S22" s="11"/>
      <c r="T22" s="11"/>
      <c r="U22" s="11"/>
      <c r="V22" s="11"/>
      <c r="W22" s="11"/>
      <c r="X22" s="11"/>
      <c r="Y22" s="11"/>
      <c r="Z22" s="11"/>
      <c r="AA22" s="14"/>
      <c r="AB22" s="60"/>
      <c r="AD22" s="596"/>
      <c r="AE22" s="596"/>
      <c r="AF22" s="596"/>
      <c r="AG22" s="595"/>
      <c r="AH22" s="595"/>
      <c r="AI22" s="595"/>
      <c r="AJ22" s="595"/>
      <c r="AK22" s="595"/>
      <c r="AL22" s="595"/>
      <c r="AM22" s="595"/>
      <c r="AN22" s="595"/>
      <c r="AO22" s="595"/>
      <c r="AP22" s="595"/>
      <c r="AQ22" s="595"/>
      <c r="AR22" s="595"/>
      <c r="AS22" s="597"/>
      <c r="AT22" s="597"/>
      <c r="AU22" s="597"/>
      <c r="AV22" s="595"/>
      <c r="AW22" s="595"/>
      <c r="AX22" s="595"/>
      <c r="AY22" s="595"/>
      <c r="AZ22" s="595"/>
      <c r="BA22" s="595"/>
    </row>
    <row r="23" spans="1:53" s="15" customFormat="1" ht="12.75" customHeight="1">
      <c r="A23" s="5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23"/>
      <c r="R23" s="11"/>
      <c r="S23" s="11"/>
      <c r="T23" s="11"/>
      <c r="U23" s="11"/>
      <c r="V23" s="11"/>
      <c r="W23" s="11"/>
      <c r="X23" s="11"/>
      <c r="Y23" s="11"/>
      <c r="Z23" s="11"/>
      <c r="AA23" s="14"/>
      <c r="AB23" s="60"/>
      <c r="AD23" s="596"/>
      <c r="AE23" s="596"/>
      <c r="AF23" s="596"/>
      <c r="AG23" s="595"/>
      <c r="AH23" s="595"/>
      <c r="AI23" s="595"/>
      <c r="AJ23" s="595"/>
      <c r="AK23" s="595"/>
      <c r="AL23" s="595"/>
      <c r="AM23" s="595"/>
      <c r="AN23" s="595"/>
      <c r="AO23" s="595"/>
      <c r="AP23" s="595"/>
      <c r="AQ23" s="595"/>
      <c r="AR23" s="595"/>
      <c r="AS23" s="597"/>
      <c r="AT23" s="597"/>
      <c r="AU23" s="597"/>
      <c r="AV23" s="595"/>
      <c r="AW23" s="595"/>
      <c r="AX23" s="595"/>
      <c r="AY23" s="595"/>
      <c r="AZ23" s="595"/>
      <c r="BA23" s="595"/>
    </row>
    <row r="24" spans="1:53" s="15" customFormat="1" ht="12.75" customHeight="1">
      <c r="A24" s="59"/>
      <c r="B24" s="11"/>
      <c r="C24" s="11"/>
      <c r="D24" s="11"/>
      <c r="E24" s="11"/>
      <c r="F24" s="11"/>
      <c r="G24" s="11"/>
      <c r="H24" s="21"/>
      <c r="I24" s="23" t="s">
        <v>307</v>
      </c>
      <c r="J24" s="21"/>
      <c r="K24" s="11"/>
      <c r="L24" s="11"/>
      <c r="M24" s="11"/>
      <c r="N24" s="11"/>
      <c r="O24" s="11"/>
      <c r="P24" s="11"/>
      <c r="Q24" s="24"/>
      <c r="R24" s="11"/>
      <c r="S24" s="11"/>
      <c r="T24" s="11"/>
      <c r="U24" s="11"/>
      <c r="V24" s="11"/>
      <c r="W24" s="11"/>
      <c r="X24" s="11"/>
      <c r="Y24" s="11"/>
      <c r="Z24" s="11"/>
      <c r="AA24" s="14"/>
      <c r="AB24" s="60"/>
      <c r="AD24" s="596"/>
      <c r="AE24" s="596"/>
      <c r="AF24" s="596"/>
      <c r="AG24" s="595"/>
      <c r="AH24" s="595"/>
      <c r="AI24" s="595"/>
      <c r="AJ24" s="595"/>
      <c r="AK24" s="595"/>
      <c r="AL24" s="595"/>
      <c r="AM24" s="595"/>
      <c r="AN24" s="595"/>
      <c r="AO24" s="595"/>
      <c r="AP24" s="595"/>
      <c r="AQ24" s="595"/>
      <c r="AR24" s="595"/>
      <c r="AS24" s="597"/>
      <c r="AT24" s="597"/>
      <c r="AU24" s="597"/>
      <c r="AV24" s="595"/>
      <c r="AW24" s="595"/>
      <c r="AX24" s="595"/>
      <c r="AY24" s="595"/>
      <c r="AZ24" s="595"/>
      <c r="BA24" s="595"/>
    </row>
    <row r="25" spans="1:53" s="15" customFormat="1" ht="12.75" customHeight="1">
      <c r="A25" s="59"/>
      <c r="B25" s="11"/>
      <c r="C25" s="11"/>
      <c r="D25" s="11"/>
      <c r="E25" s="11"/>
      <c r="F25" s="11"/>
      <c r="G25" s="11"/>
      <c r="H25" s="11"/>
      <c r="I25" s="23" t="s">
        <v>308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4"/>
      <c r="AB25" s="60"/>
      <c r="AD25" s="1"/>
      <c r="AE25" s="66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560"/>
      <c r="AQ25" s="560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s="15" customFormat="1" ht="12.75" customHeight="1">
      <c r="A26" s="59"/>
      <c r="B26" s="11"/>
      <c r="C26" s="11"/>
      <c r="D26" s="11"/>
      <c r="E26" s="11"/>
      <c r="F26" s="11"/>
      <c r="G26" s="11"/>
      <c r="H26" s="11"/>
      <c r="I26" s="24" t="s">
        <v>23</v>
      </c>
      <c r="J26" s="11" t="s">
        <v>309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4"/>
      <c r="AB26" s="6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s="15" customFormat="1" ht="12.75" customHeight="1">
      <c r="A27" s="59"/>
      <c r="B27" s="11"/>
      <c r="C27" s="11"/>
      <c r="D27" s="11"/>
      <c r="E27" s="11"/>
      <c r="F27" s="11"/>
      <c r="G27" s="11"/>
      <c r="H27" s="11"/>
      <c r="I27" s="2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4"/>
      <c r="AB27" s="6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s="15" customFormat="1" ht="12.75" customHeight="1">
      <c r="A28" s="59"/>
      <c r="B28" s="11" t="s">
        <v>310</v>
      </c>
      <c r="C28" s="11"/>
      <c r="D28" s="11"/>
      <c r="E28" s="11"/>
      <c r="F28" s="11"/>
      <c r="G28" s="11"/>
      <c r="H28" s="11"/>
      <c r="I28" s="2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4"/>
      <c r="AB28" s="6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s="15" customFormat="1" ht="12.75" customHeight="1">
      <c r="A29" s="59"/>
      <c r="B29" s="11" t="s">
        <v>311</v>
      </c>
      <c r="C29" s="11"/>
      <c r="D29" s="11"/>
      <c r="E29" s="11"/>
      <c r="F29" s="11"/>
      <c r="G29" s="11"/>
      <c r="H29" s="11"/>
      <c r="I29" s="2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4"/>
      <c r="AB29" s="6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s="15" customFormat="1" ht="12.75" customHeight="1">
      <c r="A30" s="59"/>
      <c r="B30" s="11"/>
      <c r="C30" s="11"/>
      <c r="D30" s="11"/>
      <c r="E30" s="11"/>
      <c r="F30" s="11"/>
      <c r="G30" s="11"/>
      <c r="H30" s="11"/>
      <c r="I30" s="2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4"/>
      <c r="AB30" s="6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s="15" customFormat="1" ht="12.75" customHeight="1" thickBot="1">
      <c r="A31" s="59"/>
      <c r="B31" s="11"/>
      <c r="C31" s="11"/>
      <c r="D31" s="11"/>
      <c r="E31" s="11"/>
      <c r="F31" s="11"/>
      <c r="G31" s="11"/>
      <c r="H31" s="11"/>
      <c r="I31" s="2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4"/>
      <c r="AB31" s="6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s="15" customFormat="1" ht="12.75" customHeight="1" thickBot="1">
      <c r="A32" s="59"/>
      <c r="B32" s="11"/>
      <c r="C32" s="11"/>
      <c r="D32" s="11"/>
      <c r="E32" s="28" t="s">
        <v>312</v>
      </c>
      <c r="F32" s="11"/>
      <c r="G32" s="105"/>
      <c r="H32" s="28"/>
      <c r="I32" s="28"/>
      <c r="J32" s="28"/>
      <c r="K32" s="28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4"/>
      <c r="AB32" s="60"/>
      <c r="AD32" s="86" t="s">
        <v>313</v>
      </c>
      <c r="AE32" s="87"/>
      <c r="AF32" s="87"/>
      <c r="AG32" s="8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4" s="15" customFormat="1" ht="12.75" customHeight="1">
      <c r="A33" s="106"/>
      <c r="B33" s="11"/>
      <c r="C33" s="11"/>
      <c r="D33" s="11" t="s">
        <v>314</v>
      </c>
      <c r="E33" s="548" t="s">
        <v>315</v>
      </c>
      <c r="F33" s="549"/>
      <c r="G33" s="582" t="s">
        <v>316</v>
      </c>
      <c r="H33" s="583"/>
      <c r="I33" s="586" t="s">
        <v>317</v>
      </c>
      <c r="J33" s="587"/>
      <c r="K33" s="588"/>
      <c r="L33" s="31"/>
      <c r="M33" s="32" t="s">
        <v>318</v>
      </c>
      <c r="N33" s="32"/>
      <c r="O33" s="592" t="s">
        <v>319</v>
      </c>
      <c r="P33" s="593"/>
      <c r="Q33" s="594"/>
      <c r="R33" s="579" t="s">
        <v>320</v>
      </c>
      <c r="S33" s="580"/>
      <c r="T33" s="581"/>
      <c r="U33" s="33"/>
      <c r="V33" s="11"/>
      <c r="W33" s="11"/>
      <c r="X33" s="11"/>
      <c r="Y33" s="11"/>
      <c r="Z33" s="11"/>
      <c r="AA33" s="14"/>
      <c r="AB33" s="60"/>
      <c r="AD33" s="89"/>
      <c r="AE33" s="54"/>
      <c r="AF33" s="54"/>
      <c r="AG33" s="55"/>
    </row>
    <row r="34" spans="1:54" s="15" customFormat="1" ht="12.75" customHeight="1">
      <c r="A34" s="59"/>
      <c r="B34" s="11"/>
      <c r="C34" s="11"/>
      <c r="D34" s="11"/>
      <c r="E34" s="549"/>
      <c r="F34" s="549"/>
      <c r="G34" s="584"/>
      <c r="H34" s="585"/>
      <c r="I34" s="589"/>
      <c r="J34" s="590"/>
      <c r="K34" s="591"/>
      <c r="L34" s="567" t="s">
        <v>321</v>
      </c>
      <c r="M34" s="568"/>
      <c r="N34" s="569"/>
      <c r="O34" s="576" t="s">
        <v>120</v>
      </c>
      <c r="P34" s="577"/>
      <c r="Q34" s="578"/>
      <c r="R34" s="579" t="s">
        <v>267</v>
      </c>
      <c r="S34" s="580"/>
      <c r="T34" s="581"/>
      <c r="U34" s="33"/>
      <c r="V34" s="11"/>
      <c r="W34" s="11"/>
      <c r="X34" s="11"/>
      <c r="Y34" s="11"/>
      <c r="Z34" s="11"/>
      <c r="AA34" s="14"/>
      <c r="AB34" s="60"/>
      <c r="AD34" s="58" t="s">
        <v>322</v>
      </c>
      <c r="AE34" s="56" t="s">
        <v>323</v>
      </c>
      <c r="AF34" s="56" t="s">
        <v>324</v>
      </c>
      <c r="AG34" s="57" t="s">
        <v>325</v>
      </c>
      <c r="AI34" s="40" t="s">
        <v>326</v>
      </c>
      <c r="AM34" s="11"/>
      <c r="AN34" s="11"/>
      <c r="AO34" s="11"/>
      <c r="AP34" s="11"/>
      <c r="AQ34" s="11"/>
      <c r="AR34" s="11"/>
      <c r="AT34" s="13" t="s">
        <v>327</v>
      </c>
      <c r="AU34" s="11"/>
      <c r="AV34" s="11"/>
      <c r="AW34" s="11"/>
      <c r="AX34" s="11"/>
      <c r="AY34" s="11"/>
      <c r="AZ34" s="11"/>
      <c r="BA34" s="11"/>
    </row>
    <row r="35" spans="1:54" s="15" customFormat="1" ht="13.2">
      <c r="A35" s="59"/>
      <c r="B35" s="11"/>
      <c r="C35" s="11"/>
      <c r="D35" s="11">
        <v>2</v>
      </c>
      <c r="E35" s="546" t="s">
        <v>26</v>
      </c>
      <c r="F35" s="547"/>
      <c r="G35" s="546">
        <f>AD35</f>
        <v>59</v>
      </c>
      <c r="H35" s="547"/>
      <c r="I35" s="564">
        <f>IFERROR(VLOOKUP($G35,ND_C1,3,FALSE),0)</f>
        <v>9.5</v>
      </c>
      <c r="J35" s="565"/>
      <c r="K35" s="566"/>
      <c r="L35" s="567">
        <f>(I35-I36)/2</f>
        <v>0.25</v>
      </c>
      <c r="M35" s="568"/>
      <c r="N35" s="569"/>
      <c r="O35" s="570">
        <f>IF(E35="Fill",VLOOKUP(E35,$B$14:$O$20,14,FALSE),300*1.1*(6-(I35-$I$35+'Wish In Place'!$M$64-'Wish In Place'!$M$60))/1.2)</f>
        <v>1388.0855986119145</v>
      </c>
      <c r="P35" s="571"/>
      <c r="Q35" s="572"/>
      <c r="R35" s="573">
        <f>L35*O35</f>
        <v>347.02139965297863</v>
      </c>
      <c r="S35" s="574"/>
      <c r="T35" s="575"/>
      <c r="U35" s="11"/>
      <c r="V35" s="11"/>
      <c r="W35" s="11"/>
      <c r="X35" s="39"/>
      <c r="Y35" s="11"/>
      <c r="Z35" s="11"/>
      <c r="AA35" s="14"/>
      <c r="AB35" s="60"/>
      <c r="AD35" s="59">
        <f>NODES!F3</f>
        <v>59</v>
      </c>
      <c r="AE35" s="11">
        <f t="shared" ref="AE35:AE47" si="1">VLOOKUP($AD35,ND_C1,2,FALSE)</f>
        <v>0</v>
      </c>
      <c r="AF35" s="39">
        <f t="shared" ref="AF35:AF47" si="2">VLOOKUP($AD35,ND_C1,3,FALSE)</f>
        <v>9.5</v>
      </c>
      <c r="AG35" s="60">
        <v>0</v>
      </c>
      <c r="AH35" s="90"/>
      <c r="AI35" s="41">
        <f t="shared" ref="AI35:AI47" si="3">G35</f>
        <v>59</v>
      </c>
      <c r="AJ35" s="41" t="s">
        <v>328</v>
      </c>
      <c r="AK35" s="41" t="s">
        <v>329</v>
      </c>
      <c r="AL35" s="41" t="s">
        <v>330</v>
      </c>
      <c r="AM35" s="41" t="s">
        <v>331</v>
      </c>
      <c r="AN35" s="41" t="s">
        <v>332</v>
      </c>
      <c r="AO35" s="41" t="s">
        <v>333</v>
      </c>
      <c r="AP35" s="41" t="s">
        <v>334</v>
      </c>
      <c r="AQ35" s="42" t="s">
        <v>335</v>
      </c>
      <c r="AR35" s="43">
        <f>R35</f>
        <v>347.02139965297863</v>
      </c>
      <c r="AT35" s="44">
        <f>G35</f>
        <v>59</v>
      </c>
      <c r="AU35" s="44" t="s">
        <v>327</v>
      </c>
      <c r="AV35" s="44">
        <v>-0.01</v>
      </c>
      <c r="AW35" s="45">
        <f>R35</f>
        <v>347.02139965297863</v>
      </c>
      <c r="AX35" s="44">
        <v>0</v>
      </c>
      <c r="AY35" s="44">
        <v>0</v>
      </c>
      <c r="AZ35" s="44">
        <v>0.01</v>
      </c>
      <c r="BA35" s="44">
        <v>0</v>
      </c>
    </row>
    <row r="36" spans="1:54" s="15" customFormat="1" ht="13.2">
      <c r="A36" s="59"/>
      <c r="B36" s="11"/>
      <c r="C36" s="11"/>
      <c r="D36" s="11">
        <v>4</v>
      </c>
      <c r="E36" s="546" t="s">
        <v>26</v>
      </c>
      <c r="F36" s="547"/>
      <c r="G36" s="546">
        <f t="shared" ref="G36:G43" si="4">AD36</f>
        <v>79</v>
      </c>
      <c r="H36" s="547"/>
      <c r="I36" s="564">
        <f t="shared" ref="I36:I47" si="5">IFERROR(VLOOKUP($G36,ND_C1,3,FALSE),0)</f>
        <v>9</v>
      </c>
      <c r="J36" s="565"/>
      <c r="K36" s="566"/>
      <c r="L36" s="567">
        <f>(I35-I37)/2</f>
        <v>0.67499999999999982</v>
      </c>
      <c r="M36" s="568"/>
      <c r="N36" s="569"/>
      <c r="O36" s="570">
        <f>IF(E36="Fill",VLOOKUP(E36,$B$14:$O$20,14,FALSE),300*1.1*(6-(I36-$I$35+'Wish In Place'!$M$64-'Wish In Place'!$M$60))/1.2)</f>
        <v>1388.0855986119145</v>
      </c>
      <c r="P36" s="571"/>
      <c r="Q36" s="572"/>
      <c r="R36" s="573">
        <f>L36*O36</f>
        <v>936.95777906304204</v>
      </c>
      <c r="S36" s="574"/>
      <c r="T36" s="575"/>
      <c r="U36" s="11"/>
      <c r="V36" s="11"/>
      <c r="W36" s="11"/>
      <c r="X36" s="39"/>
      <c r="Y36" s="11"/>
      <c r="Z36" s="11"/>
      <c r="AA36" s="14"/>
      <c r="AB36" s="60"/>
      <c r="AD36" s="59">
        <f>NODES!F4</f>
        <v>79</v>
      </c>
      <c r="AE36" s="11">
        <f t="shared" si="1"/>
        <v>0</v>
      </c>
      <c r="AF36" s="39">
        <f t="shared" si="2"/>
        <v>9</v>
      </c>
      <c r="AG36" s="60">
        <v>0</v>
      </c>
      <c r="AH36" s="90"/>
      <c r="AI36" s="41">
        <f t="shared" si="3"/>
        <v>79</v>
      </c>
      <c r="AJ36" s="41" t="s">
        <v>328</v>
      </c>
      <c r="AK36" s="41" t="s">
        <v>329</v>
      </c>
      <c r="AL36" s="41" t="s">
        <v>330</v>
      </c>
      <c r="AM36" s="41" t="s">
        <v>331</v>
      </c>
      <c r="AN36" s="41" t="s">
        <v>332</v>
      </c>
      <c r="AO36" s="41" t="s">
        <v>333</v>
      </c>
      <c r="AP36" s="41" t="s">
        <v>334</v>
      </c>
      <c r="AQ36" s="42" t="s">
        <v>335</v>
      </c>
      <c r="AR36" s="43">
        <f t="shared" ref="AR36:AR47" si="6">R36</f>
        <v>936.95777906304204</v>
      </c>
      <c r="AT36" s="44">
        <f t="shared" ref="AT36:AT47" si="7">G36</f>
        <v>79</v>
      </c>
      <c r="AU36" s="44" t="s">
        <v>327</v>
      </c>
      <c r="AV36" s="44">
        <v>-0.01</v>
      </c>
      <c r="AW36" s="45">
        <f t="shared" ref="AW36:AW47" si="8">R36</f>
        <v>936.95777906304204</v>
      </c>
      <c r="AX36" s="44">
        <v>0</v>
      </c>
      <c r="AY36" s="44">
        <v>0</v>
      </c>
      <c r="AZ36" s="44">
        <v>0.01</v>
      </c>
      <c r="BA36" s="44">
        <v>0</v>
      </c>
    </row>
    <row r="37" spans="1:54" s="15" customFormat="1" ht="13.2">
      <c r="A37" s="59"/>
      <c r="B37" s="11"/>
      <c r="C37" s="11"/>
      <c r="D37" s="11">
        <v>6</v>
      </c>
      <c r="E37" s="546" t="s">
        <v>26</v>
      </c>
      <c r="F37" s="547"/>
      <c r="G37" s="546">
        <f t="shared" si="4"/>
        <v>105</v>
      </c>
      <c r="H37" s="547"/>
      <c r="I37" s="564">
        <f>IFERROR(VLOOKUP($G37,ND_C1,3,FALSE),0)</f>
        <v>8.15</v>
      </c>
      <c r="J37" s="565"/>
      <c r="K37" s="566"/>
      <c r="L37" s="567">
        <f t="shared" ref="L37:L45" si="9">(I36-I38)/2</f>
        <v>0.85000000000000009</v>
      </c>
      <c r="M37" s="568"/>
      <c r="N37" s="569"/>
      <c r="O37" s="570">
        <f>IF(E37="Fill",VLOOKUP(E37,$B$14:$O$20,14,FALSE),300*1.1*(6-(I37-$I$35+'Wish In Place'!$M$64-'Wish In Place'!$M$60))/1.2)</f>
        <v>1388.0855986119145</v>
      </c>
      <c r="P37" s="571"/>
      <c r="Q37" s="572"/>
      <c r="R37" s="573">
        <f>L37*O37</f>
        <v>1179.8727588201275</v>
      </c>
      <c r="S37" s="574"/>
      <c r="T37" s="575"/>
      <c r="U37" s="11"/>
      <c r="V37" s="11"/>
      <c r="W37" s="11"/>
      <c r="X37" s="39"/>
      <c r="Y37" s="11"/>
      <c r="Z37" s="11"/>
      <c r="AA37" s="14"/>
      <c r="AB37" s="60"/>
      <c r="AD37" s="59">
        <f>NODES!F5</f>
        <v>105</v>
      </c>
      <c r="AE37" s="11">
        <f t="shared" si="1"/>
        <v>0</v>
      </c>
      <c r="AF37" s="39">
        <f t="shared" si="2"/>
        <v>8.15</v>
      </c>
      <c r="AG37" s="60">
        <v>0</v>
      </c>
      <c r="AH37" s="90"/>
      <c r="AI37" s="41">
        <f t="shared" si="3"/>
        <v>105</v>
      </c>
      <c r="AJ37" s="41" t="s">
        <v>328</v>
      </c>
      <c r="AK37" s="41" t="s">
        <v>329</v>
      </c>
      <c r="AL37" s="41" t="s">
        <v>330</v>
      </c>
      <c r="AM37" s="41" t="s">
        <v>331</v>
      </c>
      <c r="AN37" s="41" t="s">
        <v>332</v>
      </c>
      <c r="AO37" s="41" t="s">
        <v>333</v>
      </c>
      <c r="AP37" s="41" t="s">
        <v>334</v>
      </c>
      <c r="AQ37" s="42" t="s">
        <v>335</v>
      </c>
      <c r="AR37" s="43">
        <f t="shared" si="6"/>
        <v>1179.8727588201275</v>
      </c>
      <c r="AT37" s="44">
        <f t="shared" si="7"/>
        <v>105</v>
      </c>
      <c r="AU37" s="44" t="s">
        <v>327</v>
      </c>
      <c r="AV37" s="44">
        <v>-0.01</v>
      </c>
      <c r="AW37" s="45">
        <f t="shared" si="8"/>
        <v>1179.8727588201275</v>
      </c>
      <c r="AX37" s="44">
        <v>0</v>
      </c>
      <c r="AY37" s="44">
        <v>0</v>
      </c>
      <c r="AZ37" s="44">
        <v>0.01</v>
      </c>
      <c r="BA37" s="44">
        <v>0</v>
      </c>
      <c r="BB37" s="25"/>
    </row>
    <row r="38" spans="1:54" s="15" customFormat="1" ht="13.2">
      <c r="A38" s="59"/>
      <c r="B38" s="11"/>
      <c r="C38" s="11"/>
      <c r="D38" s="11">
        <v>7</v>
      </c>
      <c r="E38" s="546" t="s">
        <v>26</v>
      </c>
      <c r="F38" s="547"/>
      <c r="G38" s="546">
        <f t="shared" si="4"/>
        <v>106</v>
      </c>
      <c r="H38" s="547"/>
      <c r="I38" s="564">
        <f t="shared" si="5"/>
        <v>7.3</v>
      </c>
      <c r="J38" s="565"/>
      <c r="K38" s="566"/>
      <c r="L38" s="567">
        <f t="shared" si="9"/>
        <v>0.85000000000000009</v>
      </c>
      <c r="M38" s="568"/>
      <c r="N38" s="569"/>
      <c r="O38" s="570">
        <f>IF(E38="Fill",VLOOKUP(E38,$B$14:$O$20,14,FALSE),300*1.1*(6-(I38-$I$35+'Wish In Place'!$M$64-'Wish In Place'!$M$60))/1.2)</f>
        <v>1388.0855986119145</v>
      </c>
      <c r="P38" s="571"/>
      <c r="Q38" s="572"/>
      <c r="R38" s="573">
        <f>L38*O38</f>
        <v>1179.8727588201275</v>
      </c>
      <c r="S38" s="574"/>
      <c r="T38" s="575"/>
      <c r="U38" s="11"/>
      <c r="V38" s="11"/>
      <c r="W38" s="11"/>
      <c r="X38" s="39"/>
      <c r="Y38" s="11"/>
      <c r="Z38" s="11"/>
      <c r="AA38" s="14"/>
      <c r="AB38" s="60"/>
      <c r="AD38" s="59">
        <f>NODES!F6</f>
        <v>106</v>
      </c>
      <c r="AE38" s="11">
        <f t="shared" si="1"/>
        <v>0</v>
      </c>
      <c r="AF38" s="39">
        <f t="shared" si="2"/>
        <v>7.3</v>
      </c>
      <c r="AG38" s="60">
        <v>0</v>
      </c>
      <c r="AH38" s="90"/>
      <c r="AI38" s="41">
        <f t="shared" si="3"/>
        <v>106</v>
      </c>
      <c r="AJ38" s="41" t="s">
        <v>328</v>
      </c>
      <c r="AK38" s="41" t="s">
        <v>329</v>
      </c>
      <c r="AL38" s="41" t="s">
        <v>330</v>
      </c>
      <c r="AM38" s="41" t="s">
        <v>331</v>
      </c>
      <c r="AN38" s="41" t="s">
        <v>332</v>
      </c>
      <c r="AO38" s="41" t="s">
        <v>333</v>
      </c>
      <c r="AP38" s="41" t="s">
        <v>334</v>
      </c>
      <c r="AQ38" s="42" t="s">
        <v>335</v>
      </c>
      <c r="AR38" s="43">
        <f t="shared" si="6"/>
        <v>1179.8727588201275</v>
      </c>
      <c r="AT38" s="44">
        <f t="shared" si="7"/>
        <v>106</v>
      </c>
      <c r="AU38" s="44" t="s">
        <v>327</v>
      </c>
      <c r="AV38" s="44">
        <v>-0.01</v>
      </c>
      <c r="AW38" s="45">
        <f t="shared" si="8"/>
        <v>1179.8727588201275</v>
      </c>
      <c r="AX38" s="44">
        <v>0</v>
      </c>
      <c r="AY38" s="44">
        <v>0</v>
      </c>
      <c r="AZ38" s="44">
        <v>0.01</v>
      </c>
      <c r="BA38" s="44">
        <v>0</v>
      </c>
      <c r="BB38" s="25"/>
    </row>
    <row r="39" spans="1:54" s="15" customFormat="1" ht="13.2">
      <c r="A39" s="59"/>
      <c r="B39" s="11"/>
      <c r="C39" s="11"/>
      <c r="D39" s="11">
        <v>8</v>
      </c>
      <c r="E39" s="546" t="s">
        <v>26</v>
      </c>
      <c r="F39" s="547"/>
      <c r="G39" s="546">
        <f t="shared" si="4"/>
        <v>107</v>
      </c>
      <c r="H39" s="547"/>
      <c r="I39" s="564">
        <f t="shared" si="5"/>
        <v>6.45</v>
      </c>
      <c r="J39" s="565"/>
      <c r="K39" s="566"/>
      <c r="L39" s="567">
        <f t="shared" si="9"/>
        <v>0.85000000000000009</v>
      </c>
      <c r="M39" s="568"/>
      <c r="N39" s="569"/>
      <c r="O39" s="570">
        <f>IF(E39="Fill",VLOOKUP(E39,$B$14:$O$20,14,FALSE),300*1.1*(6-(I39-$I$35+'Wish In Place'!$M$64-'Wish In Place'!$M$60))/1.2)</f>
        <v>1388.0855986119145</v>
      </c>
      <c r="P39" s="571"/>
      <c r="Q39" s="572"/>
      <c r="R39" s="573">
        <f t="shared" ref="R39:R47" si="10">L39*O39</f>
        <v>1179.8727588201275</v>
      </c>
      <c r="S39" s="574"/>
      <c r="T39" s="575"/>
      <c r="U39" s="11"/>
      <c r="V39" s="11"/>
      <c r="W39" s="11"/>
      <c r="X39" s="39"/>
      <c r="Y39" s="11"/>
      <c r="Z39" s="11"/>
      <c r="AA39" s="14"/>
      <c r="AB39" s="60"/>
      <c r="AD39" s="59">
        <f>NODES!F7</f>
        <v>107</v>
      </c>
      <c r="AE39" s="11">
        <f t="shared" si="1"/>
        <v>0</v>
      </c>
      <c r="AF39" s="39">
        <f t="shared" si="2"/>
        <v>6.45</v>
      </c>
      <c r="AG39" s="60">
        <v>0</v>
      </c>
      <c r="AH39" s="90"/>
      <c r="AI39" s="41">
        <f t="shared" si="3"/>
        <v>107</v>
      </c>
      <c r="AJ39" s="41" t="s">
        <v>328</v>
      </c>
      <c r="AK39" s="41" t="s">
        <v>329</v>
      </c>
      <c r="AL39" s="41" t="s">
        <v>330</v>
      </c>
      <c r="AM39" s="41" t="s">
        <v>331</v>
      </c>
      <c r="AN39" s="41" t="s">
        <v>332</v>
      </c>
      <c r="AO39" s="41" t="s">
        <v>333</v>
      </c>
      <c r="AP39" s="41" t="s">
        <v>334</v>
      </c>
      <c r="AQ39" s="42" t="s">
        <v>335</v>
      </c>
      <c r="AR39" s="43">
        <f t="shared" si="6"/>
        <v>1179.8727588201275</v>
      </c>
      <c r="AT39" s="44">
        <f t="shared" si="7"/>
        <v>107</v>
      </c>
      <c r="AU39" s="44" t="s">
        <v>327</v>
      </c>
      <c r="AV39" s="44">
        <v>-0.01</v>
      </c>
      <c r="AW39" s="45">
        <f t="shared" si="8"/>
        <v>1179.8727588201275</v>
      </c>
      <c r="AX39" s="44">
        <v>0</v>
      </c>
      <c r="AY39" s="44">
        <v>0</v>
      </c>
      <c r="AZ39" s="44">
        <v>0.01</v>
      </c>
      <c r="BA39" s="44">
        <v>0</v>
      </c>
      <c r="BB39" s="36"/>
    </row>
    <row r="40" spans="1:54" s="15" customFormat="1" ht="13.2">
      <c r="A40" s="59"/>
      <c r="B40" s="11"/>
      <c r="C40" s="11"/>
      <c r="D40" s="11">
        <v>9</v>
      </c>
      <c r="E40" s="546" t="s">
        <v>26</v>
      </c>
      <c r="F40" s="547"/>
      <c r="G40" s="546">
        <f t="shared" si="4"/>
        <v>108</v>
      </c>
      <c r="H40" s="547"/>
      <c r="I40" s="564">
        <f t="shared" si="5"/>
        <v>5.6</v>
      </c>
      <c r="J40" s="565"/>
      <c r="K40" s="566"/>
      <c r="L40" s="567">
        <f t="shared" si="9"/>
        <v>0.85000000000000009</v>
      </c>
      <c r="M40" s="568"/>
      <c r="N40" s="569"/>
      <c r="O40" s="570">
        <f>IF(E40="Fill",VLOOKUP(E40,$B$14:$O$20,14,FALSE),300*1.1*(6-(I40-$I$35+'Wish In Place'!$M$64-'Wish In Place'!$M$60))/1.2)</f>
        <v>1388.0855986119145</v>
      </c>
      <c r="P40" s="571"/>
      <c r="Q40" s="572"/>
      <c r="R40" s="573">
        <f t="shared" si="10"/>
        <v>1179.8727588201275</v>
      </c>
      <c r="S40" s="574"/>
      <c r="T40" s="575"/>
      <c r="U40" s="11"/>
      <c r="V40" s="11"/>
      <c r="W40" s="11"/>
      <c r="X40" s="39"/>
      <c r="Y40" s="11"/>
      <c r="Z40" s="11"/>
      <c r="AA40" s="14"/>
      <c r="AB40" s="60"/>
      <c r="AD40" s="59">
        <f>NODES!F8</f>
        <v>108</v>
      </c>
      <c r="AE40" s="11">
        <f t="shared" si="1"/>
        <v>0</v>
      </c>
      <c r="AF40" s="39">
        <f t="shared" si="2"/>
        <v>5.6</v>
      </c>
      <c r="AG40" s="60">
        <v>0</v>
      </c>
      <c r="AH40" s="90"/>
      <c r="AI40" s="41">
        <f t="shared" si="3"/>
        <v>108</v>
      </c>
      <c r="AJ40" s="41" t="s">
        <v>328</v>
      </c>
      <c r="AK40" s="41" t="s">
        <v>329</v>
      </c>
      <c r="AL40" s="41" t="s">
        <v>330</v>
      </c>
      <c r="AM40" s="41" t="s">
        <v>331</v>
      </c>
      <c r="AN40" s="41" t="s">
        <v>332</v>
      </c>
      <c r="AO40" s="41" t="s">
        <v>333</v>
      </c>
      <c r="AP40" s="41" t="s">
        <v>334</v>
      </c>
      <c r="AQ40" s="42" t="s">
        <v>335</v>
      </c>
      <c r="AR40" s="43">
        <f t="shared" si="6"/>
        <v>1179.8727588201275</v>
      </c>
      <c r="AT40" s="44">
        <f t="shared" si="7"/>
        <v>108</v>
      </c>
      <c r="AU40" s="44" t="s">
        <v>327</v>
      </c>
      <c r="AV40" s="44">
        <v>-0.01</v>
      </c>
      <c r="AW40" s="45">
        <f t="shared" si="8"/>
        <v>1179.8727588201275</v>
      </c>
      <c r="AX40" s="44">
        <v>0</v>
      </c>
      <c r="AY40" s="44">
        <v>0</v>
      </c>
      <c r="AZ40" s="44">
        <v>0.01</v>
      </c>
      <c r="BA40" s="44">
        <v>0</v>
      </c>
      <c r="BB40" s="36"/>
    </row>
    <row r="41" spans="1:54" s="15" customFormat="1" ht="13.2">
      <c r="A41" s="59"/>
      <c r="B41" s="11"/>
      <c r="C41" s="11"/>
      <c r="D41" s="11">
        <v>10</v>
      </c>
      <c r="E41" s="544" t="s">
        <v>40</v>
      </c>
      <c r="F41" s="545"/>
      <c r="G41" s="546">
        <f t="shared" si="4"/>
        <v>109</v>
      </c>
      <c r="H41" s="547"/>
      <c r="I41" s="564">
        <f t="shared" si="5"/>
        <v>4.75</v>
      </c>
      <c r="J41" s="565"/>
      <c r="K41" s="566"/>
      <c r="L41" s="567">
        <f t="shared" si="9"/>
        <v>0.84999999999999987</v>
      </c>
      <c r="M41" s="568"/>
      <c r="N41" s="569"/>
      <c r="O41" s="570">
        <f>IF(E41="Fill",VLOOKUP(E41,$B$14:$O$20,14,FALSE),300*1.1*(6-(I41-$I$35+'Wish In Place'!$M$64-'Wish In Place'!$M$60))/1.2)</f>
        <v>6215.0000000000009</v>
      </c>
      <c r="P41" s="571"/>
      <c r="Q41" s="572"/>
      <c r="R41" s="573">
        <f t="shared" si="10"/>
        <v>5282.75</v>
      </c>
      <c r="S41" s="574"/>
      <c r="T41" s="575"/>
      <c r="U41" s="11"/>
      <c r="V41" s="11"/>
      <c r="W41" s="11"/>
      <c r="X41" s="39"/>
      <c r="Y41" s="11"/>
      <c r="Z41" s="11"/>
      <c r="AA41" s="14"/>
      <c r="AB41" s="60"/>
      <c r="AD41" s="59">
        <f>NODES!F9</f>
        <v>109</v>
      </c>
      <c r="AE41" s="11">
        <f t="shared" si="1"/>
        <v>0</v>
      </c>
      <c r="AF41" s="39">
        <f t="shared" si="2"/>
        <v>4.75</v>
      </c>
      <c r="AG41" s="60">
        <v>0</v>
      </c>
      <c r="AH41" s="90"/>
      <c r="AI41" s="41">
        <f t="shared" si="3"/>
        <v>109</v>
      </c>
      <c r="AJ41" s="41" t="s">
        <v>328</v>
      </c>
      <c r="AK41" s="41" t="s">
        <v>329</v>
      </c>
      <c r="AL41" s="41" t="s">
        <v>330</v>
      </c>
      <c r="AM41" s="41" t="s">
        <v>331</v>
      </c>
      <c r="AN41" s="41" t="s">
        <v>332</v>
      </c>
      <c r="AO41" s="41" t="s">
        <v>333</v>
      </c>
      <c r="AP41" s="41" t="s">
        <v>334</v>
      </c>
      <c r="AQ41" s="42" t="s">
        <v>335</v>
      </c>
      <c r="AR41" s="43">
        <f t="shared" si="6"/>
        <v>5282.75</v>
      </c>
      <c r="AT41" s="44">
        <f t="shared" si="7"/>
        <v>109</v>
      </c>
      <c r="AU41" s="44" t="s">
        <v>327</v>
      </c>
      <c r="AV41" s="44">
        <v>-0.01</v>
      </c>
      <c r="AW41" s="45">
        <f t="shared" si="8"/>
        <v>5282.75</v>
      </c>
      <c r="AX41" s="44">
        <v>0</v>
      </c>
      <c r="AY41" s="44">
        <v>0</v>
      </c>
      <c r="AZ41" s="44">
        <v>0.01</v>
      </c>
      <c r="BA41" s="44">
        <v>0</v>
      </c>
      <c r="BB41" s="36"/>
    </row>
    <row r="42" spans="1:54" s="15" customFormat="1" ht="13.2">
      <c r="A42" s="59"/>
      <c r="B42" s="11"/>
      <c r="C42" s="11"/>
      <c r="D42" s="11">
        <v>11</v>
      </c>
      <c r="E42" s="544" t="s">
        <v>40</v>
      </c>
      <c r="F42" s="545"/>
      <c r="G42" s="546">
        <f>AD42</f>
        <v>110</v>
      </c>
      <c r="H42" s="547"/>
      <c r="I42" s="564">
        <f t="shared" si="5"/>
        <v>3.9</v>
      </c>
      <c r="J42" s="565"/>
      <c r="K42" s="566"/>
      <c r="L42" s="567">
        <f t="shared" si="9"/>
        <v>0.85000000000000009</v>
      </c>
      <c r="M42" s="568"/>
      <c r="N42" s="569"/>
      <c r="O42" s="570">
        <f>IF(E42="Fill",VLOOKUP(E42,$B$14:$O$20,14,FALSE),300*1.1*(6-(I42-$I$35+'Wish In Place'!$M$64-'Wish In Place'!$M$60))/1.2)</f>
        <v>6448.75</v>
      </c>
      <c r="P42" s="571"/>
      <c r="Q42" s="572"/>
      <c r="R42" s="573">
        <f>L42*O42</f>
        <v>5481.4375000000009</v>
      </c>
      <c r="S42" s="574"/>
      <c r="T42" s="575"/>
      <c r="U42" s="11"/>
      <c r="V42" s="11"/>
      <c r="W42" s="11"/>
      <c r="X42" s="39"/>
      <c r="Y42" s="11"/>
      <c r="Z42" s="11"/>
      <c r="AA42" s="14"/>
      <c r="AB42" s="60"/>
      <c r="AD42" s="59">
        <f>NODES!F10</f>
        <v>110</v>
      </c>
      <c r="AE42" s="11">
        <f t="shared" si="1"/>
        <v>0</v>
      </c>
      <c r="AF42" s="39">
        <f t="shared" si="2"/>
        <v>3.9</v>
      </c>
      <c r="AG42" s="60">
        <v>0</v>
      </c>
      <c r="AH42" s="90"/>
      <c r="AI42" s="41">
        <f t="shared" si="3"/>
        <v>110</v>
      </c>
      <c r="AJ42" s="41" t="s">
        <v>328</v>
      </c>
      <c r="AK42" s="41" t="s">
        <v>329</v>
      </c>
      <c r="AL42" s="41" t="s">
        <v>330</v>
      </c>
      <c r="AM42" s="41" t="s">
        <v>331</v>
      </c>
      <c r="AN42" s="41" t="s">
        <v>332</v>
      </c>
      <c r="AO42" s="41" t="s">
        <v>333</v>
      </c>
      <c r="AP42" s="41" t="s">
        <v>334</v>
      </c>
      <c r="AQ42" s="42" t="s">
        <v>335</v>
      </c>
      <c r="AR42" s="43">
        <f t="shared" si="6"/>
        <v>5481.4375000000009</v>
      </c>
      <c r="AT42" s="44">
        <f t="shared" si="7"/>
        <v>110</v>
      </c>
      <c r="AU42" s="44" t="s">
        <v>327</v>
      </c>
      <c r="AV42" s="44">
        <v>-0.01</v>
      </c>
      <c r="AW42" s="45">
        <f t="shared" si="8"/>
        <v>5481.4375000000009</v>
      </c>
      <c r="AX42" s="44">
        <v>0</v>
      </c>
      <c r="AY42" s="44">
        <v>0</v>
      </c>
      <c r="AZ42" s="44">
        <v>0.01</v>
      </c>
      <c r="BA42" s="44">
        <v>0</v>
      </c>
      <c r="BB42" s="36"/>
    </row>
    <row r="43" spans="1:54" s="15" customFormat="1" ht="13.2">
      <c r="A43" s="59"/>
      <c r="B43" s="11"/>
      <c r="C43" s="11"/>
      <c r="D43" s="11">
        <v>12</v>
      </c>
      <c r="E43" s="544" t="s">
        <v>40</v>
      </c>
      <c r="F43" s="545"/>
      <c r="G43" s="546">
        <f t="shared" si="4"/>
        <v>111</v>
      </c>
      <c r="H43" s="547"/>
      <c r="I43" s="564">
        <f t="shared" si="5"/>
        <v>3.05</v>
      </c>
      <c r="J43" s="565"/>
      <c r="K43" s="566"/>
      <c r="L43" s="567">
        <f t="shared" si="9"/>
        <v>0.84999999999999987</v>
      </c>
      <c r="M43" s="568"/>
      <c r="N43" s="569"/>
      <c r="O43" s="570">
        <f>IF(E43="Fill",VLOOKUP(E43,$B$14:$O$20,14,FALSE),300*1.1*(6-(I43-$I$35+'Wish In Place'!$M$64-'Wish In Place'!$M$60))/1.2)</f>
        <v>6682.5</v>
      </c>
      <c r="P43" s="571"/>
      <c r="Q43" s="572"/>
      <c r="R43" s="573">
        <f t="shared" si="10"/>
        <v>5680.1249999999991</v>
      </c>
      <c r="S43" s="574"/>
      <c r="T43" s="575"/>
      <c r="U43" s="11"/>
      <c r="V43" s="11"/>
      <c r="W43" s="11"/>
      <c r="X43" s="39"/>
      <c r="Y43" s="11"/>
      <c r="Z43" s="11"/>
      <c r="AA43" s="14"/>
      <c r="AB43" s="60"/>
      <c r="AD43" s="59">
        <f>NODES!F11</f>
        <v>111</v>
      </c>
      <c r="AE43" s="11">
        <f t="shared" si="1"/>
        <v>0</v>
      </c>
      <c r="AF43" s="39">
        <f t="shared" si="2"/>
        <v>3.05</v>
      </c>
      <c r="AG43" s="60">
        <v>0</v>
      </c>
      <c r="AH43" s="90"/>
      <c r="AI43" s="41">
        <f t="shared" si="3"/>
        <v>111</v>
      </c>
      <c r="AJ43" s="41" t="s">
        <v>328</v>
      </c>
      <c r="AK43" s="41" t="s">
        <v>329</v>
      </c>
      <c r="AL43" s="41" t="s">
        <v>330</v>
      </c>
      <c r="AM43" s="41" t="s">
        <v>331</v>
      </c>
      <c r="AN43" s="41" t="s">
        <v>332</v>
      </c>
      <c r="AO43" s="41" t="s">
        <v>333</v>
      </c>
      <c r="AP43" s="41" t="s">
        <v>334</v>
      </c>
      <c r="AQ43" s="42" t="s">
        <v>335</v>
      </c>
      <c r="AR43" s="43">
        <f t="shared" si="6"/>
        <v>5680.1249999999991</v>
      </c>
      <c r="AT43" s="44">
        <f t="shared" si="7"/>
        <v>111</v>
      </c>
      <c r="AU43" s="44" t="s">
        <v>327</v>
      </c>
      <c r="AV43" s="44">
        <v>-0.01</v>
      </c>
      <c r="AW43" s="45">
        <f t="shared" si="8"/>
        <v>5680.1249999999991</v>
      </c>
      <c r="AX43" s="44">
        <v>0</v>
      </c>
      <c r="AY43" s="44">
        <v>0</v>
      </c>
      <c r="AZ43" s="44">
        <v>0.01</v>
      </c>
      <c r="BA43" s="44">
        <v>0</v>
      </c>
      <c r="BB43" s="36"/>
    </row>
    <row r="44" spans="1:54" s="15" customFormat="1" ht="13.2">
      <c r="A44" s="59"/>
      <c r="B44" s="11"/>
      <c r="C44" s="11"/>
      <c r="D44" s="11">
        <v>13</v>
      </c>
      <c r="E44" s="544" t="s">
        <v>40</v>
      </c>
      <c r="F44" s="545"/>
      <c r="G44" s="546">
        <f t="shared" ref="G44:G47" si="11">AD44</f>
        <v>112</v>
      </c>
      <c r="H44" s="547"/>
      <c r="I44" s="564">
        <f t="shared" si="5"/>
        <v>2.2000000000000002</v>
      </c>
      <c r="J44" s="565"/>
      <c r="K44" s="566"/>
      <c r="L44" s="567">
        <f t="shared" si="9"/>
        <v>0.84999999999999987</v>
      </c>
      <c r="M44" s="568"/>
      <c r="N44" s="569"/>
      <c r="O44" s="570">
        <f>IF(E44="Fill",VLOOKUP(E44,$B$14:$O$20,14,FALSE),300*1.1*(6-(I44-$I$35+'Wish In Place'!$M$64-'Wish In Place'!$M$60))/1.2)</f>
        <v>6916.25</v>
      </c>
      <c r="P44" s="571"/>
      <c r="Q44" s="572"/>
      <c r="R44" s="573">
        <f t="shared" si="10"/>
        <v>5878.8124999999991</v>
      </c>
      <c r="S44" s="574"/>
      <c r="T44" s="575"/>
      <c r="U44" s="11"/>
      <c r="V44" s="11"/>
      <c r="W44" s="11"/>
      <c r="X44" s="39"/>
      <c r="Y44" s="11"/>
      <c r="Z44" s="11"/>
      <c r="AA44" s="14"/>
      <c r="AB44" s="60"/>
      <c r="AD44" s="59">
        <f>NODES!F12</f>
        <v>112</v>
      </c>
      <c r="AE44" s="11">
        <f t="shared" si="1"/>
        <v>0</v>
      </c>
      <c r="AF44" s="39">
        <f t="shared" si="2"/>
        <v>2.2000000000000002</v>
      </c>
      <c r="AG44" s="60">
        <v>0</v>
      </c>
      <c r="AH44" s="90"/>
      <c r="AI44" s="41">
        <f t="shared" si="3"/>
        <v>112</v>
      </c>
      <c r="AJ44" s="41" t="s">
        <v>328</v>
      </c>
      <c r="AK44" s="41" t="s">
        <v>329</v>
      </c>
      <c r="AL44" s="41" t="s">
        <v>330</v>
      </c>
      <c r="AM44" s="41" t="s">
        <v>331</v>
      </c>
      <c r="AN44" s="41" t="s">
        <v>332</v>
      </c>
      <c r="AO44" s="41" t="s">
        <v>333</v>
      </c>
      <c r="AP44" s="41" t="s">
        <v>334</v>
      </c>
      <c r="AQ44" s="42" t="s">
        <v>335</v>
      </c>
      <c r="AR44" s="43">
        <f t="shared" si="6"/>
        <v>5878.8124999999991</v>
      </c>
      <c r="AT44" s="44">
        <f t="shared" si="7"/>
        <v>112</v>
      </c>
      <c r="AU44" s="44" t="s">
        <v>327</v>
      </c>
      <c r="AV44" s="44">
        <v>-0.01</v>
      </c>
      <c r="AW44" s="45">
        <f t="shared" si="8"/>
        <v>5878.8124999999991</v>
      </c>
      <c r="AX44" s="44">
        <v>0</v>
      </c>
      <c r="AY44" s="44">
        <v>0</v>
      </c>
      <c r="AZ44" s="44">
        <v>0.01</v>
      </c>
      <c r="BA44" s="44">
        <v>0</v>
      </c>
      <c r="BB44" s="36"/>
    </row>
    <row r="45" spans="1:54" s="15" customFormat="1" ht="13.2">
      <c r="A45" s="59"/>
      <c r="B45" s="11"/>
      <c r="C45" s="11"/>
      <c r="D45" s="11">
        <v>14</v>
      </c>
      <c r="E45" s="544" t="s">
        <v>40</v>
      </c>
      <c r="F45" s="545"/>
      <c r="G45" s="546">
        <f t="shared" si="11"/>
        <v>113</v>
      </c>
      <c r="H45" s="547"/>
      <c r="I45" s="564">
        <f t="shared" si="5"/>
        <v>1.35</v>
      </c>
      <c r="J45" s="565"/>
      <c r="K45" s="566"/>
      <c r="L45" s="567">
        <f t="shared" si="9"/>
        <v>0.85000000000000009</v>
      </c>
      <c r="M45" s="568"/>
      <c r="N45" s="569"/>
      <c r="O45" s="570">
        <f>IF(E45="Fill",VLOOKUP(E45,$B$14:$O$20,14,FALSE),300*1.1*(6-(I45-$I$35+'Wish In Place'!$M$64-'Wish In Place'!$M$60))/1.2)</f>
        <v>7150</v>
      </c>
      <c r="P45" s="571"/>
      <c r="Q45" s="572"/>
      <c r="R45" s="573">
        <f t="shared" si="10"/>
        <v>6077.5000000000009</v>
      </c>
      <c r="S45" s="574"/>
      <c r="T45" s="575"/>
      <c r="U45" s="11"/>
      <c r="V45" s="11"/>
      <c r="W45" s="11"/>
      <c r="X45" s="39"/>
      <c r="Y45" s="11"/>
      <c r="Z45" s="11"/>
      <c r="AA45" s="14"/>
      <c r="AB45" s="60"/>
      <c r="AD45" s="59">
        <f>NODES!F13</f>
        <v>113</v>
      </c>
      <c r="AE45" s="11">
        <f t="shared" si="1"/>
        <v>0</v>
      </c>
      <c r="AF45" s="39">
        <f t="shared" si="2"/>
        <v>1.35</v>
      </c>
      <c r="AG45" s="60">
        <v>0</v>
      </c>
      <c r="AH45" s="90"/>
      <c r="AI45" s="41">
        <f t="shared" si="3"/>
        <v>113</v>
      </c>
      <c r="AJ45" s="41" t="s">
        <v>328</v>
      </c>
      <c r="AK45" s="41" t="s">
        <v>329</v>
      </c>
      <c r="AL45" s="41" t="s">
        <v>330</v>
      </c>
      <c r="AM45" s="41" t="s">
        <v>331</v>
      </c>
      <c r="AN45" s="41" t="s">
        <v>332</v>
      </c>
      <c r="AO45" s="41" t="s">
        <v>333</v>
      </c>
      <c r="AP45" s="41" t="s">
        <v>334</v>
      </c>
      <c r="AQ45" s="42" t="s">
        <v>335</v>
      </c>
      <c r="AR45" s="43">
        <f>R45</f>
        <v>6077.5000000000009</v>
      </c>
      <c r="AT45" s="44">
        <f t="shared" si="7"/>
        <v>113</v>
      </c>
      <c r="AU45" s="44" t="s">
        <v>327</v>
      </c>
      <c r="AV45" s="44">
        <v>-0.01</v>
      </c>
      <c r="AW45" s="45">
        <f t="shared" si="8"/>
        <v>6077.5000000000009</v>
      </c>
      <c r="AX45" s="44">
        <v>0</v>
      </c>
      <c r="AY45" s="44">
        <v>0</v>
      </c>
      <c r="AZ45" s="44">
        <v>0.01</v>
      </c>
      <c r="BA45" s="44">
        <v>0</v>
      </c>
      <c r="BB45" s="36"/>
    </row>
    <row r="46" spans="1:54" s="15" customFormat="1" ht="13.2">
      <c r="A46" s="59"/>
      <c r="B46" s="11"/>
      <c r="C46" s="11"/>
      <c r="D46" s="11">
        <v>5</v>
      </c>
      <c r="E46" s="544" t="s">
        <v>40</v>
      </c>
      <c r="F46" s="545"/>
      <c r="G46" s="546">
        <f t="shared" si="11"/>
        <v>80</v>
      </c>
      <c r="H46" s="547"/>
      <c r="I46" s="564">
        <f t="shared" si="5"/>
        <v>0.5</v>
      </c>
      <c r="J46" s="565"/>
      <c r="K46" s="566"/>
      <c r="L46" s="567">
        <f>(I45-I47)/2</f>
        <v>0.67500000000000004</v>
      </c>
      <c r="M46" s="568"/>
      <c r="N46" s="569"/>
      <c r="O46" s="570">
        <f>IF(E46="Fill",VLOOKUP(E46,$B$14:$O$20,14,FALSE),300*1.1*(6-(I46-$I$35+'Wish In Place'!$M$64-'Wish In Place'!$M$60))/1.2)</f>
        <v>7383.75</v>
      </c>
      <c r="P46" s="571"/>
      <c r="Q46" s="572"/>
      <c r="R46" s="573">
        <f t="shared" si="10"/>
        <v>4984.03125</v>
      </c>
      <c r="S46" s="574"/>
      <c r="T46" s="575"/>
      <c r="U46" s="11"/>
      <c r="V46" s="11"/>
      <c r="W46" s="11"/>
      <c r="X46" s="39"/>
      <c r="Y46" s="11"/>
      <c r="Z46" s="11"/>
      <c r="AA46" s="14"/>
      <c r="AB46" s="60"/>
      <c r="AD46" s="59">
        <f>NODES!F14</f>
        <v>80</v>
      </c>
      <c r="AE46" s="11">
        <f t="shared" si="1"/>
        <v>0</v>
      </c>
      <c r="AF46" s="39">
        <f t="shared" si="2"/>
        <v>0.5</v>
      </c>
      <c r="AG46" s="60">
        <v>0</v>
      </c>
      <c r="AH46" s="90"/>
      <c r="AI46" s="41">
        <f t="shared" si="3"/>
        <v>80</v>
      </c>
      <c r="AJ46" s="41" t="s">
        <v>328</v>
      </c>
      <c r="AK46" s="41" t="s">
        <v>329</v>
      </c>
      <c r="AL46" s="41" t="s">
        <v>330</v>
      </c>
      <c r="AM46" s="41" t="s">
        <v>331</v>
      </c>
      <c r="AN46" s="41" t="s">
        <v>332</v>
      </c>
      <c r="AO46" s="41" t="s">
        <v>333</v>
      </c>
      <c r="AP46" s="41" t="s">
        <v>334</v>
      </c>
      <c r="AQ46" s="42" t="s">
        <v>335</v>
      </c>
      <c r="AR46" s="43">
        <f t="shared" si="6"/>
        <v>4984.03125</v>
      </c>
      <c r="AT46" s="44">
        <f t="shared" si="7"/>
        <v>80</v>
      </c>
      <c r="AU46" s="44" t="s">
        <v>327</v>
      </c>
      <c r="AV46" s="44">
        <v>-0.01</v>
      </c>
      <c r="AW46" s="45">
        <f t="shared" si="8"/>
        <v>4984.03125</v>
      </c>
      <c r="AX46" s="44">
        <v>0</v>
      </c>
      <c r="AY46" s="44">
        <v>0</v>
      </c>
      <c r="AZ46" s="44">
        <v>0.01</v>
      </c>
      <c r="BA46" s="44">
        <v>0</v>
      </c>
      <c r="BB46" s="36"/>
    </row>
    <row r="47" spans="1:54" s="15" customFormat="1" ht="13.8" thickBot="1">
      <c r="A47" s="59"/>
      <c r="B47" s="11"/>
      <c r="C47" s="11"/>
      <c r="D47" s="11">
        <v>3</v>
      </c>
      <c r="E47" s="544" t="s">
        <v>40</v>
      </c>
      <c r="F47" s="545"/>
      <c r="G47" s="546">
        <f t="shared" si="11"/>
        <v>69</v>
      </c>
      <c r="H47" s="547"/>
      <c r="I47" s="564">
        <f t="shared" si="5"/>
        <v>0</v>
      </c>
      <c r="J47" s="565"/>
      <c r="K47" s="566"/>
      <c r="L47" s="567">
        <f>(I46-I47)/2</f>
        <v>0.25</v>
      </c>
      <c r="M47" s="568"/>
      <c r="N47" s="569"/>
      <c r="O47" s="570">
        <f>IF(E47="Fill",VLOOKUP(E47,$B$14:$O$20,14,FALSE),300*1.1*(6-(I47-$I$35+'Wish In Place'!$M$64-'Wish In Place'!$M$60))/1.2)</f>
        <v>7521.25</v>
      </c>
      <c r="P47" s="571"/>
      <c r="Q47" s="572"/>
      <c r="R47" s="573">
        <f t="shared" si="10"/>
        <v>1880.3125</v>
      </c>
      <c r="S47" s="574"/>
      <c r="T47" s="575"/>
      <c r="U47" s="11"/>
      <c r="V47" s="11"/>
      <c r="W47" s="11"/>
      <c r="X47" s="39"/>
      <c r="Y47" s="11"/>
      <c r="Z47" s="11"/>
      <c r="AA47" s="14"/>
      <c r="AB47" s="60"/>
      <c r="AD47" s="59">
        <f>NODES!F15</f>
        <v>69</v>
      </c>
      <c r="AE47" s="62">
        <f t="shared" si="1"/>
        <v>0</v>
      </c>
      <c r="AF47" s="91">
        <f t="shared" si="2"/>
        <v>0</v>
      </c>
      <c r="AG47" s="63">
        <v>0</v>
      </c>
      <c r="AH47" s="90"/>
      <c r="AI47" s="41">
        <f t="shared" si="3"/>
        <v>69</v>
      </c>
      <c r="AJ47" s="41" t="s">
        <v>328</v>
      </c>
      <c r="AK47" s="41" t="s">
        <v>329</v>
      </c>
      <c r="AL47" s="41" t="s">
        <v>330</v>
      </c>
      <c r="AM47" s="41" t="s">
        <v>331</v>
      </c>
      <c r="AN47" s="41" t="s">
        <v>332</v>
      </c>
      <c r="AO47" s="41" t="s">
        <v>333</v>
      </c>
      <c r="AP47" s="41" t="s">
        <v>334</v>
      </c>
      <c r="AQ47" s="42" t="s">
        <v>335</v>
      </c>
      <c r="AR47" s="43">
        <f t="shared" si="6"/>
        <v>1880.3125</v>
      </c>
      <c r="AT47" s="44">
        <f t="shared" si="7"/>
        <v>69</v>
      </c>
      <c r="AU47" s="44" t="s">
        <v>327</v>
      </c>
      <c r="AV47" s="44">
        <v>-0.01</v>
      </c>
      <c r="AW47" s="45">
        <f t="shared" si="8"/>
        <v>1880.3125</v>
      </c>
      <c r="AX47" s="44">
        <v>0</v>
      </c>
      <c r="AY47" s="44">
        <v>0</v>
      </c>
      <c r="AZ47" s="44">
        <v>0.01</v>
      </c>
      <c r="BA47" s="44">
        <v>0</v>
      </c>
      <c r="BB47" s="36"/>
    </row>
    <row r="48" spans="1:54" s="15" customFormat="1" ht="12.75" customHeight="1" thickBot="1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3"/>
      <c r="AD48" s="11"/>
      <c r="AE48" s="11"/>
      <c r="AF48" s="11"/>
      <c r="AH48" s="11"/>
      <c r="AI48" s="11"/>
      <c r="AJ48" s="25"/>
      <c r="AK48" s="25"/>
      <c r="AL48" s="25"/>
      <c r="AM48" s="25"/>
      <c r="AN48" s="25"/>
      <c r="AO48" s="25"/>
      <c r="AP48" s="25"/>
      <c r="AQ48" s="25"/>
      <c r="AR48" s="67"/>
      <c r="AS48" s="67"/>
      <c r="AT48" s="67"/>
      <c r="AU48" s="25"/>
      <c r="AV48" s="25"/>
      <c r="AW48" s="25"/>
      <c r="AX48" s="25"/>
      <c r="AY48" s="25"/>
      <c r="AZ48" s="36"/>
      <c r="BA48" s="36"/>
      <c r="BB48" s="36"/>
    </row>
    <row r="49" spans="1:54" s="15" customFormat="1" ht="12.75" customHeight="1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9"/>
      <c r="AD49" s="11"/>
      <c r="AE49" s="11"/>
      <c r="AF49" s="11"/>
      <c r="AH49" s="11"/>
      <c r="AI49" s="11"/>
      <c r="AJ49" s="25"/>
      <c r="AK49" s="25"/>
      <c r="AL49" s="25"/>
      <c r="AM49" s="25"/>
      <c r="AN49" s="25"/>
      <c r="AO49" s="25"/>
      <c r="AP49" s="25"/>
      <c r="AQ49" s="25"/>
      <c r="AR49" s="67"/>
      <c r="AS49" s="67"/>
      <c r="AT49" s="67"/>
      <c r="AU49" s="25"/>
      <c r="AV49" s="25"/>
      <c r="AW49" s="25"/>
      <c r="AX49" s="25"/>
      <c r="AY49" s="25"/>
      <c r="AZ49" s="36"/>
      <c r="BA49" s="36"/>
      <c r="BB49" s="36"/>
    </row>
    <row r="50" spans="1:54" s="15" customFormat="1" ht="12.75" customHeight="1">
      <c r="A50" s="59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60"/>
      <c r="AQ50" s="70"/>
      <c r="AR50" s="26"/>
      <c r="AS50" s="25"/>
      <c r="AT50" s="25"/>
      <c r="AU50" s="25"/>
      <c r="AV50" s="25"/>
      <c r="AW50" s="71"/>
      <c r="AX50" s="71"/>
      <c r="AY50" s="25"/>
      <c r="AZ50" s="25"/>
      <c r="BA50" s="25"/>
      <c r="BB50" s="36"/>
    </row>
    <row r="51" spans="1:54" s="15" customFormat="1" ht="12.75" customHeight="1" thickBot="1">
      <c r="A51" s="59"/>
      <c r="B51" s="14"/>
      <c r="C51" s="14"/>
      <c r="D51" s="14"/>
      <c r="E51" s="28" t="s">
        <v>336</v>
      </c>
      <c r="F51" s="14"/>
      <c r="G51" s="11"/>
      <c r="H51" s="28"/>
      <c r="I51" s="28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4"/>
      <c r="V51" s="14"/>
      <c r="W51" s="14"/>
      <c r="X51" s="14"/>
      <c r="Y51" s="14"/>
      <c r="Z51" s="14"/>
      <c r="AA51" s="14"/>
      <c r="AB51" s="60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72"/>
      <c r="AV51" s="25"/>
      <c r="AW51" s="25"/>
      <c r="AX51" s="27"/>
      <c r="AY51" s="37"/>
      <c r="AZ51" s="38"/>
      <c r="BA51" s="38"/>
      <c r="BB51" s="36"/>
    </row>
    <row r="52" spans="1:54" s="15" customFormat="1" ht="12.75" customHeight="1" thickBot="1">
      <c r="A52" s="59"/>
      <c r="B52" s="14"/>
      <c r="C52" s="14"/>
      <c r="D52" s="11" t="s">
        <v>314</v>
      </c>
      <c r="E52" s="548" t="s">
        <v>315</v>
      </c>
      <c r="F52" s="549"/>
      <c r="G52" s="582" t="s">
        <v>316</v>
      </c>
      <c r="H52" s="583"/>
      <c r="I52" s="586" t="s">
        <v>317</v>
      </c>
      <c r="J52" s="587"/>
      <c r="K52" s="588"/>
      <c r="L52" s="31"/>
      <c r="M52" s="32" t="s">
        <v>318</v>
      </c>
      <c r="N52" s="32"/>
      <c r="O52" s="592" t="s">
        <v>319</v>
      </c>
      <c r="P52" s="593"/>
      <c r="Q52" s="594"/>
      <c r="R52" s="579" t="s">
        <v>320</v>
      </c>
      <c r="S52" s="580"/>
      <c r="T52" s="581"/>
      <c r="U52" s="14"/>
      <c r="V52" s="14"/>
      <c r="W52" s="14"/>
      <c r="X52" s="14"/>
      <c r="Y52" s="14"/>
      <c r="Z52" s="14"/>
      <c r="AA52" s="14"/>
      <c r="AB52" s="60"/>
      <c r="AD52" s="92" t="s">
        <v>313</v>
      </c>
      <c r="AE52" s="93"/>
      <c r="AF52" s="93"/>
      <c r="AG52" s="94"/>
      <c r="AK52" s="70"/>
      <c r="AL52" s="26"/>
      <c r="AM52" s="25"/>
      <c r="AN52" s="25"/>
      <c r="AO52" s="72"/>
      <c r="AP52" s="72"/>
      <c r="AQ52" s="25"/>
      <c r="AR52" s="73"/>
      <c r="AS52" s="73"/>
      <c r="AT52" s="25"/>
      <c r="AU52" s="25"/>
      <c r="AV52" s="72"/>
      <c r="AW52" s="72"/>
      <c r="AX52" s="27"/>
      <c r="AY52" s="65"/>
      <c r="AZ52" s="65"/>
      <c r="BA52" s="25"/>
      <c r="BB52" s="36"/>
    </row>
    <row r="53" spans="1:54" s="15" customFormat="1" ht="12.75" customHeight="1">
      <c r="A53" s="59"/>
      <c r="B53" s="14"/>
      <c r="C53" s="14"/>
      <c r="D53" s="14"/>
      <c r="E53" s="549"/>
      <c r="F53" s="549"/>
      <c r="G53" s="584"/>
      <c r="H53" s="585"/>
      <c r="I53" s="589"/>
      <c r="J53" s="590"/>
      <c r="K53" s="591"/>
      <c r="L53" s="567" t="s">
        <v>321</v>
      </c>
      <c r="M53" s="568"/>
      <c r="N53" s="569"/>
      <c r="O53" s="576" t="s">
        <v>120</v>
      </c>
      <c r="P53" s="577"/>
      <c r="Q53" s="578"/>
      <c r="R53" s="579" t="s">
        <v>267</v>
      </c>
      <c r="S53" s="580"/>
      <c r="T53" s="581"/>
      <c r="U53" s="14"/>
      <c r="V53" s="14"/>
      <c r="W53" s="14"/>
      <c r="X53" s="14"/>
      <c r="Y53" s="14"/>
      <c r="Z53" s="14"/>
      <c r="AA53" s="14"/>
      <c r="AB53" s="60"/>
      <c r="AC53" s="1"/>
      <c r="AD53" s="86" t="s">
        <v>322</v>
      </c>
      <c r="AE53" s="95" t="s">
        <v>323</v>
      </c>
      <c r="AF53" s="95" t="s">
        <v>324</v>
      </c>
      <c r="AG53" s="96" t="s">
        <v>325</v>
      </c>
      <c r="AH53" s="56"/>
      <c r="AI53" s="40" t="s">
        <v>337</v>
      </c>
      <c r="AT53" s="40" t="s">
        <v>327</v>
      </c>
      <c r="BB53" s="36"/>
    </row>
    <row r="54" spans="1:54" s="15" customFormat="1" ht="12.75" customHeight="1">
      <c r="A54" s="110"/>
      <c r="B54" s="14"/>
      <c r="C54" s="14"/>
      <c r="D54" s="14">
        <v>15</v>
      </c>
      <c r="E54" s="546" t="s">
        <v>26</v>
      </c>
      <c r="F54" s="547"/>
      <c r="G54" s="546">
        <f>AD54</f>
        <v>60</v>
      </c>
      <c r="H54" s="547"/>
      <c r="I54" s="564">
        <f t="shared" ref="I54:I66" si="12">IFERROR(VLOOKUP($G54,ND_C1,3,FALSE),0)</f>
        <v>9.5</v>
      </c>
      <c r="J54" s="565"/>
      <c r="K54" s="566"/>
      <c r="L54" s="567">
        <f>(I54-I55)/2</f>
        <v>0.25</v>
      </c>
      <c r="M54" s="568"/>
      <c r="N54" s="569"/>
      <c r="O54" s="570">
        <f>IF(E54="Fill",VLOOKUP(E54,$B$14:$O$20,14,FALSE),300*1.1*(6-(I54-$I$54+'Wish In Place'!$M$64-'Wish In Place'!$M$60))/1.2)</f>
        <v>1388.0855986119145</v>
      </c>
      <c r="P54" s="571"/>
      <c r="Q54" s="572"/>
      <c r="R54" s="573">
        <f>L54*O54</f>
        <v>347.02139965297863</v>
      </c>
      <c r="S54" s="574"/>
      <c r="T54" s="575"/>
      <c r="U54" s="14"/>
      <c r="V54" s="14"/>
      <c r="W54" s="14"/>
      <c r="X54" s="14"/>
      <c r="Y54" s="14"/>
      <c r="Z54" s="14"/>
      <c r="AA54" s="14"/>
      <c r="AB54" s="60"/>
      <c r="AC54" s="1"/>
      <c r="AD54" s="59">
        <f>NODES!F17</f>
        <v>60</v>
      </c>
      <c r="AE54" s="11">
        <f t="shared" ref="AE54:AE66" si="13">VLOOKUP($AD54,ND_C1,2,FALSE)</f>
        <v>13.2</v>
      </c>
      <c r="AF54" s="39">
        <f t="shared" ref="AF54:AF66" si="14">VLOOKUP($AD54,ND_C1,3,FALSE)</f>
        <v>9.5</v>
      </c>
      <c r="AG54" s="60">
        <v>0</v>
      </c>
      <c r="AI54" s="41">
        <f t="shared" ref="AI54:AI66" si="15">G54</f>
        <v>60</v>
      </c>
      <c r="AJ54" s="41" t="s">
        <v>328</v>
      </c>
      <c r="AK54" s="41" t="s">
        <v>329</v>
      </c>
      <c r="AL54" s="41" t="s">
        <v>330</v>
      </c>
      <c r="AM54" s="41" t="s">
        <v>331</v>
      </c>
      <c r="AN54" s="41" t="s">
        <v>332</v>
      </c>
      <c r="AO54" s="41" t="s">
        <v>333</v>
      </c>
      <c r="AP54" s="41" t="s">
        <v>334</v>
      </c>
      <c r="AQ54" s="42" t="s">
        <v>335</v>
      </c>
      <c r="AR54" s="43">
        <f t="shared" ref="AR54:AR66" si="16">R54</f>
        <v>347.02139965297863</v>
      </c>
      <c r="AT54" s="44">
        <f t="shared" ref="AT54:AT66" si="17">G54</f>
        <v>60</v>
      </c>
      <c r="AU54" s="44" t="s">
        <v>327</v>
      </c>
      <c r="AV54" s="44">
        <v>-0.01</v>
      </c>
      <c r="AW54" s="45">
        <v>0</v>
      </c>
      <c r="AX54" s="44">
        <v>0</v>
      </c>
      <c r="AY54" s="45">
        <f>R54</f>
        <v>347.02139965297863</v>
      </c>
      <c r="AZ54" s="44">
        <v>0.01</v>
      </c>
      <c r="BA54" s="45">
        <f>R54</f>
        <v>347.02139965297863</v>
      </c>
      <c r="BB54" s="36"/>
    </row>
    <row r="55" spans="1:54" s="15" customFormat="1" ht="12.75" customHeight="1">
      <c r="A55" s="110"/>
      <c r="B55" s="14"/>
      <c r="C55" s="14"/>
      <c r="D55" s="14">
        <v>17</v>
      </c>
      <c r="E55" s="546" t="s">
        <v>26</v>
      </c>
      <c r="F55" s="547"/>
      <c r="G55" s="546">
        <f t="shared" ref="G55:G66" si="18">AD55</f>
        <v>81</v>
      </c>
      <c r="H55" s="547"/>
      <c r="I55" s="564">
        <f t="shared" si="12"/>
        <v>9</v>
      </c>
      <c r="J55" s="565"/>
      <c r="K55" s="566"/>
      <c r="L55" s="567">
        <f>(I54-I56)/2</f>
        <v>0.67499999999999982</v>
      </c>
      <c r="M55" s="568"/>
      <c r="N55" s="569"/>
      <c r="O55" s="570">
        <f>IF(E55="Fill",VLOOKUP(E55,$B$14:$O$20,14,FALSE),300*1.1*(6-(I55-$I$54+'Wish In Place'!$M$64-'Wish In Place'!$M$60))/1.2)</f>
        <v>1388.0855986119145</v>
      </c>
      <c r="P55" s="571"/>
      <c r="Q55" s="572"/>
      <c r="R55" s="573">
        <f t="shared" ref="R55:R66" si="19">L55*O55</f>
        <v>936.95777906304204</v>
      </c>
      <c r="S55" s="574"/>
      <c r="T55" s="575"/>
      <c r="U55" s="14"/>
      <c r="V55" s="14"/>
      <c r="W55" s="14"/>
      <c r="X55" s="14"/>
      <c r="Y55" s="14"/>
      <c r="Z55" s="14"/>
      <c r="AA55" s="14"/>
      <c r="AB55" s="60"/>
      <c r="AC55" s="1"/>
      <c r="AD55" s="59">
        <f>NODES!F18</f>
        <v>81</v>
      </c>
      <c r="AE55" s="11">
        <f t="shared" si="13"/>
        <v>13.2</v>
      </c>
      <c r="AF55" s="39">
        <f t="shared" si="14"/>
        <v>9</v>
      </c>
      <c r="AG55" s="60">
        <v>0</v>
      </c>
      <c r="AI55" s="41">
        <f t="shared" si="15"/>
        <v>81</v>
      </c>
      <c r="AJ55" s="41" t="s">
        <v>328</v>
      </c>
      <c r="AK55" s="41" t="s">
        <v>329</v>
      </c>
      <c r="AL55" s="41" t="s">
        <v>330</v>
      </c>
      <c r="AM55" s="41" t="s">
        <v>331</v>
      </c>
      <c r="AN55" s="41" t="s">
        <v>332</v>
      </c>
      <c r="AO55" s="41" t="s">
        <v>333</v>
      </c>
      <c r="AP55" s="41" t="s">
        <v>334</v>
      </c>
      <c r="AQ55" s="42" t="s">
        <v>335</v>
      </c>
      <c r="AR55" s="43">
        <f t="shared" si="16"/>
        <v>936.95777906304204</v>
      </c>
      <c r="AS55" s="1"/>
      <c r="AT55" s="44">
        <f t="shared" si="17"/>
        <v>81</v>
      </c>
      <c r="AU55" s="44" t="s">
        <v>327</v>
      </c>
      <c r="AV55" s="44">
        <v>-0.01</v>
      </c>
      <c r="AW55" s="45">
        <v>0</v>
      </c>
      <c r="AX55" s="44">
        <v>0</v>
      </c>
      <c r="AY55" s="45">
        <f t="shared" ref="AY55:AY66" si="20">R55</f>
        <v>936.95777906304204</v>
      </c>
      <c r="AZ55" s="44">
        <v>0.01</v>
      </c>
      <c r="BA55" s="45">
        <f t="shared" ref="BA55:BA66" si="21">R55</f>
        <v>936.95777906304204</v>
      </c>
      <c r="BB55" s="36"/>
    </row>
    <row r="56" spans="1:54" s="15" customFormat="1" ht="12.75" customHeight="1">
      <c r="A56" s="110"/>
      <c r="B56" s="14"/>
      <c r="C56" s="14"/>
      <c r="D56" s="14">
        <v>19</v>
      </c>
      <c r="E56" s="546" t="s">
        <v>26</v>
      </c>
      <c r="F56" s="547"/>
      <c r="G56" s="546">
        <f t="shared" si="18"/>
        <v>114</v>
      </c>
      <c r="H56" s="547"/>
      <c r="I56" s="564">
        <f t="shared" si="12"/>
        <v>8.15</v>
      </c>
      <c r="J56" s="565"/>
      <c r="K56" s="566"/>
      <c r="L56" s="567">
        <f t="shared" ref="L56:L64" si="22">(I55-I57)/2</f>
        <v>0.85000000000000009</v>
      </c>
      <c r="M56" s="568"/>
      <c r="N56" s="569"/>
      <c r="O56" s="570">
        <f>IF(E56="Fill",VLOOKUP(E56,$B$14:$O$20,14,FALSE),300*1.1*(6-(I56-$I$54+'Wish In Place'!$M$64-'Wish In Place'!$M$60))/1.2)</f>
        <v>1388.0855986119145</v>
      </c>
      <c r="P56" s="571"/>
      <c r="Q56" s="572"/>
      <c r="R56" s="573">
        <f t="shared" si="19"/>
        <v>1179.8727588201275</v>
      </c>
      <c r="S56" s="574"/>
      <c r="T56" s="575"/>
      <c r="U56" s="14"/>
      <c r="V56" s="14"/>
      <c r="W56" s="14"/>
      <c r="X56" s="14"/>
      <c r="Y56" s="14"/>
      <c r="Z56" s="14"/>
      <c r="AA56" s="14"/>
      <c r="AB56" s="60"/>
      <c r="AC56" s="1"/>
      <c r="AD56" s="59">
        <f>NODES!F19</f>
        <v>114</v>
      </c>
      <c r="AE56" s="11">
        <f t="shared" si="13"/>
        <v>13.2</v>
      </c>
      <c r="AF56" s="39">
        <f t="shared" si="14"/>
        <v>8.15</v>
      </c>
      <c r="AG56" s="60">
        <v>0</v>
      </c>
      <c r="AI56" s="41">
        <f t="shared" si="15"/>
        <v>114</v>
      </c>
      <c r="AJ56" s="41" t="s">
        <v>328</v>
      </c>
      <c r="AK56" s="41" t="s">
        <v>329</v>
      </c>
      <c r="AL56" s="41" t="s">
        <v>330</v>
      </c>
      <c r="AM56" s="41" t="s">
        <v>331</v>
      </c>
      <c r="AN56" s="41" t="s">
        <v>332</v>
      </c>
      <c r="AO56" s="41" t="s">
        <v>333</v>
      </c>
      <c r="AP56" s="41" t="s">
        <v>334</v>
      </c>
      <c r="AQ56" s="42" t="s">
        <v>335</v>
      </c>
      <c r="AR56" s="43">
        <f t="shared" si="16"/>
        <v>1179.8727588201275</v>
      </c>
      <c r="AS56" s="1"/>
      <c r="AT56" s="44">
        <f t="shared" si="17"/>
        <v>114</v>
      </c>
      <c r="AU56" s="44" t="s">
        <v>327</v>
      </c>
      <c r="AV56" s="44">
        <v>-0.01</v>
      </c>
      <c r="AW56" s="45">
        <v>0</v>
      </c>
      <c r="AX56" s="44">
        <v>0</v>
      </c>
      <c r="AY56" s="45">
        <f t="shared" si="20"/>
        <v>1179.8727588201275</v>
      </c>
      <c r="AZ56" s="44">
        <v>0.01</v>
      </c>
      <c r="BA56" s="45">
        <f t="shared" si="21"/>
        <v>1179.8727588201275</v>
      </c>
      <c r="BB56" s="36"/>
    </row>
    <row r="57" spans="1:54" s="15" customFormat="1" ht="12.75" customHeight="1">
      <c r="A57" s="110"/>
      <c r="B57" s="14"/>
      <c r="C57" s="14"/>
      <c r="D57" s="14">
        <v>20</v>
      </c>
      <c r="E57" s="546" t="s">
        <v>26</v>
      </c>
      <c r="F57" s="547"/>
      <c r="G57" s="546">
        <f t="shared" si="18"/>
        <v>115</v>
      </c>
      <c r="H57" s="547"/>
      <c r="I57" s="564">
        <f t="shared" si="12"/>
        <v>7.3</v>
      </c>
      <c r="J57" s="565"/>
      <c r="K57" s="566"/>
      <c r="L57" s="567">
        <f t="shared" si="22"/>
        <v>0.85000000000000009</v>
      </c>
      <c r="M57" s="568"/>
      <c r="N57" s="569"/>
      <c r="O57" s="570">
        <f>IF(E57="Fill",VLOOKUP(E57,$B$14:$O$20,14,FALSE),300*1.1*(6-(I57-$I$54+'Wish In Place'!$M$64-'Wish In Place'!$M$60))/1.2)</f>
        <v>1388.0855986119145</v>
      </c>
      <c r="P57" s="571"/>
      <c r="Q57" s="572"/>
      <c r="R57" s="573">
        <f t="shared" si="19"/>
        <v>1179.8727588201275</v>
      </c>
      <c r="S57" s="574"/>
      <c r="T57" s="575"/>
      <c r="U57" s="14"/>
      <c r="V57" s="14"/>
      <c r="W57" s="14"/>
      <c r="X57" s="14"/>
      <c r="Y57" s="14"/>
      <c r="Z57" s="14"/>
      <c r="AA57" s="14"/>
      <c r="AB57" s="60"/>
      <c r="AC57" s="1"/>
      <c r="AD57" s="59">
        <f>NODES!F20</f>
        <v>115</v>
      </c>
      <c r="AE57" s="11">
        <f t="shared" si="13"/>
        <v>13.2</v>
      </c>
      <c r="AF57" s="39">
        <f t="shared" si="14"/>
        <v>7.3</v>
      </c>
      <c r="AG57" s="60">
        <v>0</v>
      </c>
      <c r="AI57" s="41">
        <f t="shared" si="15"/>
        <v>115</v>
      </c>
      <c r="AJ57" s="41" t="s">
        <v>328</v>
      </c>
      <c r="AK57" s="41" t="s">
        <v>329</v>
      </c>
      <c r="AL57" s="41" t="s">
        <v>330</v>
      </c>
      <c r="AM57" s="41" t="s">
        <v>331</v>
      </c>
      <c r="AN57" s="41" t="s">
        <v>332</v>
      </c>
      <c r="AO57" s="41" t="s">
        <v>333</v>
      </c>
      <c r="AP57" s="41" t="s">
        <v>334</v>
      </c>
      <c r="AQ57" s="42" t="s">
        <v>335</v>
      </c>
      <c r="AR57" s="43">
        <f t="shared" si="16"/>
        <v>1179.8727588201275</v>
      </c>
      <c r="AS57" s="1"/>
      <c r="AT57" s="44">
        <f t="shared" si="17"/>
        <v>115</v>
      </c>
      <c r="AU57" s="44" t="s">
        <v>327</v>
      </c>
      <c r="AV57" s="44">
        <v>-0.01</v>
      </c>
      <c r="AW57" s="45">
        <v>0</v>
      </c>
      <c r="AX57" s="44">
        <v>0</v>
      </c>
      <c r="AY57" s="45">
        <f t="shared" si="20"/>
        <v>1179.8727588201275</v>
      </c>
      <c r="AZ57" s="44">
        <v>0.01</v>
      </c>
      <c r="BA57" s="45">
        <f t="shared" si="21"/>
        <v>1179.8727588201275</v>
      </c>
      <c r="BB57" s="36"/>
    </row>
    <row r="58" spans="1:54" s="15" customFormat="1" ht="12.75" customHeight="1">
      <c r="A58" s="110"/>
      <c r="B58" s="14"/>
      <c r="C58" s="14"/>
      <c r="D58" s="14">
        <v>21</v>
      </c>
      <c r="E58" s="546" t="s">
        <v>26</v>
      </c>
      <c r="F58" s="547"/>
      <c r="G58" s="546">
        <f t="shared" si="18"/>
        <v>116</v>
      </c>
      <c r="H58" s="547"/>
      <c r="I58" s="564">
        <f t="shared" si="12"/>
        <v>6.45</v>
      </c>
      <c r="J58" s="565"/>
      <c r="K58" s="566"/>
      <c r="L58" s="567">
        <f t="shared" si="22"/>
        <v>0.85000000000000009</v>
      </c>
      <c r="M58" s="568"/>
      <c r="N58" s="569"/>
      <c r="O58" s="570">
        <f>IF(E58="Fill",VLOOKUP(E58,$B$14:$O$20,14,FALSE),300*1.1*(6-(I58-$I$54+'Wish In Place'!$M$64-'Wish In Place'!$M$60))/1.2)</f>
        <v>1388.0855986119145</v>
      </c>
      <c r="P58" s="571"/>
      <c r="Q58" s="572"/>
      <c r="R58" s="573">
        <f t="shared" si="19"/>
        <v>1179.8727588201275</v>
      </c>
      <c r="S58" s="574"/>
      <c r="T58" s="575"/>
      <c r="U58" s="14"/>
      <c r="V58" s="14"/>
      <c r="W58" s="14"/>
      <c r="X58" s="14"/>
      <c r="Y58" s="14"/>
      <c r="Z58" s="14"/>
      <c r="AA58" s="14"/>
      <c r="AB58" s="60"/>
      <c r="AC58" s="1"/>
      <c r="AD58" s="59">
        <f>NODES!F21</f>
        <v>116</v>
      </c>
      <c r="AE58" s="11">
        <f t="shared" si="13"/>
        <v>13.2</v>
      </c>
      <c r="AF58" s="39">
        <f t="shared" si="14"/>
        <v>6.45</v>
      </c>
      <c r="AG58" s="60">
        <v>0</v>
      </c>
      <c r="AI58" s="41">
        <f t="shared" si="15"/>
        <v>116</v>
      </c>
      <c r="AJ58" s="41" t="s">
        <v>328</v>
      </c>
      <c r="AK58" s="41" t="s">
        <v>329</v>
      </c>
      <c r="AL58" s="41" t="s">
        <v>330</v>
      </c>
      <c r="AM58" s="41" t="s">
        <v>331</v>
      </c>
      <c r="AN58" s="41" t="s">
        <v>332</v>
      </c>
      <c r="AO58" s="41" t="s">
        <v>333</v>
      </c>
      <c r="AP58" s="41" t="s">
        <v>334</v>
      </c>
      <c r="AQ58" s="42" t="s">
        <v>335</v>
      </c>
      <c r="AR58" s="43">
        <f t="shared" si="16"/>
        <v>1179.8727588201275</v>
      </c>
      <c r="AS58" s="1"/>
      <c r="AT58" s="44">
        <f t="shared" si="17"/>
        <v>116</v>
      </c>
      <c r="AU58" s="44" t="s">
        <v>327</v>
      </c>
      <c r="AV58" s="44">
        <v>-0.01</v>
      </c>
      <c r="AW58" s="45">
        <v>0</v>
      </c>
      <c r="AX58" s="44">
        <v>0</v>
      </c>
      <c r="AY58" s="45">
        <f t="shared" si="20"/>
        <v>1179.8727588201275</v>
      </c>
      <c r="AZ58" s="44">
        <v>0.01</v>
      </c>
      <c r="BA58" s="45">
        <f t="shared" si="21"/>
        <v>1179.8727588201275</v>
      </c>
      <c r="BB58" s="36"/>
    </row>
    <row r="59" spans="1:54" s="15" customFormat="1" ht="12.75" customHeight="1">
      <c r="A59" s="110"/>
      <c r="B59" s="14"/>
      <c r="C59" s="14"/>
      <c r="D59" s="14">
        <v>22</v>
      </c>
      <c r="E59" s="546" t="s">
        <v>26</v>
      </c>
      <c r="F59" s="547"/>
      <c r="G59" s="546">
        <f t="shared" si="18"/>
        <v>117</v>
      </c>
      <c r="H59" s="547"/>
      <c r="I59" s="564">
        <f t="shared" si="12"/>
        <v>5.6</v>
      </c>
      <c r="J59" s="565"/>
      <c r="K59" s="566"/>
      <c r="L59" s="567">
        <f t="shared" si="22"/>
        <v>0.85000000000000009</v>
      </c>
      <c r="M59" s="568"/>
      <c r="N59" s="569"/>
      <c r="O59" s="570">
        <f>IF(E59="Fill",VLOOKUP(E59,$B$14:$O$20,14,FALSE),300*1.1*(6-(I59-$I$54+'Wish In Place'!$M$64-'Wish In Place'!$M$60))/1.2)</f>
        <v>1388.0855986119145</v>
      </c>
      <c r="P59" s="571"/>
      <c r="Q59" s="572"/>
      <c r="R59" s="573">
        <f t="shared" si="19"/>
        <v>1179.8727588201275</v>
      </c>
      <c r="S59" s="574"/>
      <c r="T59" s="575"/>
      <c r="U59" s="14"/>
      <c r="V59" s="14"/>
      <c r="W59" s="14"/>
      <c r="X59" s="14"/>
      <c r="Y59" s="14"/>
      <c r="Z59" s="14"/>
      <c r="AA59" s="14"/>
      <c r="AB59" s="60"/>
      <c r="AC59" s="1"/>
      <c r="AD59" s="59">
        <f>NODES!F22</f>
        <v>117</v>
      </c>
      <c r="AE59" s="11">
        <f t="shared" si="13"/>
        <v>13.2</v>
      </c>
      <c r="AF59" s="39">
        <f t="shared" si="14"/>
        <v>5.6</v>
      </c>
      <c r="AG59" s="60">
        <v>0</v>
      </c>
      <c r="AI59" s="41">
        <f t="shared" si="15"/>
        <v>117</v>
      </c>
      <c r="AJ59" s="41" t="s">
        <v>328</v>
      </c>
      <c r="AK59" s="41" t="s">
        <v>329</v>
      </c>
      <c r="AL59" s="41" t="s">
        <v>330</v>
      </c>
      <c r="AM59" s="41" t="s">
        <v>331</v>
      </c>
      <c r="AN59" s="41" t="s">
        <v>332</v>
      </c>
      <c r="AO59" s="41" t="s">
        <v>333</v>
      </c>
      <c r="AP59" s="41" t="s">
        <v>334</v>
      </c>
      <c r="AQ59" s="42" t="s">
        <v>335</v>
      </c>
      <c r="AR59" s="43">
        <f t="shared" si="16"/>
        <v>1179.8727588201275</v>
      </c>
      <c r="AS59" s="1"/>
      <c r="AT59" s="44">
        <f t="shared" si="17"/>
        <v>117</v>
      </c>
      <c r="AU59" s="44" t="s">
        <v>327</v>
      </c>
      <c r="AV59" s="44">
        <v>-0.01</v>
      </c>
      <c r="AW59" s="45">
        <v>0</v>
      </c>
      <c r="AX59" s="44">
        <v>0</v>
      </c>
      <c r="AY59" s="45">
        <f t="shared" si="20"/>
        <v>1179.8727588201275</v>
      </c>
      <c r="AZ59" s="44">
        <v>0.01</v>
      </c>
      <c r="BA59" s="45">
        <f t="shared" si="21"/>
        <v>1179.8727588201275</v>
      </c>
      <c r="BB59" s="36"/>
    </row>
    <row r="60" spans="1:54" s="15" customFormat="1" ht="12.75" customHeight="1">
      <c r="A60" s="110"/>
      <c r="B60" s="14"/>
      <c r="C60" s="14"/>
      <c r="D60" s="14">
        <v>23</v>
      </c>
      <c r="E60" s="544" t="s">
        <v>40</v>
      </c>
      <c r="F60" s="545"/>
      <c r="G60" s="546">
        <f t="shared" si="18"/>
        <v>118</v>
      </c>
      <c r="H60" s="547"/>
      <c r="I60" s="564">
        <f t="shared" si="12"/>
        <v>4.75</v>
      </c>
      <c r="J60" s="565"/>
      <c r="K60" s="566"/>
      <c r="L60" s="567">
        <f t="shared" si="22"/>
        <v>0.84999999999999987</v>
      </c>
      <c r="M60" s="568"/>
      <c r="N60" s="569"/>
      <c r="O60" s="570">
        <f>IF(E60="Fill",VLOOKUP(E60,$B$14:$O$20,14,FALSE),300*1.1*(6-(I60-$I$54+'Wish In Place'!$M$64-'Wish In Place'!$M$60))/1.2)</f>
        <v>6215.0000000000009</v>
      </c>
      <c r="P60" s="571"/>
      <c r="Q60" s="572"/>
      <c r="R60" s="573">
        <f t="shared" si="19"/>
        <v>5282.75</v>
      </c>
      <c r="S60" s="574"/>
      <c r="T60" s="575"/>
      <c r="U60" s="14"/>
      <c r="V60" s="14"/>
      <c r="W60" s="14"/>
      <c r="X60" s="14"/>
      <c r="Y60" s="14"/>
      <c r="Z60" s="14"/>
      <c r="AA60" s="14"/>
      <c r="AB60" s="60"/>
      <c r="AC60" s="1"/>
      <c r="AD60" s="59">
        <f>NODES!F23</f>
        <v>118</v>
      </c>
      <c r="AE60" s="11">
        <f t="shared" si="13"/>
        <v>13.2</v>
      </c>
      <c r="AF60" s="39">
        <f t="shared" si="14"/>
        <v>4.75</v>
      </c>
      <c r="AG60" s="60">
        <v>0</v>
      </c>
      <c r="AI60" s="41">
        <f t="shared" si="15"/>
        <v>118</v>
      </c>
      <c r="AJ60" s="41" t="s">
        <v>328</v>
      </c>
      <c r="AK60" s="41" t="s">
        <v>329</v>
      </c>
      <c r="AL60" s="41" t="s">
        <v>330</v>
      </c>
      <c r="AM60" s="41" t="s">
        <v>331</v>
      </c>
      <c r="AN60" s="41" t="s">
        <v>332</v>
      </c>
      <c r="AO60" s="41" t="s">
        <v>333</v>
      </c>
      <c r="AP60" s="41" t="s">
        <v>334</v>
      </c>
      <c r="AQ60" s="42" t="s">
        <v>335</v>
      </c>
      <c r="AR60" s="43">
        <f t="shared" si="16"/>
        <v>5282.75</v>
      </c>
      <c r="AS60" s="1"/>
      <c r="AT60" s="44">
        <f t="shared" si="17"/>
        <v>118</v>
      </c>
      <c r="AU60" s="44" t="s">
        <v>327</v>
      </c>
      <c r="AV60" s="44">
        <v>-0.01</v>
      </c>
      <c r="AW60" s="45">
        <v>0</v>
      </c>
      <c r="AX60" s="44">
        <v>0</v>
      </c>
      <c r="AY60" s="45">
        <f t="shared" si="20"/>
        <v>5282.75</v>
      </c>
      <c r="AZ60" s="44">
        <v>0.01</v>
      </c>
      <c r="BA60" s="45">
        <f t="shared" si="21"/>
        <v>5282.75</v>
      </c>
      <c r="BB60" s="36"/>
    </row>
    <row r="61" spans="1:54" s="15" customFormat="1" ht="12.75" customHeight="1">
      <c r="A61" s="110"/>
      <c r="B61" s="14"/>
      <c r="C61" s="14"/>
      <c r="D61" s="14">
        <v>24</v>
      </c>
      <c r="E61" s="544" t="s">
        <v>40</v>
      </c>
      <c r="F61" s="545"/>
      <c r="G61" s="546">
        <f t="shared" si="18"/>
        <v>119</v>
      </c>
      <c r="H61" s="547"/>
      <c r="I61" s="564">
        <f t="shared" si="12"/>
        <v>3.9</v>
      </c>
      <c r="J61" s="565"/>
      <c r="K61" s="566"/>
      <c r="L61" s="567">
        <f t="shared" si="22"/>
        <v>0.85000000000000009</v>
      </c>
      <c r="M61" s="568"/>
      <c r="N61" s="569"/>
      <c r="O61" s="570">
        <f>IF(E61="Fill",VLOOKUP(E61,$B$14:$O$20,14,FALSE),300*1.1*(6-(I61-$I$54+'Wish In Place'!$M$64-'Wish In Place'!$M$60))/1.2)</f>
        <v>6448.75</v>
      </c>
      <c r="P61" s="571"/>
      <c r="Q61" s="572"/>
      <c r="R61" s="573">
        <f t="shared" si="19"/>
        <v>5481.4375000000009</v>
      </c>
      <c r="S61" s="574"/>
      <c r="T61" s="575"/>
      <c r="U61" s="14"/>
      <c r="V61" s="14"/>
      <c r="W61" s="14"/>
      <c r="X61" s="14"/>
      <c r="Y61" s="14"/>
      <c r="Z61" s="14"/>
      <c r="AA61" s="14"/>
      <c r="AB61" s="60"/>
      <c r="AC61" s="1"/>
      <c r="AD61" s="59">
        <f>NODES!F24</f>
        <v>119</v>
      </c>
      <c r="AE61" s="11">
        <f t="shared" si="13"/>
        <v>13.2</v>
      </c>
      <c r="AF61" s="39">
        <f t="shared" si="14"/>
        <v>3.9</v>
      </c>
      <c r="AG61" s="60">
        <v>0</v>
      </c>
      <c r="AI61" s="41">
        <f t="shared" si="15"/>
        <v>119</v>
      </c>
      <c r="AJ61" s="41" t="s">
        <v>328</v>
      </c>
      <c r="AK61" s="41" t="s">
        <v>329</v>
      </c>
      <c r="AL61" s="41" t="s">
        <v>330</v>
      </c>
      <c r="AM61" s="41" t="s">
        <v>331</v>
      </c>
      <c r="AN61" s="41" t="s">
        <v>332</v>
      </c>
      <c r="AO61" s="41" t="s">
        <v>333</v>
      </c>
      <c r="AP61" s="41" t="s">
        <v>334</v>
      </c>
      <c r="AQ61" s="42" t="s">
        <v>335</v>
      </c>
      <c r="AR61" s="43">
        <f t="shared" si="16"/>
        <v>5481.4375000000009</v>
      </c>
      <c r="AS61" s="1"/>
      <c r="AT61" s="44">
        <f t="shared" si="17"/>
        <v>119</v>
      </c>
      <c r="AU61" s="44" t="s">
        <v>327</v>
      </c>
      <c r="AV61" s="44">
        <v>-0.01</v>
      </c>
      <c r="AW61" s="45">
        <v>0</v>
      </c>
      <c r="AX61" s="44">
        <v>0</v>
      </c>
      <c r="AY61" s="45">
        <f t="shared" si="20"/>
        <v>5481.4375000000009</v>
      </c>
      <c r="AZ61" s="44">
        <v>0.01</v>
      </c>
      <c r="BA61" s="45">
        <f t="shared" si="21"/>
        <v>5481.4375000000009</v>
      </c>
      <c r="BB61" s="1"/>
    </row>
    <row r="62" spans="1:54" ht="12.75" customHeight="1">
      <c r="A62" s="110"/>
      <c r="B62" s="14"/>
      <c r="C62" s="14"/>
      <c r="D62" s="14">
        <v>25</v>
      </c>
      <c r="E62" s="544" t="s">
        <v>40</v>
      </c>
      <c r="F62" s="545"/>
      <c r="G62" s="546">
        <f t="shared" si="18"/>
        <v>120</v>
      </c>
      <c r="H62" s="547"/>
      <c r="I62" s="564">
        <f t="shared" si="12"/>
        <v>3.05</v>
      </c>
      <c r="J62" s="565"/>
      <c r="K62" s="566"/>
      <c r="L62" s="567">
        <f t="shared" si="22"/>
        <v>0.84999999999999987</v>
      </c>
      <c r="M62" s="568"/>
      <c r="N62" s="569"/>
      <c r="O62" s="570">
        <f>IF(E62="Fill",VLOOKUP(E62,$B$14:$O$20,14,FALSE),300*1.1*(6-(I62-$I$54+'Wish In Place'!$M$64-'Wish In Place'!$M$60))/1.2)</f>
        <v>6682.5</v>
      </c>
      <c r="P62" s="571"/>
      <c r="Q62" s="572"/>
      <c r="R62" s="573">
        <f t="shared" si="19"/>
        <v>5680.1249999999991</v>
      </c>
      <c r="S62" s="574"/>
      <c r="T62" s="575"/>
      <c r="U62" s="14"/>
      <c r="V62" s="14"/>
      <c r="W62" s="14"/>
      <c r="X62" s="14"/>
      <c r="Y62" s="14"/>
      <c r="Z62" s="14"/>
      <c r="AA62" s="14"/>
      <c r="AB62" s="60"/>
      <c r="AD62" s="59">
        <f>NODES!F25</f>
        <v>120</v>
      </c>
      <c r="AE62" s="11">
        <f t="shared" si="13"/>
        <v>13.2</v>
      </c>
      <c r="AF62" s="39">
        <f t="shared" si="14"/>
        <v>3.05</v>
      </c>
      <c r="AG62" s="60">
        <v>0</v>
      </c>
      <c r="AH62" s="15"/>
      <c r="AI62" s="41">
        <f t="shared" si="15"/>
        <v>120</v>
      </c>
      <c r="AJ62" s="41" t="s">
        <v>328</v>
      </c>
      <c r="AK62" s="41" t="s">
        <v>329</v>
      </c>
      <c r="AL62" s="41" t="s">
        <v>330</v>
      </c>
      <c r="AM62" s="41" t="s">
        <v>331</v>
      </c>
      <c r="AN62" s="41" t="s">
        <v>332</v>
      </c>
      <c r="AO62" s="41" t="s">
        <v>333</v>
      </c>
      <c r="AP62" s="41" t="s">
        <v>334</v>
      </c>
      <c r="AQ62" s="42" t="s">
        <v>335</v>
      </c>
      <c r="AR62" s="43">
        <f t="shared" si="16"/>
        <v>5680.1249999999991</v>
      </c>
      <c r="AT62" s="44">
        <f t="shared" si="17"/>
        <v>120</v>
      </c>
      <c r="AU62" s="44" t="s">
        <v>327</v>
      </c>
      <c r="AV62" s="44">
        <v>-0.01</v>
      </c>
      <c r="AW62" s="45">
        <v>0</v>
      </c>
      <c r="AX62" s="44">
        <v>0</v>
      </c>
      <c r="AY62" s="45">
        <f t="shared" si="20"/>
        <v>5680.1249999999991</v>
      </c>
      <c r="AZ62" s="44">
        <v>0.01</v>
      </c>
      <c r="BA62" s="45">
        <f t="shared" si="21"/>
        <v>5680.1249999999991</v>
      </c>
    </row>
    <row r="63" spans="1:54" ht="12.75" customHeight="1">
      <c r="A63" s="110"/>
      <c r="B63" s="14"/>
      <c r="C63" s="14"/>
      <c r="D63" s="14">
        <v>26</v>
      </c>
      <c r="E63" s="544" t="s">
        <v>40</v>
      </c>
      <c r="F63" s="545"/>
      <c r="G63" s="546">
        <f t="shared" si="18"/>
        <v>121</v>
      </c>
      <c r="H63" s="547"/>
      <c r="I63" s="564">
        <f t="shared" si="12"/>
        <v>2.2000000000000002</v>
      </c>
      <c r="J63" s="565"/>
      <c r="K63" s="566"/>
      <c r="L63" s="567">
        <f t="shared" si="22"/>
        <v>0.84999999999999987</v>
      </c>
      <c r="M63" s="568"/>
      <c r="N63" s="569"/>
      <c r="O63" s="570">
        <f>IF(E63="Fill",VLOOKUP(E63,$B$14:$O$20,14,FALSE),300*1.1*(6-(I63-$I$54+'Wish In Place'!$M$64-'Wish In Place'!$M$60))/1.2)</f>
        <v>6916.25</v>
      </c>
      <c r="P63" s="571"/>
      <c r="Q63" s="572"/>
      <c r="R63" s="573">
        <f t="shared" si="19"/>
        <v>5878.8124999999991</v>
      </c>
      <c r="S63" s="574"/>
      <c r="T63" s="575"/>
      <c r="U63" s="14"/>
      <c r="V63" s="14"/>
      <c r="W63" s="14"/>
      <c r="X63" s="14"/>
      <c r="Y63" s="14"/>
      <c r="Z63" s="14"/>
      <c r="AA63" s="14"/>
      <c r="AB63" s="60"/>
      <c r="AC63" s="7"/>
      <c r="AD63" s="59">
        <f>NODES!F26</f>
        <v>121</v>
      </c>
      <c r="AE63" s="11">
        <f t="shared" si="13"/>
        <v>13.2</v>
      </c>
      <c r="AF63" s="39">
        <f t="shared" si="14"/>
        <v>2.2000000000000002</v>
      </c>
      <c r="AG63" s="60">
        <v>0</v>
      </c>
      <c r="AH63" s="15"/>
      <c r="AI63" s="41">
        <f t="shared" si="15"/>
        <v>121</v>
      </c>
      <c r="AJ63" s="41" t="s">
        <v>328</v>
      </c>
      <c r="AK63" s="41" t="s">
        <v>329</v>
      </c>
      <c r="AL63" s="41" t="s">
        <v>330</v>
      </c>
      <c r="AM63" s="41" t="s">
        <v>331</v>
      </c>
      <c r="AN63" s="41" t="s">
        <v>332</v>
      </c>
      <c r="AO63" s="41" t="s">
        <v>333</v>
      </c>
      <c r="AP63" s="41" t="s">
        <v>334</v>
      </c>
      <c r="AQ63" s="42" t="s">
        <v>335</v>
      </c>
      <c r="AR63" s="43">
        <f t="shared" si="16"/>
        <v>5878.8124999999991</v>
      </c>
      <c r="AT63" s="44">
        <f t="shared" si="17"/>
        <v>121</v>
      </c>
      <c r="AU63" s="44" t="s">
        <v>327</v>
      </c>
      <c r="AV63" s="44">
        <v>-0.01</v>
      </c>
      <c r="AW63" s="45">
        <v>0</v>
      </c>
      <c r="AX63" s="44">
        <v>0</v>
      </c>
      <c r="AY63" s="45">
        <f t="shared" si="20"/>
        <v>5878.8124999999991</v>
      </c>
      <c r="AZ63" s="44">
        <v>0.01</v>
      </c>
      <c r="BA63" s="45">
        <f t="shared" si="21"/>
        <v>5878.8124999999991</v>
      </c>
    </row>
    <row r="64" spans="1:54" ht="12.75" customHeight="1">
      <c r="A64" s="110"/>
      <c r="B64" s="14"/>
      <c r="C64" s="14"/>
      <c r="D64" s="14">
        <v>27</v>
      </c>
      <c r="E64" s="544" t="s">
        <v>40</v>
      </c>
      <c r="F64" s="545"/>
      <c r="G64" s="546">
        <f t="shared" si="18"/>
        <v>122</v>
      </c>
      <c r="H64" s="547"/>
      <c r="I64" s="564">
        <f t="shared" si="12"/>
        <v>1.35</v>
      </c>
      <c r="J64" s="565"/>
      <c r="K64" s="566"/>
      <c r="L64" s="567">
        <f t="shared" si="22"/>
        <v>0.85000000000000009</v>
      </c>
      <c r="M64" s="568"/>
      <c r="N64" s="569"/>
      <c r="O64" s="570">
        <f>IF(E64="Fill",VLOOKUP(E64,$B$14:$O$20,14,FALSE),300*1.1*(6-(I64-$I$54+'Wish In Place'!$M$64-'Wish In Place'!$M$60))/1.2)</f>
        <v>7150</v>
      </c>
      <c r="P64" s="571"/>
      <c r="Q64" s="572"/>
      <c r="R64" s="573">
        <f t="shared" si="19"/>
        <v>6077.5000000000009</v>
      </c>
      <c r="S64" s="574"/>
      <c r="T64" s="575"/>
      <c r="U64" s="14"/>
      <c r="V64" s="14"/>
      <c r="W64" s="14"/>
      <c r="X64" s="14"/>
      <c r="Y64" s="14"/>
      <c r="Z64" s="14"/>
      <c r="AA64" s="14"/>
      <c r="AB64" s="60"/>
      <c r="AC64" s="7"/>
      <c r="AD64" s="59">
        <f>NODES!F27</f>
        <v>122</v>
      </c>
      <c r="AE64" s="11">
        <f t="shared" si="13"/>
        <v>13.2</v>
      </c>
      <c r="AF64" s="39">
        <f t="shared" si="14"/>
        <v>1.35</v>
      </c>
      <c r="AG64" s="60">
        <v>0</v>
      </c>
      <c r="AH64" s="15"/>
      <c r="AI64" s="41">
        <f t="shared" si="15"/>
        <v>122</v>
      </c>
      <c r="AJ64" s="41" t="s">
        <v>328</v>
      </c>
      <c r="AK64" s="41" t="s">
        <v>329</v>
      </c>
      <c r="AL64" s="41" t="s">
        <v>330</v>
      </c>
      <c r="AM64" s="41" t="s">
        <v>331</v>
      </c>
      <c r="AN64" s="41" t="s">
        <v>332</v>
      </c>
      <c r="AO64" s="41" t="s">
        <v>333</v>
      </c>
      <c r="AP64" s="41" t="s">
        <v>334</v>
      </c>
      <c r="AQ64" s="42" t="s">
        <v>335</v>
      </c>
      <c r="AR64" s="43">
        <f t="shared" si="16"/>
        <v>6077.5000000000009</v>
      </c>
      <c r="AT64" s="44">
        <f t="shared" si="17"/>
        <v>122</v>
      </c>
      <c r="AU64" s="44" t="s">
        <v>327</v>
      </c>
      <c r="AV64" s="44">
        <v>-0.01</v>
      </c>
      <c r="AW64" s="45">
        <v>0</v>
      </c>
      <c r="AX64" s="44">
        <v>0</v>
      </c>
      <c r="AY64" s="45">
        <f t="shared" si="20"/>
        <v>6077.5000000000009</v>
      </c>
      <c r="AZ64" s="44">
        <v>0.01</v>
      </c>
      <c r="BA64" s="45">
        <f t="shared" si="21"/>
        <v>6077.5000000000009</v>
      </c>
    </row>
    <row r="65" spans="1:54" ht="12.75" customHeight="1">
      <c r="A65" s="110"/>
      <c r="B65" s="14"/>
      <c r="C65" s="14"/>
      <c r="D65" s="14">
        <v>18</v>
      </c>
      <c r="E65" s="544" t="s">
        <v>40</v>
      </c>
      <c r="F65" s="545"/>
      <c r="G65" s="546">
        <f t="shared" si="18"/>
        <v>82</v>
      </c>
      <c r="H65" s="547"/>
      <c r="I65" s="564">
        <f t="shared" si="12"/>
        <v>0.5</v>
      </c>
      <c r="J65" s="565"/>
      <c r="K65" s="566"/>
      <c r="L65" s="567">
        <f>(I64-I66)/2</f>
        <v>0.67500000000000004</v>
      </c>
      <c r="M65" s="568"/>
      <c r="N65" s="569"/>
      <c r="O65" s="570">
        <f>IF(E65="Fill",VLOOKUP(E65,$B$14:$O$20,14,FALSE),300*1.1*(6-(I65-$I$54+'Wish In Place'!$M$64-'Wish In Place'!$M$60))/1.2)</f>
        <v>7383.75</v>
      </c>
      <c r="P65" s="571"/>
      <c r="Q65" s="572"/>
      <c r="R65" s="573">
        <f t="shared" si="19"/>
        <v>4984.03125</v>
      </c>
      <c r="S65" s="574"/>
      <c r="T65" s="575"/>
      <c r="U65" s="14"/>
      <c r="V65" s="14"/>
      <c r="W65" s="14"/>
      <c r="X65" s="14"/>
      <c r="Y65" s="14"/>
      <c r="Z65" s="14"/>
      <c r="AA65" s="14"/>
      <c r="AB65" s="60"/>
      <c r="AD65" s="59">
        <f>NODES!F28</f>
        <v>82</v>
      </c>
      <c r="AE65" s="11">
        <f>VLOOKUP($AD65,ND_C1,2,FALSE)</f>
        <v>13.2</v>
      </c>
      <c r="AF65" s="39">
        <f t="shared" si="14"/>
        <v>0.5</v>
      </c>
      <c r="AG65" s="60">
        <v>0</v>
      </c>
      <c r="AH65" s="15"/>
      <c r="AI65" s="41">
        <f t="shared" si="15"/>
        <v>82</v>
      </c>
      <c r="AJ65" s="41" t="s">
        <v>328</v>
      </c>
      <c r="AK65" s="41" t="s">
        <v>329</v>
      </c>
      <c r="AL65" s="41" t="s">
        <v>330</v>
      </c>
      <c r="AM65" s="41" t="s">
        <v>331</v>
      </c>
      <c r="AN65" s="41" t="s">
        <v>332</v>
      </c>
      <c r="AO65" s="41" t="s">
        <v>333</v>
      </c>
      <c r="AP65" s="41" t="s">
        <v>334</v>
      </c>
      <c r="AQ65" s="42" t="s">
        <v>335</v>
      </c>
      <c r="AR65" s="43">
        <f t="shared" si="16"/>
        <v>4984.03125</v>
      </c>
      <c r="AT65" s="44">
        <f t="shared" si="17"/>
        <v>82</v>
      </c>
      <c r="AU65" s="44" t="s">
        <v>327</v>
      </c>
      <c r="AV65" s="44">
        <v>-0.01</v>
      </c>
      <c r="AW65" s="45">
        <v>0</v>
      </c>
      <c r="AX65" s="44">
        <v>0</v>
      </c>
      <c r="AY65" s="45">
        <f t="shared" si="20"/>
        <v>4984.03125</v>
      </c>
      <c r="AZ65" s="44">
        <v>0.01</v>
      </c>
      <c r="BA65" s="45">
        <f t="shared" si="21"/>
        <v>4984.03125</v>
      </c>
    </row>
    <row r="66" spans="1:54" ht="12.75" customHeight="1" thickBot="1">
      <c r="A66" s="110"/>
      <c r="B66" s="14"/>
      <c r="C66" s="14"/>
      <c r="D66" s="14">
        <v>16</v>
      </c>
      <c r="E66" s="544" t="s">
        <v>40</v>
      </c>
      <c r="F66" s="545"/>
      <c r="G66" s="546">
        <f t="shared" si="18"/>
        <v>70</v>
      </c>
      <c r="H66" s="547"/>
      <c r="I66" s="564">
        <f t="shared" si="12"/>
        <v>0</v>
      </c>
      <c r="J66" s="565"/>
      <c r="K66" s="566"/>
      <c r="L66" s="567">
        <f>(I65-I66)/2</f>
        <v>0.25</v>
      </c>
      <c r="M66" s="568"/>
      <c r="N66" s="569"/>
      <c r="O66" s="570">
        <f>IF(E66="Fill",VLOOKUP(E66,$B$14:$O$20,14,FALSE),300*1.1*(6-(I66-$I$54+'Wish In Place'!$M$64-'Wish In Place'!$M$60))/1.2)</f>
        <v>7521.25</v>
      </c>
      <c r="P66" s="571"/>
      <c r="Q66" s="572"/>
      <c r="R66" s="573">
        <f t="shared" si="19"/>
        <v>1880.3125</v>
      </c>
      <c r="S66" s="574"/>
      <c r="T66" s="575"/>
      <c r="U66" s="14"/>
      <c r="V66" s="14"/>
      <c r="W66" s="14"/>
      <c r="X66" s="14"/>
      <c r="Y66" s="14"/>
      <c r="Z66" s="14"/>
      <c r="AA66" s="14"/>
      <c r="AB66" s="60"/>
      <c r="AC66" s="15"/>
      <c r="AD66" s="59">
        <f>NODES!F29</f>
        <v>70</v>
      </c>
      <c r="AE66" s="62">
        <f t="shared" si="13"/>
        <v>13.2</v>
      </c>
      <c r="AF66" s="91">
        <f t="shared" si="14"/>
        <v>0</v>
      </c>
      <c r="AG66" s="63">
        <v>0</v>
      </c>
      <c r="AH66" s="15"/>
      <c r="AI66" s="41">
        <f t="shared" si="15"/>
        <v>70</v>
      </c>
      <c r="AJ66" s="41" t="s">
        <v>328</v>
      </c>
      <c r="AK66" s="41" t="s">
        <v>329</v>
      </c>
      <c r="AL66" s="41" t="s">
        <v>330</v>
      </c>
      <c r="AM66" s="41" t="s">
        <v>331</v>
      </c>
      <c r="AN66" s="41" t="s">
        <v>332</v>
      </c>
      <c r="AO66" s="41" t="s">
        <v>333</v>
      </c>
      <c r="AP66" s="41" t="s">
        <v>334</v>
      </c>
      <c r="AQ66" s="42" t="s">
        <v>335</v>
      </c>
      <c r="AR66" s="43">
        <f t="shared" si="16"/>
        <v>1880.3125</v>
      </c>
      <c r="AT66" s="44">
        <f t="shared" si="17"/>
        <v>70</v>
      </c>
      <c r="AU66" s="44" t="s">
        <v>327</v>
      </c>
      <c r="AV66" s="44">
        <v>-0.01</v>
      </c>
      <c r="AW66" s="45">
        <v>0</v>
      </c>
      <c r="AX66" s="44">
        <v>0</v>
      </c>
      <c r="AY66" s="45">
        <f t="shared" si="20"/>
        <v>1880.3125</v>
      </c>
      <c r="AZ66" s="44">
        <v>0.01</v>
      </c>
      <c r="BA66" s="45">
        <f t="shared" si="21"/>
        <v>1880.3125</v>
      </c>
    </row>
    <row r="67" spans="1:54" s="15" customFormat="1" ht="12.75" customHeight="1">
      <c r="A67" s="59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60"/>
      <c r="AH67" s="11"/>
      <c r="AI67" s="1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1"/>
      <c r="AY67" s="11"/>
      <c r="AZ67" s="11"/>
      <c r="BA67" s="11"/>
      <c r="BB67" s="11"/>
    </row>
    <row r="68" spans="1:54" s="15" customFormat="1" ht="12.75" customHeight="1">
      <c r="A68" s="59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60"/>
      <c r="AH68" s="11"/>
      <c r="AI68" s="1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1"/>
      <c r="AY68" s="11"/>
      <c r="AZ68" s="11"/>
      <c r="BA68" s="11"/>
      <c r="BB68" s="11"/>
    </row>
    <row r="69" spans="1:54" s="15" customFormat="1" ht="12.75" customHeight="1">
      <c r="A69" s="10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60"/>
      <c r="AH69" s="11"/>
      <c r="AI69" s="1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Y69" s="11"/>
      <c r="AZ69" s="11"/>
      <c r="BA69" s="11"/>
      <c r="BB69" s="11"/>
    </row>
    <row r="70" spans="1:54" s="15" customFormat="1" ht="12.75" customHeight="1">
      <c r="A70" s="5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60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Y70" s="11"/>
      <c r="AZ70" s="11"/>
      <c r="BA70" s="11"/>
      <c r="BB70" s="11"/>
    </row>
    <row r="71" spans="1:54" s="15" customFormat="1" ht="12.75" customHeight="1">
      <c r="A71" s="59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60"/>
      <c r="AJ71" s="1"/>
      <c r="AK71" s="1"/>
      <c r="AL71" s="1"/>
      <c r="AM71" s="1"/>
      <c r="AN71" s="1"/>
      <c r="AO71" s="1"/>
      <c r="AP71" s="40"/>
      <c r="AQ71" s="1"/>
      <c r="AR71" s="1"/>
      <c r="AS71" s="1"/>
      <c r="AT71" s="1"/>
      <c r="AU71" s="1"/>
      <c r="AV71" s="1"/>
      <c r="AW71" s="1"/>
      <c r="AY71" s="11"/>
      <c r="AZ71" s="11"/>
      <c r="BA71" s="11"/>
      <c r="BB71" s="11"/>
    </row>
    <row r="72" spans="1:54" s="15" customFormat="1" ht="12.75" customHeight="1">
      <c r="A72" s="59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60"/>
      <c r="AC72" s="1"/>
      <c r="AJ72" s="49"/>
      <c r="AK72" s="49"/>
      <c r="AL72" s="50"/>
      <c r="AM72" s="51"/>
      <c r="AN72" s="1"/>
      <c r="AO72" s="1"/>
      <c r="AP72" s="11"/>
      <c r="AQ72" s="11"/>
      <c r="AR72" s="11"/>
      <c r="AS72" s="11"/>
      <c r="AT72" s="11"/>
      <c r="AU72" s="11"/>
      <c r="AV72" s="11"/>
      <c r="AW72" s="52"/>
      <c r="AY72" s="11"/>
      <c r="AZ72" s="11"/>
      <c r="BA72" s="11"/>
      <c r="BB72" s="11"/>
    </row>
    <row r="73" spans="1:54" s="15" customFormat="1" ht="12.75" customHeight="1">
      <c r="A73" s="59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60"/>
      <c r="AC73" s="1"/>
      <c r="AJ73" s="49"/>
      <c r="AK73" s="49"/>
      <c r="AL73" s="50"/>
      <c r="AM73" s="51"/>
      <c r="AN73" s="48"/>
      <c r="AO73" s="48"/>
      <c r="AP73" s="11"/>
      <c r="AQ73" s="11"/>
      <c r="AR73" s="11"/>
      <c r="AS73" s="11"/>
      <c r="AT73" s="11"/>
      <c r="AU73" s="11"/>
      <c r="AV73" s="11"/>
      <c r="AW73" s="52"/>
      <c r="AX73" s="1"/>
      <c r="AY73" s="1"/>
      <c r="AZ73" s="1"/>
      <c r="BA73" s="1"/>
      <c r="BB73" s="11"/>
    </row>
    <row r="74" spans="1:54" s="15" customFormat="1" ht="12.75" customHeight="1">
      <c r="A74" s="59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60"/>
      <c r="AC74" s="1"/>
      <c r="AJ74" s="49"/>
      <c r="AK74" s="49"/>
      <c r="AL74" s="50"/>
      <c r="AM74" s="51"/>
      <c r="AN74" s="48"/>
      <c r="AO74" s="48"/>
      <c r="AP74" s="11"/>
      <c r="AQ74" s="11"/>
      <c r="AR74" s="11"/>
      <c r="AS74" s="11"/>
      <c r="AT74" s="11"/>
      <c r="AU74" s="11"/>
      <c r="AV74" s="11"/>
      <c r="AW74" s="52"/>
      <c r="AX74" s="1"/>
      <c r="AY74" s="1"/>
      <c r="AZ74" s="1"/>
      <c r="BA74" s="1"/>
      <c r="BB74" s="11"/>
    </row>
    <row r="75" spans="1:54" s="15" customFormat="1" ht="12.75" customHeight="1">
      <c r="A75" s="59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60"/>
      <c r="AC75" s="1"/>
      <c r="AJ75" s="49"/>
      <c r="AK75" s="49"/>
      <c r="AL75" s="50"/>
      <c r="AM75" s="51"/>
      <c r="AN75" s="48"/>
      <c r="AO75" s="48"/>
      <c r="AP75" s="11"/>
      <c r="AQ75" s="11"/>
      <c r="AR75" s="11"/>
      <c r="AS75" s="11"/>
      <c r="AT75" s="11"/>
      <c r="AU75" s="11"/>
      <c r="AV75" s="11"/>
      <c r="AW75" s="52"/>
      <c r="AX75" s="1"/>
      <c r="AY75" s="1"/>
      <c r="AZ75" s="1"/>
      <c r="BA75" s="1"/>
      <c r="BB75" s="11"/>
    </row>
    <row r="76" spans="1:54" s="15" customFormat="1" ht="12.75" customHeight="1">
      <c r="A76" s="106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60"/>
      <c r="AC76" s="1"/>
      <c r="AJ76" s="49"/>
      <c r="AK76" s="49"/>
      <c r="AL76" s="50"/>
      <c r="AM76" s="51"/>
      <c r="AN76" s="48"/>
      <c r="AO76" s="48"/>
      <c r="AP76" s="11"/>
      <c r="AQ76" s="11"/>
      <c r="AR76" s="11"/>
      <c r="AS76" s="11"/>
      <c r="AT76" s="11"/>
      <c r="AU76" s="11"/>
      <c r="AV76" s="11"/>
      <c r="AW76" s="52"/>
      <c r="AX76" s="1"/>
      <c r="AY76" s="1"/>
      <c r="AZ76" s="1"/>
      <c r="BA76" s="1"/>
      <c r="BB76" s="11"/>
    </row>
    <row r="77" spans="1:54" s="15" customFormat="1" ht="12.75" customHeight="1">
      <c r="A77" s="59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60"/>
      <c r="AC77" s="1"/>
      <c r="AJ77" s="49"/>
      <c r="AK77" s="49"/>
      <c r="AL77" s="50"/>
      <c r="AM77" s="51"/>
      <c r="AN77" s="1"/>
      <c r="AO77" s="1"/>
      <c r="AP77" s="11"/>
      <c r="AQ77" s="11"/>
      <c r="AR77" s="11"/>
      <c r="AS77" s="11"/>
      <c r="AT77" s="11"/>
      <c r="AU77" s="11"/>
      <c r="AV77" s="11"/>
      <c r="AW77" s="52"/>
      <c r="AX77" s="1"/>
      <c r="AY77" s="1"/>
      <c r="AZ77" s="1"/>
      <c r="BA77" s="1"/>
      <c r="BB77" s="11"/>
    </row>
    <row r="78" spans="1:54" s="15" customFormat="1" ht="12.75" customHeight="1">
      <c r="A78" s="59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60"/>
      <c r="AC78" s="1"/>
      <c r="AJ78" s="49"/>
      <c r="AK78" s="49"/>
      <c r="AL78" s="50"/>
      <c r="AM78" s="51"/>
      <c r="AN78" s="10"/>
      <c r="AO78" s="10"/>
      <c r="AP78" s="11"/>
      <c r="AQ78" s="11"/>
      <c r="AR78" s="11"/>
      <c r="AS78" s="11"/>
      <c r="AT78" s="11"/>
      <c r="AU78" s="11"/>
      <c r="AV78" s="11"/>
      <c r="AW78" s="52"/>
      <c r="AX78" s="1"/>
      <c r="AY78" s="1"/>
      <c r="AZ78" s="1"/>
      <c r="BA78" s="1"/>
      <c r="BB78" s="11"/>
    </row>
    <row r="79" spans="1:54" s="15" customFormat="1" ht="12.75" customHeight="1">
      <c r="A79" s="59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60"/>
      <c r="AC79" s="1"/>
      <c r="AD79" s="1"/>
      <c r="AE79" s="1"/>
      <c r="AF79" s="1"/>
      <c r="AG79" s="1"/>
      <c r="AH79" s="1"/>
      <c r="AI79" s="1"/>
      <c r="AJ79" s="49"/>
      <c r="AK79" s="49"/>
      <c r="AL79" s="50"/>
      <c r="AM79" s="51"/>
      <c r="AN79" s="10"/>
      <c r="AO79" s="10"/>
      <c r="AP79" s="11"/>
      <c r="AQ79" s="11"/>
      <c r="AR79" s="11"/>
      <c r="AS79" s="11"/>
      <c r="AT79" s="11"/>
      <c r="AU79" s="11"/>
      <c r="AV79" s="11"/>
      <c r="AW79" s="52"/>
      <c r="AX79" s="1"/>
      <c r="AY79" s="1"/>
      <c r="AZ79" s="1"/>
      <c r="BA79" s="1"/>
      <c r="BB79" s="11"/>
    </row>
    <row r="80" spans="1:54" s="15" customFormat="1" ht="12.75" customHeight="1">
      <c r="A80" s="59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60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1"/>
    </row>
    <row r="81" spans="1:54" ht="12.75" customHeight="1">
      <c r="A81" s="59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60"/>
      <c r="BB81" s="11"/>
    </row>
    <row r="82" spans="1:54" ht="12.75" customHeight="1">
      <c r="A82" s="59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60"/>
      <c r="BB82" s="11"/>
    </row>
    <row r="83" spans="1:54" ht="12.75" customHeight="1">
      <c r="A83" s="59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60"/>
      <c r="AD83" s="40"/>
      <c r="BB83" s="11"/>
    </row>
    <row r="84" spans="1:54" ht="12.75" customHeight="1">
      <c r="A84" s="59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60"/>
      <c r="AD84" s="49"/>
      <c r="AE84" s="49"/>
      <c r="AF84" s="49"/>
      <c r="AG84" s="49"/>
      <c r="AH84" s="49"/>
      <c r="AI84" s="49"/>
    </row>
    <row r="85" spans="1:54" ht="12.75" customHeight="1">
      <c r="A85" s="59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60"/>
      <c r="AD85" s="49"/>
      <c r="AE85" s="49"/>
      <c r="AF85" s="49"/>
      <c r="AG85" s="49"/>
      <c r="AH85" s="49"/>
      <c r="AI85" s="49"/>
    </row>
    <row r="86" spans="1:54" ht="12.75" customHeight="1">
      <c r="A86" s="59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60"/>
      <c r="AD86" s="49"/>
      <c r="AE86" s="49"/>
      <c r="AF86" s="49"/>
      <c r="AG86" s="49"/>
      <c r="AH86" s="49"/>
      <c r="AI86" s="49"/>
    </row>
    <row r="87" spans="1:54" ht="12.75" customHeight="1" thickBot="1">
      <c r="A87" s="6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63"/>
      <c r="AD87" s="49"/>
      <c r="AE87" s="49"/>
      <c r="AF87" s="49"/>
      <c r="AG87" s="49"/>
      <c r="AH87" s="49"/>
      <c r="AI87" s="49"/>
    </row>
    <row r="88" spans="1:54" ht="12.75" customHeight="1">
      <c r="A88" s="1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1"/>
      <c r="AD88" s="49"/>
      <c r="AE88" s="49"/>
      <c r="AF88" s="49"/>
      <c r="AG88" s="49"/>
      <c r="AH88" s="49"/>
      <c r="AI88" s="49"/>
    </row>
    <row r="89" spans="1:54" ht="12.75" customHeight="1">
      <c r="A89" s="1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1"/>
      <c r="AC89" s="7"/>
      <c r="AD89" s="49"/>
      <c r="AE89" s="49"/>
      <c r="AF89" s="49"/>
      <c r="AG89" s="49"/>
      <c r="AH89" s="49"/>
      <c r="AI89" s="49"/>
    </row>
    <row r="90" spans="1:54" ht="12.75" customHeight="1">
      <c r="A90" s="1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1"/>
      <c r="AC90" s="7"/>
      <c r="AD90" s="49"/>
      <c r="AE90" s="49"/>
      <c r="AF90" s="49"/>
      <c r="AG90" s="49"/>
      <c r="AH90" s="49"/>
      <c r="AI90" s="49"/>
    </row>
    <row r="91" spans="1:54" ht="12.75" customHeight="1">
      <c r="A91" s="1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1"/>
      <c r="AC91" s="7"/>
      <c r="AD91" s="49"/>
      <c r="AE91" s="49"/>
      <c r="AF91" s="49"/>
      <c r="AG91" s="49"/>
      <c r="AH91" s="49"/>
      <c r="AI91" s="49"/>
      <c r="AP91" s="560"/>
      <c r="AQ91" s="560"/>
    </row>
    <row r="92" spans="1:54" ht="12.75" customHeight="1">
      <c r="A92" s="1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1"/>
    </row>
    <row r="93" spans="1:54" ht="12.75" customHeight="1">
      <c r="A93" s="1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1"/>
    </row>
    <row r="94" spans="1:54" ht="12.75" customHeight="1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1"/>
      <c r="AC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4" ht="12.75" customHeight="1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1"/>
      <c r="AC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4" ht="12.75" customHeight="1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1"/>
      <c r="AC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4" ht="12.75" customHeight="1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1"/>
      <c r="AC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4" ht="12.75" customHeight="1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1"/>
      <c r="AC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4" ht="12.75" customHeight="1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1"/>
      <c r="AC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4" ht="12.75" customHeight="1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1"/>
      <c r="AC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4" ht="12.75" customHeight="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1"/>
      <c r="AC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4" ht="12.75" customHeight="1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1"/>
      <c r="AC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4" s="15" customFormat="1" ht="12.75" customHeight="1">
      <c r="A103" s="12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1"/>
      <c r="AD103" s="1"/>
      <c r="AE103" s="66"/>
      <c r="AF103" s="1"/>
      <c r="AG103" s="1"/>
      <c r="AH103" s="1"/>
      <c r="AI103" s="1"/>
      <c r="BB103" s="1"/>
    </row>
    <row r="104" spans="1:54" s="15" customFormat="1" ht="12.75" customHeight="1">
      <c r="A104" s="12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1"/>
      <c r="AD104" s="1"/>
      <c r="AE104" s="1"/>
      <c r="AF104" s="1"/>
      <c r="AG104" s="1"/>
      <c r="AH104" s="1"/>
      <c r="AI104" s="1"/>
    </row>
    <row r="105" spans="1:54" s="15" customFormat="1" ht="12.75" customHeight="1">
      <c r="A105" s="12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1"/>
      <c r="AD105" s="1"/>
      <c r="AE105" s="1"/>
      <c r="AF105" s="1"/>
      <c r="AG105" s="1"/>
      <c r="AH105" s="1"/>
      <c r="AI105" s="1"/>
    </row>
    <row r="106" spans="1:54" s="15" customFormat="1" ht="12.75" customHeight="1">
      <c r="A106" s="12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1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561"/>
      <c r="AW106" s="561"/>
      <c r="AX106" s="561"/>
      <c r="AY106" s="26"/>
      <c r="AZ106" s="25"/>
      <c r="BA106" s="25"/>
    </row>
    <row r="107" spans="1:54" s="15" customFormat="1" ht="12.75" customHeight="1">
      <c r="A107" s="12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1"/>
      <c r="AL107" s="25"/>
      <c r="AM107" s="25"/>
      <c r="AN107" s="25"/>
      <c r="AO107" s="25"/>
      <c r="AP107" s="562"/>
      <c r="AQ107" s="562"/>
      <c r="AR107" s="30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 spans="1:54" s="15" customFormat="1" ht="12.75" customHeight="1">
      <c r="A108" s="12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1"/>
      <c r="AL108" s="25"/>
      <c r="AM108" s="25"/>
      <c r="AN108" s="25"/>
      <c r="AO108" s="25"/>
      <c r="AP108" s="562"/>
      <c r="AQ108" s="562"/>
      <c r="AR108" s="30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 spans="1:54" s="15" customFormat="1" ht="12.75" customHeight="1">
      <c r="A109" s="12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1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 spans="1:54" s="15" customFormat="1" ht="12.75" customHeight="1">
      <c r="A110" s="12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1"/>
      <c r="AL110" s="25"/>
      <c r="AM110" s="25"/>
      <c r="AN110" s="25"/>
      <c r="AO110" s="25"/>
      <c r="AP110" s="25"/>
      <c r="AQ110" s="25"/>
      <c r="AR110" s="563"/>
      <c r="AS110" s="563"/>
      <c r="AT110" s="563"/>
      <c r="AU110" s="25"/>
      <c r="AV110" s="25"/>
      <c r="AW110" s="25"/>
      <c r="AX110" s="25"/>
      <c r="AY110" s="25"/>
      <c r="AZ110" s="36"/>
      <c r="BA110" s="36"/>
    </row>
    <row r="111" spans="1:54" s="15" customFormat="1" ht="12.75" customHeight="1">
      <c r="A111" s="12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1"/>
      <c r="AL111" s="25"/>
      <c r="AM111" s="25"/>
      <c r="AN111" s="25"/>
      <c r="AO111" s="25"/>
      <c r="AP111" s="554"/>
      <c r="AQ111" s="554"/>
      <c r="AR111" s="26"/>
      <c r="AS111" s="25"/>
      <c r="AT111" s="25"/>
      <c r="AU111" s="25"/>
      <c r="AV111" s="25"/>
      <c r="AW111" s="555"/>
      <c r="AX111" s="555"/>
      <c r="AY111" s="25"/>
      <c r="AZ111" s="25"/>
      <c r="BA111" s="25"/>
    </row>
    <row r="112" spans="1:54" s="15" customFormat="1" ht="12.75" customHeight="1">
      <c r="A112" s="12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1"/>
      <c r="AL112" s="555"/>
      <c r="AM112" s="55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72"/>
    </row>
    <row r="113" spans="1:54" s="15" customFormat="1" ht="12.75" customHeight="1">
      <c r="A113" s="12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1"/>
      <c r="AL113" s="25"/>
      <c r="AM113" s="25"/>
      <c r="AN113" s="25"/>
      <c r="AO113" s="25"/>
      <c r="AP113" s="554"/>
      <c r="AQ113" s="554"/>
      <c r="AR113" s="26"/>
      <c r="AS113" s="25"/>
      <c r="AT113" s="25"/>
      <c r="AU113" s="556"/>
      <c r="AV113" s="556"/>
      <c r="AW113" s="25"/>
      <c r="AX113" s="557"/>
      <c r="AY113" s="557"/>
      <c r="AZ113" s="25"/>
      <c r="BA113" s="25"/>
    </row>
    <row r="114" spans="1:54" s="15" customFormat="1" ht="12.75" customHeight="1">
      <c r="A114" s="12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</row>
    <row r="115" spans="1:54" s="15" customFormat="1" ht="12.75" customHeight="1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</row>
    <row r="116" spans="1:54" s="15" customFormat="1" ht="12.75" customHeight="1">
      <c r="A116" s="12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1"/>
      <c r="AL116" s="11"/>
      <c r="AM116" s="68"/>
      <c r="AN116" s="69"/>
      <c r="AO116" s="11"/>
      <c r="AP116" s="11"/>
      <c r="AQ116" s="11"/>
      <c r="AR116" s="11"/>
      <c r="AS116" s="550"/>
      <c r="AT116" s="550"/>
      <c r="AU116" s="39"/>
      <c r="AV116" s="39"/>
      <c r="AW116" s="11"/>
      <c r="AX116" s="551"/>
      <c r="AY116" s="552"/>
      <c r="AZ116" s="11"/>
      <c r="BA116" s="11"/>
      <c r="BB116" s="25"/>
    </row>
    <row r="117" spans="1:54" s="15" customFormat="1" ht="12.75" customHeight="1">
      <c r="A117" s="12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25"/>
    </row>
    <row r="118" spans="1:54" s="15" customFormat="1" ht="12.75" customHeight="1">
      <c r="A118" s="12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46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25"/>
    </row>
    <row r="119" spans="1:54" s="15" customFormat="1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25"/>
    </row>
    <row r="120" spans="1:54" s="15" customFormat="1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L120" s="553"/>
      <c r="AM120" s="553"/>
      <c r="AN120" s="11"/>
      <c r="AO120" s="11"/>
      <c r="AP120" s="11"/>
      <c r="AQ120" s="11"/>
      <c r="AR120" s="11"/>
      <c r="AS120" s="11"/>
      <c r="AT120" s="553"/>
      <c r="AU120" s="553"/>
      <c r="AV120" s="11"/>
      <c r="AW120" s="11"/>
      <c r="AX120" s="11"/>
      <c r="AY120" s="47"/>
      <c r="AZ120" s="47"/>
      <c r="BA120" s="11"/>
      <c r="BB120" s="36"/>
    </row>
    <row r="121" spans="1:54" s="15" customFormat="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25"/>
    </row>
    <row r="122" spans="1:54" s="15" customFormat="1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72"/>
    </row>
    <row r="123" spans="1:54" s="15" customFormat="1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25"/>
    </row>
    <row r="124" spans="1:54" s="15" customFormat="1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</row>
    <row r="125" spans="1:54" s="15" customFormat="1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W125" s="11"/>
      <c r="AX125" s="11"/>
      <c r="AY125" s="11"/>
      <c r="AZ125" s="11"/>
      <c r="BA125" s="11"/>
      <c r="BB125" s="11"/>
    </row>
    <row r="126" spans="1:54" s="15" customFormat="1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</row>
    <row r="127" spans="1:54" s="15" customFormat="1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</row>
    <row r="128" spans="1:54" s="15" customFormat="1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1"/>
    </row>
    <row r="129" spans="1:54" s="15" customFormat="1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1"/>
    </row>
    <row r="130" spans="1:54" s="15" customFormat="1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1"/>
    </row>
    <row r="131" spans="1:54" s="15" customFormat="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1"/>
    </row>
    <row r="132" spans="1:54" s="15" customFormat="1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1"/>
    </row>
    <row r="133" spans="1:54" s="15" customFormat="1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1"/>
    </row>
    <row r="134" spans="1:54" s="15" customFormat="1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1"/>
    </row>
    <row r="135" spans="1:54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D135" s="15"/>
      <c r="AE135" s="15"/>
      <c r="AF135" s="15"/>
      <c r="AG135" s="15"/>
      <c r="AH135" s="15"/>
      <c r="AI135" s="15"/>
      <c r="BB135" s="11"/>
    </row>
    <row r="136" spans="1:54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D136" s="15"/>
      <c r="AE136" s="15"/>
      <c r="AF136" s="15"/>
      <c r="AG136" s="15"/>
      <c r="AH136" s="11"/>
      <c r="AI136" s="11"/>
      <c r="BB136" s="11"/>
    </row>
    <row r="137" spans="1:54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D137" s="15"/>
      <c r="AE137" s="15"/>
      <c r="AF137" s="15"/>
      <c r="AG137" s="15"/>
      <c r="AH137" s="11"/>
      <c r="AI137" s="11"/>
      <c r="BB137" s="11"/>
    </row>
    <row r="138" spans="1:54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11"/>
      <c r="AI138" s="11"/>
    </row>
    <row r="139" spans="1:54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11"/>
      <c r="AI139" s="11"/>
    </row>
    <row r="140" spans="1:54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54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54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54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5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43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43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43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43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43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43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43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43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4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43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J154" s="53"/>
      <c r="AK154" s="75"/>
      <c r="AL154" s="75"/>
      <c r="AM154" s="75"/>
      <c r="AN154" s="75"/>
      <c r="AO154" s="75"/>
      <c r="AP154" s="75"/>
      <c r="AQ154" s="75"/>
    </row>
    <row r="155" spans="1:43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J155" s="75"/>
      <c r="AK155" s="75"/>
      <c r="AL155" s="75"/>
      <c r="AM155" s="75"/>
      <c r="AN155" s="75"/>
      <c r="AO155" s="75"/>
      <c r="AP155" s="75"/>
      <c r="AQ155" s="75"/>
    </row>
    <row r="156" spans="1:43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J156" s="75"/>
      <c r="AK156" s="75"/>
      <c r="AL156" s="75"/>
      <c r="AM156" s="75"/>
      <c r="AN156" s="75"/>
      <c r="AO156" s="75"/>
      <c r="AP156" s="75"/>
      <c r="AQ156" s="75"/>
    </row>
    <row r="157" spans="1:43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J157" s="75"/>
      <c r="AK157" s="75"/>
      <c r="AL157" s="75"/>
      <c r="AM157" s="75"/>
      <c r="AN157" s="75"/>
      <c r="AO157" s="75"/>
      <c r="AP157" s="75"/>
      <c r="AQ157" s="75"/>
    </row>
    <row r="158" spans="1:43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J158" s="6"/>
      <c r="AK158" s="66"/>
      <c r="AL158" s="5"/>
      <c r="AM158" s="5"/>
      <c r="AP158" s="560"/>
      <c r="AQ158" s="560"/>
    </row>
    <row r="159" spans="1:43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J159" s="6"/>
      <c r="AK159" s="66"/>
      <c r="AL159" s="5"/>
      <c r="AM159" s="5"/>
      <c r="AN159" s="10"/>
      <c r="AO159" s="10"/>
      <c r="AP159" s="558"/>
      <c r="AQ159" s="558"/>
    </row>
    <row r="160" spans="1:43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J160" s="6"/>
      <c r="AK160" s="66"/>
      <c r="AL160" s="5"/>
      <c r="AM160" s="5"/>
      <c r="AN160" s="10"/>
      <c r="AO160" s="10"/>
      <c r="AP160" s="559"/>
      <c r="AQ160" s="559"/>
    </row>
    <row r="161" spans="1:54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P161" s="560"/>
      <c r="AQ161" s="560"/>
    </row>
    <row r="162" spans="1:54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54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5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4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4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4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4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4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4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5"/>
      <c r="AE170" s="5"/>
      <c r="AI170" s="74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4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5"/>
      <c r="AE171" s="8"/>
      <c r="AI171" s="9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4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5"/>
      <c r="AE172" s="8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4" s="15" customFormat="1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D173" s="1"/>
      <c r="AE173" s="66"/>
      <c r="AF173" s="1"/>
      <c r="AG173" s="1"/>
      <c r="AH173" s="1"/>
      <c r="AI173" s="1"/>
      <c r="BB173" s="1"/>
    </row>
    <row r="174" spans="1:54" s="15" customFormat="1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D174" s="1"/>
      <c r="AE174" s="1"/>
      <c r="AF174" s="1"/>
      <c r="AG174" s="1"/>
      <c r="AH174" s="1"/>
      <c r="AI174" s="1"/>
    </row>
    <row r="175" spans="1:54" s="15" customFormat="1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D175" s="1"/>
      <c r="AE175" s="1"/>
      <c r="AF175" s="1"/>
      <c r="AG175" s="1"/>
      <c r="AH175" s="1"/>
      <c r="AI175" s="1"/>
    </row>
    <row r="176" spans="1:54" s="15" customFormat="1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561"/>
      <c r="AW176" s="561"/>
      <c r="AX176" s="561"/>
      <c r="AY176" s="26"/>
      <c r="AZ176" s="25"/>
      <c r="BA176" s="25"/>
    </row>
    <row r="177" spans="1:54" s="15" customFormat="1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J177" s="25"/>
      <c r="AK177" s="25"/>
      <c r="AL177" s="25"/>
      <c r="AM177" s="25"/>
      <c r="AN177" s="25"/>
      <c r="AO177" s="25"/>
      <c r="AP177" s="562"/>
      <c r="AQ177" s="562"/>
      <c r="AR177" s="30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 spans="1:54" s="15" customFormat="1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J178" s="25"/>
      <c r="AK178" s="25"/>
      <c r="AL178" s="25"/>
      <c r="AM178" s="25"/>
      <c r="AN178" s="25"/>
      <c r="AO178" s="25"/>
      <c r="AP178" s="562"/>
      <c r="AQ178" s="562"/>
      <c r="AR178" s="30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 spans="1:54" s="15" customFormat="1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 spans="1:54" s="15" customFormat="1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J180" s="25"/>
      <c r="AK180" s="25"/>
      <c r="AL180" s="25"/>
      <c r="AM180" s="25"/>
      <c r="AN180" s="25"/>
      <c r="AO180" s="25"/>
      <c r="AP180" s="25"/>
      <c r="AQ180" s="25"/>
      <c r="AR180" s="563"/>
      <c r="AS180" s="563"/>
      <c r="AT180" s="563"/>
      <c r="AU180" s="25"/>
      <c r="AV180" s="25"/>
      <c r="AW180" s="25"/>
      <c r="AX180" s="25"/>
      <c r="AY180" s="25"/>
      <c r="AZ180" s="36"/>
      <c r="BA180" s="36"/>
    </row>
    <row r="181" spans="1:54" s="15" customFormat="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J181" s="25"/>
      <c r="AK181" s="25"/>
      <c r="AL181" s="25"/>
      <c r="AM181" s="25"/>
      <c r="AN181" s="25"/>
      <c r="AO181" s="25"/>
      <c r="AP181" s="554"/>
      <c r="AQ181" s="554"/>
      <c r="AR181" s="26"/>
      <c r="AS181" s="25"/>
      <c r="AT181" s="25"/>
      <c r="AU181" s="25"/>
      <c r="AV181" s="25"/>
      <c r="AW181" s="555"/>
      <c r="AX181" s="555"/>
      <c r="AY181" s="25"/>
      <c r="AZ181" s="25"/>
      <c r="BA181" s="25"/>
    </row>
    <row r="182" spans="1:54" s="15" customFormat="1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J182" s="25"/>
      <c r="AK182" s="25"/>
      <c r="AL182" s="555"/>
      <c r="AM182" s="55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72"/>
    </row>
    <row r="183" spans="1:54" s="15" customFormat="1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J183" s="35"/>
      <c r="AK183" s="25"/>
      <c r="AL183" s="25"/>
      <c r="AM183" s="25"/>
      <c r="AN183" s="25"/>
      <c r="AO183" s="25"/>
      <c r="AP183" s="554"/>
      <c r="AQ183" s="554"/>
      <c r="AR183" s="26"/>
      <c r="AS183" s="25"/>
      <c r="AT183" s="25"/>
      <c r="AU183" s="556"/>
      <c r="AV183" s="556"/>
      <c r="AW183" s="25"/>
      <c r="AX183" s="557"/>
      <c r="AY183" s="557"/>
      <c r="AZ183" s="25"/>
      <c r="BA183" s="25"/>
    </row>
    <row r="184" spans="1:54" s="15" customFormat="1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</row>
    <row r="185" spans="1:54" s="15" customFormat="1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</row>
    <row r="186" spans="1:54" s="15" customFormat="1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J186" s="11"/>
      <c r="AK186" s="11"/>
      <c r="AL186" s="11"/>
      <c r="AM186" s="68"/>
      <c r="AN186" s="69"/>
      <c r="AO186" s="11"/>
      <c r="AP186" s="11"/>
      <c r="AQ186" s="11"/>
      <c r="AR186" s="11"/>
      <c r="AS186" s="550"/>
      <c r="AT186" s="550"/>
      <c r="AU186" s="39"/>
      <c r="AV186" s="39"/>
      <c r="AW186" s="11"/>
      <c r="AX186" s="551"/>
      <c r="AY186" s="552"/>
      <c r="AZ186" s="11"/>
      <c r="BA186" s="11"/>
      <c r="BB186" s="25"/>
    </row>
    <row r="187" spans="1:54" s="15" customFormat="1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25"/>
    </row>
    <row r="188" spans="1:54" s="15" customFormat="1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25"/>
    </row>
    <row r="189" spans="1:54" s="15" customFormat="1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H189" s="29"/>
      <c r="AI189" s="29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25"/>
    </row>
    <row r="190" spans="1:54" s="15" customFormat="1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H190" s="11"/>
      <c r="AI190" s="11"/>
      <c r="AJ190" s="11"/>
      <c r="AK190" s="11"/>
      <c r="AL190" s="553"/>
      <c r="AM190" s="553"/>
      <c r="AN190" s="11"/>
      <c r="AO190" s="11"/>
      <c r="AP190" s="11"/>
      <c r="AQ190" s="11"/>
      <c r="AR190" s="11"/>
      <c r="AS190" s="11"/>
      <c r="AT190" s="553"/>
      <c r="AU190" s="553"/>
      <c r="AV190" s="11"/>
      <c r="AW190" s="11"/>
      <c r="AX190" s="11"/>
      <c r="AY190" s="47"/>
      <c r="AZ190" s="47"/>
      <c r="BA190" s="11"/>
      <c r="BB190" s="36"/>
    </row>
    <row r="191" spans="1:54" s="15" customFormat="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H191" s="34"/>
      <c r="AI191" s="34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25"/>
    </row>
    <row r="192" spans="1:54" s="15" customFormat="1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72"/>
    </row>
    <row r="193" spans="1:54" s="15" customFormat="1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25"/>
    </row>
    <row r="194" spans="1:54" s="15" customFormat="1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</row>
    <row r="195" spans="1:54" s="15" customFormat="1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H195" s="550"/>
      <c r="AI195" s="550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W195" s="11"/>
      <c r="AX195" s="11"/>
      <c r="AY195" s="11"/>
      <c r="AZ195" s="11"/>
      <c r="BA195" s="11"/>
      <c r="BB195" s="11"/>
    </row>
    <row r="196" spans="1:54" s="15" customFormat="1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</row>
    <row r="197" spans="1:54" s="15" customFormat="1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</row>
    <row r="198" spans="1:54" s="15" customFormat="1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H198" s="11"/>
      <c r="AI198" s="1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1"/>
    </row>
    <row r="199" spans="1:54" s="15" customFormat="1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H199" s="11"/>
      <c r="AI199" s="1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1"/>
    </row>
    <row r="200" spans="1:54" s="15" customFormat="1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H200" s="11"/>
      <c r="AI200" s="1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1"/>
    </row>
    <row r="201" spans="1:54" s="15" customFormat="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H201" s="11"/>
      <c r="AI201" s="1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1"/>
    </row>
    <row r="202" spans="1:54" s="15" customFormat="1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H202" s="11"/>
      <c r="AI202" s="1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1"/>
    </row>
    <row r="203" spans="1:54" s="15" customFormat="1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H203" s="11"/>
      <c r="AI203" s="1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1"/>
    </row>
    <row r="204" spans="1:54" s="15" customFormat="1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H204" s="11"/>
      <c r="AI204" s="1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1"/>
    </row>
    <row r="205" spans="1:54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D205" s="15"/>
      <c r="AE205" s="15"/>
      <c r="AF205" s="15"/>
      <c r="AG205" s="15"/>
      <c r="AH205" s="11"/>
      <c r="AI205" s="11"/>
      <c r="BB205" s="11"/>
    </row>
    <row r="206" spans="1:54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D206" s="15"/>
      <c r="AE206" s="15"/>
      <c r="AF206" s="15"/>
      <c r="AG206" s="15"/>
      <c r="AH206" s="11"/>
      <c r="AI206" s="11"/>
      <c r="BB206" s="11"/>
    </row>
    <row r="207" spans="1:54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D207" s="15"/>
      <c r="AE207" s="15"/>
      <c r="AF207" s="15"/>
      <c r="AG207" s="15"/>
      <c r="AH207" s="11"/>
      <c r="AI207" s="11"/>
      <c r="BB207" s="11"/>
    </row>
    <row r="208" spans="1:54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H208" s="11"/>
      <c r="AI208" s="11"/>
    </row>
    <row r="209" spans="1:43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H209" s="11"/>
      <c r="AI209" s="11"/>
    </row>
    <row r="210" spans="1:43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43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43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4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43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43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43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43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43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43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43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43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43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4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43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J224" s="53"/>
      <c r="AK224" s="75"/>
      <c r="AL224" s="75"/>
      <c r="AM224" s="75"/>
      <c r="AN224" s="75"/>
      <c r="AO224" s="75"/>
      <c r="AP224" s="75"/>
      <c r="AQ224" s="75"/>
    </row>
    <row r="225" spans="29:53" s="1" customFormat="1" ht="12.75" customHeight="1">
      <c r="AJ225" s="75"/>
      <c r="AK225" s="75"/>
      <c r="AL225" s="75"/>
      <c r="AM225" s="75"/>
      <c r="AN225" s="75"/>
      <c r="AO225" s="75"/>
      <c r="AP225" s="75"/>
      <c r="AQ225" s="75"/>
    </row>
    <row r="226" spans="29:53" s="1" customFormat="1" ht="12.75" customHeight="1">
      <c r="AJ226" s="75"/>
      <c r="AK226" s="75"/>
      <c r="AL226" s="75"/>
      <c r="AM226" s="75"/>
      <c r="AN226" s="75"/>
      <c r="AO226" s="75"/>
      <c r="AP226" s="75"/>
      <c r="AQ226" s="75"/>
    </row>
    <row r="227" spans="29:53" s="1" customFormat="1" ht="12.75" customHeight="1">
      <c r="AJ227" s="75"/>
      <c r="AK227" s="75"/>
      <c r="AL227" s="75"/>
      <c r="AM227" s="75"/>
      <c r="AN227" s="75"/>
      <c r="AO227" s="75"/>
      <c r="AP227" s="75"/>
      <c r="AQ227" s="75"/>
    </row>
    <row r="228" spans="29:53" s="1" customFormat="1" ht="12.75" customHeight="1">
      <c r="AJ228" s="6"/>
      <c r="AK228" s="66"/>
      <c r="AL228" s="5"/>
      <c r="AM228" s="5"/>
      <c r="AP228" s="560"/>
      <c r="AQ228" s="560"/>
    </row>
    <row r="229" spans="29:53" s="1" customFormat="1" ht="12.75" customHeight="1">
      <c r="AC229" s="7"/>
      <c r="AJ229" s="6"/>
      <c r="AK229" s="66"/>
      <c r="AL229" s="5"/>
      <c r="AM229" s="5"/>
      <c r="AN229" s="10"/>
      <c r="AO229" s="10"/>
      <c r="AP229" s="558"/>
      <c r="AQ229" s="558"/>
    </row>
    <row r="230" spans="29:53" s="1" customFormat="1" ht="12.75" customHeight="1">
      <c r="AC230" s="7"/>
      <c r="AJ230" s="6"/>
      <c r="AK230" s="66"/>
      <c r="AL230" s="5"/>
      <c r="AM230" s="5"/>
      <c r="AN230" s="10"/>
      <c r="AO230" s="10"/>
      <c r="AP230" s="559"/>
      <c r="AQ230" s="559"/>
    </row>
    <row r="231" spans="29:53" s="1" customFormat="1" ht="12.75" customHeight="1">
      <c r="AC231" s="7"/>
      <c r="AP231" s="560"/>
      <c r="AQ231" s="560"/>
    </row>
    <row r="232" spans="29:53" s="1" customFormat="1" ht="12.75" customHeight="1"/>
    <row r="233" spans="29:53" s="1" customFormat="1" ht="12.75" customHeight="1"/>
    <row r="234" spans="29:53" s="1" customFormat="1" ht="12.75" customHeight="1">
      <c r="AC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29:53" s="1" customFormat="1" ht="12.75" customHeight="1">
      <c r="AC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29:53" s="1" customFormat="1" ht="12.75" customHeight="1">
      <c r="AC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29:53" s="1" customFormat="1" ht="12.75" customHeight="1">
      <c r="AC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29:53" s="1" customFormat="1" ht="12.75" customHeight="1">
      <c r="AC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29:53" s="1" customFormat="1" ht="12.75" customHeight="1">
      <c r="AC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29:53" s="1" customFormat="1" ht="12.75" customHeight="1">
      <c r="AC240" s="15"/>
      <c r="AE240" s="5"/>
      <c r="AI240" s="74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4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5"/>
      <c r="AE241" s="8"/>
      <c r="AI241" s="9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4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5"/>
      <c r="AE242" s="8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4" s="15" customFormat="1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D243" s="1"/>
      <c r="AE243" s="66"/>
      <c r="AF243" s="1"/>
      <c r="AG243" s="1"/>
      <c r="AH243" s="1"/>
      <c r="AI243" s="1"/>
      <c r="BB243" s="1"/>
    </row>
    <row r="244" spans="1:54" s="15" customFormat="1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D244" s="1"/>
      <c r="AE244" s="1"/>
      <c r="AF244" s="1"/>
      <c r="AG244" s="1"/>
      <c r="AH244" s="1"/>
      <c r="AI244" s="1"/>
    </row>
    <row r="245" spans="1:54" s="15" customFormat="1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D245" s="1"/>
      <c r="AE245" s="1"/>
      <c r="AF245" s="1"/>
      <c r="AG245" s="1"/>
      <c r="AH245" s="1"/>
      <c r="AI245" s="1"/>
    </row>
    <row r="246" spans="1:54" s="15" customFormat="1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561"/>
      <c r="AW246" s="561"/>
      <c r="AX246" s="561"/>
      <c r="AY246" s="26"/>
      <c r="AZ246" s="25"/>
      <c r="BA246" s="25"/>
    </row>
    <row r="247" spans="1:54" s="15" customFormat="1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J247" s="25"/>
      <c r="AK247" s="25"/>
      <c r="AL247" s="25"/>
      <c r="AM247" s="25"/>
      <c r="AN247" s="25"/>
      <c r="AO247" s="25"/>
      <c r="AP247" s="562"/>
      <c r="AQ247" s="562"/>
      <c r="AR247" s="30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 spans="1:54" s="15" customFormat="1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J248" s="25"/>
      <c r="AK248" s="25"/>
      <c r="AL248" s="25"/>
      <c r="AM248" s="25"/>
      <c r="AN248" s="25"/>
      <c r="AO248" s="25"/>
      <c r="AP248" s="562"/>
      <c r="AQ248" s="562"/>
      <c r="AR248" s="30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 spans="1:54" s="15" customFormat="1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 spans="1:54" s="15" customFormat="1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J250" s="25"/>
      <c r="AK250" s="25"/>
      <c r="AL250" s="25"/>
      <c r="AM250" s="25"/>
      <c r="AN250" s="25"/>
      <c r="AO250" s="25"/>
      <c r="AP250" s="25"/>
      <c r="AQ250" s="25"/>
      <c r="AR250" s="563"/>
      <c r="AS250" s="563"/>
      <c r="AT250" s="563"/>
      <c r="AU250" s="25"/>
      <c r="AV250" s="25"/>
      <c r="AW250" s="25"/>
      <c r="AX250" s="25"/>
      <c r="AY250" s="25"/>
      <c r="AZ250" s="36"/>
      <c r="BA250" s="36"/>
    </row>
    <row r="251" spans="1:54" s="15" customFormat="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J251" s="25"/>
      <c r="AK251" s="25"/>
      <c r="AL251" s="25"/>
      <c r="AM251" s="25"/>
      <c r="AN251" s="25"/>
      <c r="AO251" s="25"/>
      <c r="AP251" s="554"/>
      <c r="AQ251" s="554"/>
      <c r="AR251" s="26"/>
      <c r="AS251" s="25"/>
      <c r="AT251" s="25"/>
      <c r="AU251" s="25"/>
      <c r="AV251" s="25"/>
      <c r="AW251" s="555"/>
      <c r="AX251" s="555"/>
      <c r="AY251" s="25"/>
      <c r="AZ251" s="25"/>
      <c r="BA251" s="25"/>
    </row>
    <row r="252" spans="1:54" s="15" customFormat="1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J252" s="25"/>
      <c r="AK252" s="25"/>
      <c r="AL252" s="555"/>
      <c r="AM252" s="55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72"/>
    </row>
    <row r="253" spans="1:54" s="15" customFormat="1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J253" s="35"/>
      <c r="AK253" s="25"/>
      <c r="AL253" s="25"/>
      <c r="AM253" s="25"/>
      <c r="AN253" s="25"/>
      <c r="AO253" s="25"/>
      <c r="AP253" s="554"/>
      <c r="AQ253" s="554"/>
      <c r="AR253" s="26"/>
      <c r="AS253" s="25"/>
      <c r="AT253" s="25"/>
      <c r="AU253" s="556"/>
      <c r="AV253" s="556"/>
      <c r="AW253" s="25"/>
      <c r="AX253" s="557"/>
      <c r="AY253" s="557"/>
      <c r="AZ253" s="25"/>
      <c r="BA253" s="25"/>
    </row>
    <row r="254" spans="1:54" s="15" customFormat="1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</row>
    <row r="255" spans="1:54" s="15" customFormat="1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</row>
    <row r="256" spans="1:54" s="15" customFormat="1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J256" s="11"/>
      <c r="AK256" s="11"/>
      <c r="AL256" s="11"/>
      <c r="AM256" s="68"/>
      <c r="AN256" s="69"/>
      <c r="AO256" s="11"/>
      <c r="AP256" s="11"/>
      <c r="AQ256" s="11"/>
      <c r="AR256" s="11"/>
      <c r="AS256" s="550"/>
      <c r="AT256" s="550"/>
      <c r="AU256" s="39"/>
      <c r="AV256" s="39"/>
      <c r="AW256" s="11"/>
      <c r="AX256" s="551"/>
      <c r="AY256" s="552"/>
      <c r="AZ256" s="11"/>
      <c r="BA256" s="11"/>
      <c r="BB256" s="25"/>
    </row>
    <row r="257" spans="1:54" s="15" customFormat="1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25"/>
    </row>
    <row r="258" spans="1:54" s="15" customFormat="1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25"/>
    </row>
    <row r="259" spans="1:54" s="15" customFormat="1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H259" s="29"/>
      <c r="AI259" s="29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25"/>
    </row>
    <row r="260" spans="1:54" s="15" customFormat="1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H260" s="11"/>
      <c r="AI260" s="11"/>
      <c r="AJ260" s="11"/>
      <c r="AK260" s="11"/>
      <c r="AL260" s="553"/>
      <c r="AM260" s="553"/>
      <c r="AN260" s="11"/>
      <c r="AO260" s="11"/>
      <c r="AP260" s="11"/>
      <c r="AQ260" s="11"/>
      <c r="AR260" s="11"/>
      <c r="AS260" s="11"/>
      <c r="AT260" s="553"/>
      <c r="AU260" s="553"/>
      <c r="AV260" s="11"/>
      <c r="AW260" s="11"/>
      <c r="AX260" s="11"/>
      <c r="AY260" s="47"/>
      <c r="AZ260" s="47"/>
      <c r="BA260" s="11"/>
      <c r="BB260" s="36"/>
    </row>
    <row r="261" spans="1:54" s="15" customFormat="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H261" s="34"/>
      <c r="AI261" s="34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25"/>
    </row>
    <row r="262" spans="1:54" s="15" customFormat="1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72"/>
    </row>
    <row r="263" spans="1:54" s="15" customFormat="1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25"/>
    </row>
    <row r="264" spans="1:54" s="15" customFormat="1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</row>
    <row r="265" spans="1:54" s="15" customFormat="1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H265" s="550"/>
      <c r="AI265" s="550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W265" s="11"/>
      <c r="AX265" s="11"/>
      <c r="AY265" s="11"/>
      <c r="AZ265" s="11"/>
      <c r="BA265" s="11"/>
      <c r="BB265" s="11"/>
    </row>
    <row r="266" spans="1:54" s="15" customFormat="1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</row>
    <row r="267" spans="1:54" s="15" customFormat="1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</row>
    <row r="268" spans="1:54" s="15" customFormat="1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H268" s="11"/>
      <c r="AI268" s="1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1"/>
    </row>
    <row r="269" spans="1:54" s="15" customFormat="1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H269" s="11"/>
      <c r="AI269" s="1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1"/>
    </row>
    <row r="270" spans="1:54" s="15" customFormat="1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H270" s="11"/>
      <c r="AI270" s="1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1"/>
    </row>
    <row r="271" spans="1:54" s="15" customFormat="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H271" s="11"/>
      <c r="AI271" s="1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1"/>
    </row>
    <row r="272" spans="1:54" s="15" customFormat="1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H272" s="11"/>
      <c r="AI272" s="1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1"/>
    </row>
    <row r="273" spans="1:54" s="15" customFormat="1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H273" s="11"/>
      <c r="AI273" s="1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1"/>
    </row>
    <row r="274" spans="1:54" s="15" customFormat="1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H274" s="11"/>
      <c r="AI274" s="1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1"/>
    </row>
    <row r="275" spans="1:54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D275" s="15"/>
      <c r="AE275" s="15"/>
      <c r="AF275" s="15"/>
      <c r="AG275" s="15"/>
      <c r="AH275" s="11"/>
      <c r="AI275" s="11"/>
      <c r="BB275" s="11"/>
    </row>
    <row r="276" spans="1:54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D276" s="15"/>
      <c r="AE276" s="15"/>
      <c r="AF276" s="15"/>
      <c r="AG276" s="15"/>
      <c r="AH276" s="11"/>
      <c r="AI276" s="11"/>
      <c r="BB276" s="11"/>
    </row>
    <row r="277" spans="1:54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D277" s="15"/>
      <c r="AE277" s="15"/>
      <c r="AF277" s="15"/>
      <c r="AG277" s="15"/>
      <c r="AH277" s="11"/>
      <c r="AI277" s="11"/>
      <c r="BB277" s="11"/>
    </row>
    <row r="278" spans="1:54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H278" s="11"/>
      <c r="AI278" s="11"/>
    </row>
    <row r="279" spans="1:54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H279" s="11"/>
      <c r="AI279" s="11"/>
    </row>
    <row r="280" spans="1:54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54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54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54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5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54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54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54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54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9:53" s="1" customFormat="1" ht="12.75" customHeight="1"/>
    <row r="290" spans="29:53" s="1" customFormat="1" ht="12.75" customHeight="1"/>
    <row r="291" spans="29:53" s="1" customFormat="1" ht="12.75" customHeight="1"/>
    <row r="292" spans="29:53" s="1" customFormat="1" ht="12.75" customHeight="1"/>
    <row r="293" spans="29:53" s="1" customFormat="1" ht="12.75" customHeight="1"/>
    <row r="294" spans="29:53" s="1" customFormat="1" ht="12.75" customHeight="1">
      <c r="AJ294" s="53"/>
      <c r="AK294" s="75"/>
      <c r="AL294" s="75"/>
      <c r="AM294" s="75"/>
      <c r="AN294" s="75"/>
      <c r="AO294" s="75"/>
      <c r="AP294" s="75"/>
      <c r="AQ294" s="75"/>
    </row>
    <row r="295" spans="29:53" s="1" customFormat="1" ht="12.75" customHeight="1">
      <c r="AJ295" s="75"/>
      <c r="AK295" s="75"/>
      <c r="AL295" s="75"/>
      <c r="AM295" s="75"/>
      <c r="AN295" s="75"/>
      <c r="AO295" s="75"/>
      <c r="AP295" s="75"/>
      <c r="AQ295" s="75"/>
    </row>
    <row r="296" spans="29:53" s="1" customFormat="1" ht="12.75" customHeight="1">
      <c r="AJ296" s="75"/>
      <c r="AK296" s="75"/>
      <c r="AL296" s="75"/>
      <c r="AM296" s="75"/>
      <c r="AN296" s="75"/>
      <c r="AO296" s="75"/>
      <c r="AP296" s="75"/>
      <c r="AQ296" s="75"/>
    </row>
    <row r="297" spans="29:53" s="1" customFormat="1" ht="12.75" customHeight="1">
      <c r="AJ297" s="75"/>
      <c r="AK297" s="75"/>
      <c r="AL297" s="75"/>
      <c r="AM297" s="75"/>
      <c r="AN297" s="75"/>
      <c r="AO297" s="75"/>
      <c r="AP297" s="75"/>
      <c r="AQ297" s="75"/>
    </row>
    <row r="298" spans="29:53" s="1" customFormat="1" ht="12.75" customHeight="1">
      <c r="AJ298" s="6"/>
      <c r="AK298" s="66"/>
      <c r="AL298" s="5"/>
      <c r="AM298" s="5"/>
      <c r="AP298" s="560"/>
      <c r="AQ298" s="560"/>
    </row>
    <row r="299" spans="29:53" s="1" customFormat="1" ht="12.75" customHeight="1">
      <c r="AC299" s="7"/>
      <c r="AJ299" s="6"/>
      <c r="AK299" s="66"/>
      <c r="AL299" s="5"/>
      <c r="AM299" s="5"/>
      <c r="AN299" s="10"/>
      <c r="AO299" s="10"/>
      <c r="AP299" s="558"/>
      <c r="AQ299" s="558"/>
    </row>
    <row r="300" spans="29:53" s="1" customFormat="1" ht="12.75" customHeight="1">
      <c r="AC300" s="7"/>
      <c r="AJ300" s="6"/>
      <c r="AK300" s="66"/>
      <c r="AL300" s="5"/>
      <c r="AM300" s="5"/>
      <c r="AN300" s="10"/>
      <c r="AO300" s="10"/>
      <c r="AP300" s="559"/>
      <c r="AQ300" s="559"/>
    </row>
    <row r="301" spans="29:53" s="1" customFormat="1" ht="12.75" customHeight="1">
      <c r="AC301" s="7"/>
      <c r="AP301" s="560"/>
      <c r="AQ301" s="560"/>
    </row>
    <row r="302" spans="29:53" s="1" customFormat="1" ht="12.75" customHeight="1"/>
    <row r="303" spans="29:53" s="1" customFormat="1" ht="12.75" customHeight="1"/>
    <row r="304" spans="29:53" s="1" customFormat="1" ht="12.75" customHeight="1">
      <c r="AC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4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4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4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4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4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4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5"/>
      <c r="AE310" s="5"/>
      <c r="AI310" s="74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4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5"/>
      <c r="AE311" s="8"/>
      <c r="AI311" s="9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4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5"/>
      <c r="AE312" s="8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4" s="15" customFormat="1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D313" s="1"/>
      <c r="AE313" s="66"/>
      <c r="AF313" s="1"/>
      <c r="AG313" s="1"/>
      <c r="AH313" s="1"/>
      <c r="AI313" s="1"/>
      <c r="BB313" s="1"/>
    </row>
    <row r="314" spans="1:54" s="15" customFormat="1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D314" s="1"/>
      <c r="AE314" s="1"/>
      <c r="AF314" s="1"/>
      <c r="AG314" s="1"/>
      <c r="AH314" s="1"/>
      <c r="AI314" s="1"/>
    </row>
    <row r="315" spans="1:54" s="15" customFormat="1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D315" s="1"/>
      <c r="AE315" s="1"/>
      <c r="AF315" s="1"/>
      <c r="AG315" s="1"/>
      <c r="AH315" s="1"/>
      <c r="AI315" s="1"/>
    </row>
    <row r="316" spans="1:54" s="15" customFormat="1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561"/>
      <c r="AW316" s="561"/>
      <c r="AX316" s="561"/>
      <c r="AY316" s="26"/>
      <c r="AZ316" s="25"/>
      <c r="BA316" s="25"/>
    </row>
    <row r="317" spans="1:54" s="15" customFormat="1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J317" s="25"/>
      <c r="AK317" s="25"/>
      <c r="AL317" s="25"/>
      <c r="AM317" s="25"/>
      <c r="AN317" s="25"/>
      <c r="AO317" s="25"/>
      <c r="AP317" s="562"/>
      <c r="AQ317" s="562"/>
      <c r="AR317" s="30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 spans="1:54" s="15" customFormat="1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J318" s="25"/>
      <c r="AK318" s="25"/>
      <c r="AL318" s="25"/>
      <c r="AM318" s="25"/>
      <c r="AN318" s="25"/>
      <c r="AO318" s="25"/>
      <c r="AP318" s="562"/>
      <c r="AQ318" s="562"/>
      <c r="AR318" s="30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 spans="1:54" s="15" customFormat="1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 spans="1:54" s="15" customFormat="1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J320" s="25"/>
      <c r="AK320" s="25"/>
      <c r="AL320" s="25"/>
      <c r="AM320" s="25"/>
      <c r="AN320" s="25"/>
      <c r="AO320" s="25"/>
      <c r="AP320" s="25"/>
      <c r="AQ320" s="25"/>
      <c r="AR320" s="563"/>
      <c r="AS320" s="563"/>
      <c r="AT320" s="563"/>
      <c r="AU320" s="25"/>
      <c r="AV320" s="25"/>
      <c r="AW320" s="25"/>
      <c r="AX320" s="25"/>
      <c r="AY320" s="25"/>
      <c r="AZ320" s="36"/>
      <c r="BA320" s="36"/>
    </row>
    <row r="321" spans="1:54" s="15" customFormat="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J321" s="25"/>
      <c r="AK321" s="25"/>
      <c r="AL321" s="25"/>
      <c r="AM321" s="25"/>
      <c r="AN321" s="25"/>
      <c r="AO321" s="25"/>
      <c r="AP321" s="554"/>
      <c r="AQ321" s="554"/>
      <c r="AR321" s="26"/>
      <c r="AS321" s="25"/>
      <c r="AT321" s="25"/>
      <c r="AU321" s="25"/>
      <c r="AV321" s="25"/>
      <c r="AW321" s="555"/>
      <c r="AX321" s="555"/>
      <c r="AY321" s="25"/>
      <c r="AZ321" s="25"/>
      <c r="BA321" s="25"/>
    </row>
    <row r="322" spans="1:54" s="15" customFormat="1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J322" s="25"/>
      <c r="AK322" s="25"/>
      <c r="AL322" s="555"/>
      <c r="AM322" s="55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72"/>
    </row>
    <row r="323" spans="1:54" s="15" customFormat="1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J323" s="35"/>
      <c r="AK323" s="25"/>
      <c r="AL323" s="25"/>
      <c r="AM323" s="25"/>
      <c r="AN323" s="25"/>
      <c r="AO323" s="25"/>
      <c r="AP323" s="554"/>
      <c r="AQ323" s="554"/>
      <c r="AR323" s="26"/>
      <c r="AS323" s="25"/>
      <c r="AT323" s="25"/>
      <c r="AU323" s="556"/>
      <c r="AV323" s="556"/>
      <c r="AW323" s="25"/>
      <c r="AX323" s="557"/>
      <c r="AY323" s="557"/>
      <c r="AZ323" s="25"/>
      <c r="BA323" s="25"/>
    </row>
    <row r="324" spans="1:54" s="15" customFormat="1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</row>
    <row r="325" spans="1:54" s="15" customFormat="1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</row>
    <row r="326" spans="1:54" s="15" customFormat="1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J326" s="11"/>
      <c r="AK326" s="11"/>
      <c r="AL326" s="11"/>
      <c r="AM326" s="68"/>
      <c r="AN326" s="69"/>
      <c r="AO326" s="11"/>
      <c r="AP326" s="11"/>
      <c r="AQ326" s="11"/>
      <c r="AR326" s="11"/>
      <c r="AS326" s="550"/>
      <c r="AT326" s="550"/>
      <c r="AU326" s="39"/>
      <c r="AV326" s="39"/>
      <c r="AW326" s="11"/>
      <c r="AX326" s="551"/>
      <c r="AY326" s="552"/>
      <c r="AZ326" s="11"/>
      <c r="BA326" s="11"/>
      <c r="BB326" s="25"/>
    </row>
    <row r="327" spans="1:54" s="15" customFormat="1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25"/>
    </row>
    <row r="328" spans="1:54" s="15" customFormat="1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25"/>
    </row>
    <row r="329" spans="1:54" s="15" customFormat="1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H329" s="29"/>
      <c r="AI329" s="29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25"/>
    </row>
    <row r="330" spans="1:54" s="15" customFormat="1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H330" s="11"/>
      <c r="AI330" s="11"/>
      <c r="AJ330" s="11"/>
      <c r="AK330" s="11"/>
      <c r="AL330" s="553"/>
      <c r="AM330" s="553"/>
      <c r="AN330" s="11"/>
      <c r="AO330" s="11"/>
      <c r="AP330" s="11"/>
      <c r="AQ330" s="11"/>
      <c r="AR330" s="11"/>
      <c r="AS330" s="11"/>
      <c r="AT330" s="553"/>
      <c r="AU330" s="553"/>
      <c r="AV330" s="11"/>
      <c r="AW330" s="11"/>
      <c r="AX330" s="11"/>
      <c r="AY330" s="47"/>
      <c r="AZ330" s="47"/>
      <c r="BA330" s="11"/>
      <c r="BB330" s="36"/>
    </row>
    <row r="331" spans="1:54" s="15" customFormat="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H331" s="34"/>
      <c r="AI331" s="34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25"/>
    </row>
    <row r="332" spans="1:54" s="15" customFormat="1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72"/>
    </row>
    <row r="333" spans="1:54" s="15" customFormat="1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25"/>
    </row>
    <row r="334" spans="1:54" s="15" customFormat="1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</row>
    <row r="335" spans="1:54" s="15" customFormat="1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H335" s="550"/>
      <c r="AI335" s="550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W335" s="11"/>
      <c r="AX335" s="11"/>
      <c r="AY335" s="11"/>
      <c r="AZ335" s="11"/>
      <c r="BA335" s="11"/>
      <c r="BB335" s="11"/>
    </row>
    <row r="336" spans="1:54" s="15" customFormat="1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</row>
    <row r="337" spans="1:54" s="15" customFormat="1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</row>
    <row r="338" spans="1:54" s="15" customFormat="1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H338" s="11"/>
      <c r="AI338" s="1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1"/>
    </row>
    <row r="339" spans="1:54" s="15" customFormat="1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H339" s="11"/>
      <c r="AI339" s="1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1"/>
    </row>
    <row r="340" spans="1:54" s="15" customFormat="1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H340" s="11"/>
      <c r="AI340" s="1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1"/>
    </row>
    <row r="341" spans="1:54" s="15" customFormat="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H341" s="11"/>
      <c r="AI341" s="1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1"/>
    </row>
    <row r="342" spans="1:54" s="15" customFormat="1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H342" s="11"/>
      <c r="AI342" s="1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1"/>
    </row>
    <row r="343" spans="1:54" s="15" customFormat="1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H343" s="11"/>
      <c r="AI343" s="1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1"/>
    </row>
    <row r="344" spans="1:54" s="15" customFormat="1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H344" s="11"/>
      <c r="AI344" s="1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1"/>
    </row>
    <row r="345" spans="1:54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D345" s="15"/>
      <c r="AE345" s="15"/>
      <c r="AF345" s="15"/>
      <c r="AG345" s="15"/>
      <c r="AH345" s="11"/>
      <c r="AI345" s="11"/>
      <c r="BB345" s="11"/>
    </row>
    <row r="346" spans="1:54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D346" s="15"/>
      <c r="AE346" s="15"/>
      <c r="AF346" s="15"/>
      <c r="AG346" s="15"/>
      <c r="AH346" s="11"/>
      <c r="AI346" s="11"/>
      <c r="BB346" s="11"/>
    </row>
    <row r="347" spans="1:54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D347" s="15"/>
      <c r="AE347" s="15"/>
      <c r="AF347" s="15"/>
      <c r="AG347" s="15"/>
      <c r="AH347" s="11"/>
      <c r="AI347" s="11"/>
      <c r="BB347" s="11"/>
    </row>
    <row r="348" spans="1:54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H348" s="11"/>
      <c r="AI348" s="11"/>
    </row>
    <row r="349" spans="1:54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H349" s="11"/>
      <c r="AI349" s="11"/>
    </row>
    <row r="350" spans="1:54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54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54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4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43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43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43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43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43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43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43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43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43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4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43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J364" s="53"/>
      <c r="AK364" s="75"/>
      <c r="AL364" s="75"/>
      <c r="AM364" s="75"/>
      <c r="AN364" s="75"/>
      <c r="AO364" s="75"/>
      <c r="AP364" s="75"/>
      <c r="AQ364" s="75"/>
    </row>
    <row r="365" spans="1:43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J365" s="75"/>
      <c r="AK365" s="75"/>
      <c r="AL365" s="75"/>
      <c r="AM365" s="75"/>
      <c r="AN365" s="75"/>
      <c r="AO365" s="75"/>
      <c r="AP365" s="75"/>
      <c r="AQ365" s="75"/>
    </row>
    <row r="366" spans="1:43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J366" s="75"/>
      <c r="AK366" s="75"/>
      <c r="AL366" s="75"/>
      <c r="AM366" s="75"/>
      <c r="AN366" s="75"/>
      <c r="AO366" s="75"/>
      <c r="AP366" s="75"/>
      <c r="AQ366" s="75"/>
    </row>
    <row r="367" spans="1:43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J367" s="75"/>
      <c r="AK367" s="75"/>
      <c r="AL367" s="75"/>
      <c r="AM367" s="75"/>
      <c r="AN367" s="75"/>
      <c r="AO367" s="75"/>
      <c r="AP367" s="75"/>
      <c r="AQ367" s="75"/>
    </row>
    <row r="368" spans="1:43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J368" s="6"/>
      <c r="AK368" s="66"/>
      <c r="AL368" s="5"/>
      <c r="AM368" s="5"/>
      <c r="AP368" s="560"/>
      <c r="AQ368" s="560"/>
    </row>
    <row r="369" spans="1:54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J369" s="6"/>
      <c r="AK369" s="66"/>
      <c r="AL369" s="5"/>
      <c r="AM369" s="5"/>
      <c r="AN369" s="10"/>
      <c r="AO369" s="10"/>
      <c r="AP369" s="558"/>
      <c r="AQ369" s="558"/>
    </row>
    <row r="370" spans="1:54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J370" s="6"/>
      <c r="AK370" s="66"/>
      <c r="AL370" s="5"/>
      <c r="AM370" s="5"/>
      <c r="AN370" s="10"/>
      <c r="AO370" s="10"/>
      <c r="AP370" s="559"/>
      <c r="AQ370" s="559"/>
    </row>
    <row r="371" spans="1:54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P371" s="560"/>
      <c r="AQ371" s="560"/>
    </row>
    <row r="372" spans="1:54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54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5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4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4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4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4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4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4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5"/>
      <c r="AE380" s="5"/>
      <c r="AI380" s="74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4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5"/>
      <c r="AE381" s="8"/>
      <c r="AI381" s="9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4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5"/>
      <c r="AE382" s="8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4" s="15" customFormat="1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D383" s="1"/>
      <c r="AE383" s="66"/>
      <c r="AF383" s="1"/>
      <c r="AG383" s="1"/>
      <c r="AH383" s="1"/>
      <c r="AI383" s="1"/>
      <c r="BB383" s="1"/>
    </row>
    <row r="384" spans="1:54" s="15" customFormat="1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D384" s="1"/>
      <c r="AE384" s="1"/>
      <c r="AF384" s="1"/>
      <c r="AG384" s="1"/>
      <c r="AH384" s="1"/>
      <c r="AI384" s="1"/>
    </row>
    <row r="385" spans="1:54" s="15" customFormat="1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D385" s="1"/>
      <c r="AE385" s="1"/>
      <c r="AF385" s="1"/>
      <c r="AG385" s="1"/>
      <c r="AH385" s="1"/>
      <c r="AI385" s="1"/>
    </row>
    <row r="386" spans="1:54" s="15" customFormat="1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561"/>
      <c r="AW386" s="561"/>
      <c r="AX386" s="561"/>
      <c r="AY386" s="26"/>
      <c r="AZ386" s="25"/>
      <c r="BA386" s="25"/>
    </row>
    <row r="387" spans="1:54" s="15" customFormat="1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J387" s="25"/>
      <c r="AK387" s="25"/>
      <c r="AL387" s="25"/>
      <c r="AM387" s="25"/>
      <c r="AN387" s="25"/>
      <c r="AO387" s="25"/>
      <c r="AP387" s="562"/>
      <c r="AQ387" s="562"/>
      <c r="AR387" s="30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 spans="1:54" s="15" customFormat="1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J388" s="25"/>
      <c r="AK388" s="25"/>
      <c r="AL388" s="25"/>
      <c r="AM388" s="25"/>
      <c r="AN388" s="25"/>
      <c r="AO388" s="25"/>
      <c r="AP388" s="562"/>
      <c r="AQ388" s="562"/>
      <c r="AR388" s="30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 spans="1:54" s="15" customFormat="1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 spans="1:54" s="15" customFormat="1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J390" s="25"/>
      <c r="AK390" s="25"/>
      <c r="AL390" s="25"/>
      <c r="AM390" s="25"/>
      <c r="AN390" s="25"/>
      <c r="AO390" s="25"/>
      <c r="AP390" s="25"/>
      <c r="AQ390" s="25"/>
      <c r="AR390" s="563"/>
      <c r="AS390" s="563"/>
      <c r="AT390" s="563"/>
      <c r="AU390" s="25"/>
      <c r="AV390" s="25"/>
      <c r="AW390" s="25"/>
      <c r="AX390" s="25"/>
      <c r="AY390" s="25"/>
      <c r="AZ390" s="36"/>
      <c r="BA390" s="36"/>
    </row>
    <row r="391" spans="1:54" s="15" customFormat="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J391" s="25"/>
      <c r="AK391" s="25"/>
      <c r="AL391" s="25"/>
      <c r="AM391" s="25"/>
      <c r="AN391" s="25"/>
      <c r="AO391" s="25"/>
      <c r="AP391" s="554"/>
      <c r="AQ391" s="554"/>
      <c r="AR391" s="26"/>
      <c r="AS391" s="25"/>
      <c r="AT391" s="25"/>
      <c r="AU391" s="25"/>
      <c r="AV391" s="25"/>
      <c r="AW391" s="555"/>
      <c r="AX391" s="555"/>
      <c r="AY391" s="25"/>
      <c r="AZ391" s="25"/>
      <c r="BA391" s="25"/>
    </row>
    <row r="392" spans="1:54" s="15" customFormat="1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J392" s="25"/>
      <c r="AK392" s="25"/>
      <c r="AL392" s="555"/>
      <c r="AM392" s="55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72"/>
    </row>
    <row r="393" spans="1:54" s="15" customFormat="1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J393" s="35"/>
      <c r="AK393" s="25"/>
      <c r="AL393" s="25"/>
      <c r="AM393" s="25"/>
      <c r="AN393" s="25"/>
      <c r="AO393" s="25"/>
      <c r="AP393" s="554"/>
      <c r="AQ393" s="554"/>
      <c r="AR393" s="26"/>
      <c r="AS393" s="25"/>
      <c r="AT393" s="25"/>
      <c r="AU393" s="556"/>
      <c r="AV393" s="556"/>
      <c r="AW393" s="25"/>
      <c r="AX393" s="557"/>
      <c r="AY393" s="557"/>
      <c r="AZ393" s="25"/>
      <c r="BA393" s="25"/>
    </row>
    <row r="394" spans="1:54" s="15" customFormat="1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</row>
    <row r="395" spans="1:54" s="15" customFormat="1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</row>
    <row r="396" spans="1:54" s="15" customFormat="1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J396" s="11"/>
      <c r="AK396" s="11"/>
      <c r="AL396" s="11"/>
      <c r="AM396" s="68"/>
      <c r="AN396" s="69"/>
      <c r="AO396" s="11"/>
      <c r="AP396" s="11"/>
      <c r="AQ396" s="11"/>
      <c r="AR396" s="11"/>
      <c r="AS396" s="550"/>
      <c r="AT396" s="550"/>
      <c r="AU396" s="39"/>
      <c r="AV396" s="39"/>
      <c r="AW396" s="11"/>
      <c r="AX396" s="551"/>
      <c r="AY396" s="552"/>
      <c r="AZ396" s="11"/>
      <c r="BA396" s="11"/>
      <c r="BB396" s="25"/>
    </row>
    <row r="397" spans="1:54" s="15" customFormat="1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25"/>
    </row>
    <row r="398" spans="1:54" s="15" customFormat="1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25"/>
    </row>
    <row r="399" spans="1:54" s="15" customFormat="1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H399" s="29"/>
      <c r="AI399" s="29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25"/>
    </row>
    <row r="400" spans="1:54" s="15" customFormat="1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H400" s="11"/>
      <c r="AI400" s="11"/>
      <c r="AJ400" s="11"/>
      <c r="AK400" s="11"/>
      <c r="AL400" s="553"/>
      <c r="AM400" s="553"/>
      <c r="AN400" s="11"/>
      <c r="AO400" s="11"/>
      <c r="AP400" s="11"/>
      <c r="AQ400" s="11"/>
      <c r="AR400" s="11"/>
      <c r="AS400" s="11"/>
      <c r="AT400" s="553"/>
      <c r="AU400" s="553"/>
      <c r="AV400" s="11"/>
      <c r="AW400" s="11"/>
      <c r="AX400" s="11"/>
      <c r="AY400" s="47"/>
      <c r="AZ400" s="47"/>
      <c r="BA400" s="11"/>
      <c r="BB400" s="36"/>
    </row>
    <row r="401" spans="1:54" s="15" customFormat="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H401" s="34"/>
      <c r="AI401" s="34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25"/>
    </row>
    <row r="402" spans="1:54" s="15" customFormat="1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72"/>
    </row>
    <row r="403" spans="1:54" s="15" customFormat="1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25"/>
    </row>
    <row r="404" spans="1:54" s="15" customFormat="1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</row>
    <row r="405" spans="1:54" s="15" customFormat="1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H405" s="550"/>
      <c r="AI405" s="550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W405" s="11"/>
      <c r="AX405" s="11"/>
      <c r="AY405" s="11"/>
      <c r="AZ405" s="11"/>
      <c r="BA405" s="11"/>
      <c r="BB405" s="11"/>
    </row>
    <row r="406" spans="1:54" s="15" customFormat="1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</row>
    <row r="407" spans="1:54" s="15" customFormat="1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</row>
    <row r="408" spans="1:54" s="15" customFormat="1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H408" s="11"/>
      <c r="AI408" s="1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1"/>
    </row>
    <row r="409" spans="1:54" s="15" customFormat="1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H409" s="11"/>
      <c r="AI409" s="1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1"/>
    </row>
    <row r="410" spans="1:54" s="15" customFormat="1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H410" s="11"/>
      <c r="AI410" s="1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1"/>
    </row>
    <row r="411" spans="1:54" s="15" customFormat="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H411" s="11"/>
      <c r="AI411" s="1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1"/>
    </row>
    <row r="412" spans="1:54" s="15" customFormat="1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H412" s="11"/>
      <c r="AI412" s="1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1"/>
    </row>
    <row r="413" spans="1:54" s="15" customFormat="1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H413" s="11"/>
      <c r="AI413" s="1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1"/>
    </row>
    <row r="414" spans="1:54" s="15" customFormat="1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H414" s="11"/>
      <c r="AI414" s="1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1"/>
    </row>
    <row r="415" spans="1:54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D415" s="15"/>
      <c r="AE415" s="15"/>
      <c r="AF415" s="15"/>
      <c r="AG415" s="15"/>
      <c r="AH415" s="11"/>
      <c r="AI415" s="11"/>
      <c r="BB415" s="11"/>
    </row>
    <row r="416" spans="1:54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D416" s="15"/>
      <c r="AE416" s="15"/>
      <c r="AF416" s="15"/>
      <c r="AG416" s="15"/>
      <c r="AH416" s="11"/>
      <c r="AI416" s="11"/>
      <c r="BB416" s="11"/>
    </row>
    <row r="417" spans="1:54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D417" s="15"/>
      <c r="AE417" s="15"/>
      <c r="AF417" s="15"/>
      <c r="AG417" s="15"/>
      <c r="AH417" s="11"/>
      <c r="AI417" s="11"/>
      <c r="BB417" s="11"/>
    </row>
    <row r="418" spans="1:54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H418" s="11"/>
      <c r="AI418" s="11"/>
    </row>
    <row r="419" spans="1:54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H419" s="11"/>
      <c r="AI419" s="11"/>
    </row>
    <row r="420" spans="1:54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54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54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54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5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54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54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54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54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54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54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54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54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9:53" s="1" customFormat="1" ht="12.75" customHeight="1"/>
    <row r="434" spans="29:53" s="1" customFormat="1" ht="12.75" customHeight="1">
      <c r="AJ434" s="53"/>
      <c r="AK434" s="75"/>
      <c r="AL434" s="75"/>
      <c r="AM434" s="75"/>
      <c r="AN434" s="75"/>
      <c r="AO434" s="75"/>
      <c r="AP434" s="75"/>
      <c r="AQ434" s="75"/>
    </row>
    <row r="435" spans="29:53" s="1" customFormat="1" ht="12.75" customHeight="1">
      <c r="AJ435" s="75"/>
      <c r="AK435" s="75"/>
      <c r="AL435" s="75"/>
      <c r="AM435" s="75"/>
      <c r="AN435" s="75"/>
      <c r="AO435" s="75"/>
      <c r="AP435" s="75"/>
      <c r="AQ435" s="75"/>
    </row>
    <row r="436" spans="29:53" s="1" customFormat="1" ht="12.75" customHeight="1">
      <c r="AJ436" s="75"/>
      <c r="AK436" s="75"/>
      <c r="AL436" s="75"/>
      <c r="AM436" s="75"/>
      <c r="AN436" s="75"/>
      <c r="AO436" s="75"/>
      <c r="AP436" s="75"/>
      <c r="AQ436" s="75"/>
    </row>
    <row r="437" spans="29:53" s="1" customFormat="1" ht="12.75" customHeight="1">
      <c r="AJ437" s="75"/>
      <c r="AK437" s="75"/>
      <c r="AL437" s="75"/>
      <c r="AM437" s="75"/>
      <c r="AN437" s="75"/>
      <c r="AO437" s="75"/>
      <c r="AP437" s="75"/>
      <c r="AQ437" s="75"/>
    </row>
    <row r="438" spans="29:53" s="1" customFormat="1" ht="12.75" customHeight="1">
      <c r="AJ438" s="6"/>
      <c r="AK438" s="66"/>
      <c r="AL438" s="5"/>
      <c r="AM438" s="5"/>
      <c r="AP438" s="560"/>
      <c r="AQ438" s="560"/>
    </row>
    <row r="439" spans="29:53" s="1" customFormat="1" ht="12.75" customHeight="1">
      <c r="AC439" s="7"/>
      <c r="AJ439" s="6"/>
      <c r="AK439" s="66"/>
      <c r="AL439" s="5"/>
      <c r="AM439" s="5"/>
      <c r="AN439" s="10"/>
      <c r="AO439" s="10"/>
      <c r="AP439" s="558"/>
      <c r="AQ439" s="558"/>
    </row>
    <row r="440" spans="29:53" s="1" customFormat="1" ht="12.75" customHeight="1">
      <c r="AC440" s="7"/>
      <c r="AJ440" s="6"/>
      <c r="AK440" s="66"/>
      <c r="AL440" s="5"/>
      <c r="AM440" s="5"/>
      <c r="AN440" s="10"/>
      <c r="AO440" s="10"/>
      <c r="AP440" s="559"/>
      <c r="AQ440" s="559"/>
    </row>
    <row r="441" spans="29:53" s="1" customFormat="1" ht="12.75" customHeight="1">
      <c r="AC441" s="7"/>
      <c r="AP441" s="560"/>
      <c r="AQ441" s="560"/>
    </row>
    <row r="442" spans="29:53" s="1" customFormat="1" ht="12.75" customHeight="1"/>
    <row r="443" spans="29:53" s="1" customFormat="1" ht="12.75" customHeight="1"/>
    <row r="444" spans="29:53" s="1" customFormat="1" ht="12.75" customHeight="1">
      <c r="AC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29:53" s="1" customFormat="1" ht="12.75" customHeight="1">
      <c r="AC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29:53" s="1" customFormat="1" ht="12.75" customHeight="1">
      <c r="AC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29:53" s="1" customFormat="1" ht="12.75" customHeight="1">
      <c r="AC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29:53" s="1" customFormat="1" ht="12.75" customHeight="1">
      <c r="AC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4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4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5"/>
      <c r="AE450" s="5"/>
      <c r="AI450" s="74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4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5"/>
      <c r="AE451" s="8"/>
      <c r="AI451" s="9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4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5"/>
      <c r="AE452" s="8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4" s="15" customFormat="1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D453" s="1"/>
      <c r="AE453" s="66"/>
      <c r="AF453" s="1"/>
      <c r="AG453" s="1"/>
      <c r="AH453" s="1"/>
      <c r="AI453" s="1"/>
      <c r="BB453" s="1"/>
    </row>
    <row r="454" spans="1:54" s="15" customFormat="1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D454" s="1"/>
      <c r="AE454" s="1"/>
      <c r="AF454" s="1"/>
      <c r="AG454" s="1"/>
      <c r="AH454" s="1"/>
      <c r="AI454" s="1"/>
    </row>
    <row r="455" spans="1:54" s="15" customFormat="1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D455" s="1"/>
      <c r="AE455" s="1"/>
      <c r="AF455" s="1"/>
      <c r="AG455" s="1"/>
      <c r="AH455" s="1"/>
      <c r="AI455" s="1"/>
    </row>
    <row r="456" spans="1:54" s="15" customFormat="1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561"/>
      <c r="AW456" s="561"/>
      <c r="AX456" s="561"/>
      <c r="AY456" s="26"/>
      <c r="AZ456" s="25"/>
      <c r="BA456" s="25"/>
    </row>
    <row r="457" spans="1:54" s="15" customFormat="1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J457" s="25"/>
      <c r="AK457" s="25"/>
      <c r="AL457" s="25"/>
      <c r="AM457" s="25"/>
      <c r="AN457" s="25"/>
      <c r="AO457" s="25"/>
      <c r="AP457" s="562"/>
      <c r="AQ457" s="562"/>
      <c r="AR457" s="30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 spans="1:54" s="15" customFormat="1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J458" s="25"/>
      <c r="AK458" s="25"/>
      <c r="AL458" s="25"/>
      <c r="AM458" s="25"/>
      <c r="AN458" s="25"/>
      <c r="AO458" s="25"/>
      <c r="AP458" s="562"/>
      <c r="AQ458" s="562"/>
      <c r="AR458" s="30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 spans="1:54" s="15" customFormat="1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 spans="1:54" s="15" customFormat="1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J460" s="25"/>
      <c r="AK460" s="25"/>
      <c r="AL460" s="25"/>
      <c r="AM460" s="25"/>
      <c r="AN460" s="25"/>
      <c r="AO460" s="25"/>
      <c r="AP460" s="25"/>
      <c r="AQ460" s="25"/>
      <c r="AR460" s="563"/>
      <c r="AS460" s="563"/>
      <c r="AT460" s="563"/>
      <c r="AU460" s="25"/>
      <c r="AV460" s="25"/>
      <c r="AW460" s="25"/>
      <c r="AX460" s="25"/>
      <c r="AY460" s="25"/>
      <c r="AZ460" s="36"/>
      <c r="BA460" s="36"/>
    </row>
    <row r="461" spans="1:54" s="15" customFormat="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J461" s="25"/>
      <c r="AK461" s="25"/>
      <c r="AL461" s="25"/>
      <c r="AM461" s="25"/>
      <c r="AN461" s="25"/>
      <c r="AO461" s="25"/>
      <c r="AP461" s="554"/>
      <c r="AQ461" s="554"/>
      <c r="AR461" s="26"/>
      <c r="AS461" s="25"/>
      <c r="AT461" s="25"/>
      <c r="AU461" s="25"/>
      <c r="AV461" s="25"/>
      <c r="AW461" s="555"/>
      <c r="AX461" s="555"/>
      <c r="AY461" s="25"/>
      <c r="AZ461" s="25"/>
      <c r="BA461" s="25"/>
    </row>
    <row r="462" spans="1:54" s="15" customFormat="1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J462" s="25"/>
      <c r="AK462" s="25"/>
      <c r="AL462" s="555"/>
      <c r="AM462" s="55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72"/>
    </row>
    <row r="463" spans="1:54" s="15" customFormat="1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J463" s="35"/>
      <c r="AK463" s="25"/>
      <c r="AL463" s="25"/>
      <c r="AM463" s="25"/>
      <c r="AN463" s="25"/>
      <c r="AO463" s="25"/>
      <c r="AP463" s="554"/>
      <c r="AQ463" s="554"/>
      <c r="AR463" s="26"/>
      <c r="AS463" s="25"/>
      <c r="AT463" s="25"/>
      <c r="AU463" s="556"/>
      <c r="AV463" s="556"/>
      <c r="AW463" s="25"/>
      <c r="AX463" s="557"/>
      <c r="AY463" s="557"/>
      <c r="AZ463" s="25"/>
      <c r="BA463" s="25"/>
    </row>
    <row r="464" spans="1:54" s="15" customFormat="1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</row>
    <row r="465" spans="1:54" s="15" customFormat="1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</row>
    <row r="466" spans="1:54" s="15" customFormat="1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J466" s="11"/>
      <c r="AK466" s="11"/>
      <c r="AL466" s="11"/>
      <c r="AM466" s="68"/>
      <c r="AN466" s="69"/>
      <c r="AO466" s="11"/>
      <c r="AP466" s="11"/>
      <c r="AQ466" s="11"/>
      <c r="AR466" s="11"/>
      <c r="AS466" s="550"/>
      <c r="AT466" s="550"/>
      <c r="AU466" s="39"/>
      <c r="AV466" s="39"/>
      <c r="AW466" s="11"/>
      <c r="AX466" s="551"/>
      <c r="AY466" s="552"/>
      <c r="AZ466" s="11"/>
      <c r="BA466" s="11"/>
      <c r="BB466" s="25"/>
    </row>
    <row r="467" spans="1:54" s="15" customFormat="1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25"/>
    </row>
    <row r="468" spans="1:54" s="15" customFormat="1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25"/>
    </row>
    <row r="469" spans="1:54" s="15" customFormat="1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H469" s="29"/>
      <c r="AI469" s="29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25"/>
    </row>
    <row r="470" spans="1:54" s="15" customFormat="1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H470" s="11"/>
      <c r="AI470" s="11"/>
      <c r="AJ470" s="11"/>
      <c r="AK470" s="11"/>
      <c r="AL470" s="553"/>
      <c r="AM470" s="553"/>
      <c r="AN470" s="11"/>
      <c r="AO470" s="11"/>
      <c r="AP470" s="11"/>
      <c r="AQ470" s="11"/>
      <c r="AR470" s="11"/>
      <c r="AS470" s="11"/>
      <c r="AT470" s="553"/>
      <c r="AU470" s="553"/>
      <c r="AV470" s="11"/>
      <c r="AW470" s="11"/>
      <c r="AX470" s="11"/>
      <c r="AY470" s="47"/>
      <c r="AZ470" s="47"/>
      <c r="BA470" s="11"/>
      <c r="BB470" s="36"/>
    </row>
    <row r="471" spans="1:54" s="15" customFormat="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H471" s="34"/>
      <c r="AI471" s="34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25"/>
    </row>
    <row r="472" spans="1:54" s="15" customFormat="1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72"/>
    </row>
    <row r="473" spans="1:54" s="15" customFormat="1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25"/>
    </row>
    <row r="474" spans="1:54" s="15" customFormat="1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</row>
    <row r="475" spans="1:54" s="15" customFormat="1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H475" s="550"/>
      <c r="AI475" s="550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W475" s="11"/>
      <c r="AX475" s="11"/>
      <c r="AY475" s="11"/>
      <c r="AZ475" s="11"/>
      <c r="BA475" s="11"/>
      <c r="BB475" s="11"/>
    </row>
    <row r="476" spans="1:54" s="15" customFormat="1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</row>
    <row r="477" spans="1:54" s="15" customFormat="1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</row>
    <row r="478" spans="1:54" s="15" customFormat="1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H478" s="11"/>
      <c r="AI478" s="1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1"/>
    </row>
    <row r="479" spans="1:54" s="15" customFormat="1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H479" s="11"/>
      <c r="AI479" s="1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1"/>
    </row>
    <row r="480" spans="1:54" s="15" customFormat="1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H480" s="11"/>
      <c r="AI480" s="1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1"/>
    </row>
    <row r="481" spans="1:54" s="15" customFormat="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H481" s="11"/>
      <c r="AI481" s="1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1"/>
    </row>
    <row r="482" spans="1:54" s="15" customFormat="1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H482" s="11"/>
      <c r="AI482" s="1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1"/>
    </row>
    <row r="483" spans="1:54" s="15" customFormat="1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H483" s="11"/>
      <c r="AI483" s="1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1"/>
    </row>
    <row r="484" spans="1:54" s="15" customFormat="1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H484" s="11"/>
      <c r="AI484" s="1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1"/>
    </row>
    <row r="485" spans="1:54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D485" s="15"/>
      <c r="AE485" s="15"/>
      <c r="AF485" s="15"/>
      <c r="AG485" s="15"/>
      <c r="AH485" s="11"/>
      <c r="AI485" s="11"/>
      <c r="BB485" s="11"/>
    </row>
    <row r="486" spans="1:54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D486" s="15"/>
      <c r="AE486" s="15"/>
      <c r="AF486" s="15"/>
      <c r="AG486" s="15"/>
      <c r="AH486" s="11"/>
      <c r="AI486" s="11"/>
      <c r="BB486" s="11"/>
    </row>
    <row r="487" spans="1:54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D487" s="15"/>
      <c r="AE487" s="15"/>
      <c r="AF487" s="15"/>
      <c r="AG487" s="15"/>
      <c r="AH487" s="11"/>
      <c r="AI487" s="11"/>
      <c r="BB487" s="11"/>
    </row>
    <row r="488" spans="1:54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H488" s="11"/>
      <c r="AI488" s="11"/>
    </row>
    <row r="489" spans="1:54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H489" s="11"/>
      <c r="AI489" s="11"/>
    </row>
    <row r="490" spans="1:54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54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54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54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5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54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54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43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43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43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43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43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43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4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43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J504" s="53"/>
      <c r="AK504" s="75"/>
      <c r="AL504" s="75"/>
      <c r="AM504" s="75"/>
      <c r="AN504" s="75"/>
      <c r="AO504" s="75"/>
      <c r="AP504" s="75"/>
      <c r="AQ504" s="75"/>
    </row>
    <row r="505" spans="1:43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J505" s="75"/>
      <c r="AK505" s="75"/>
      <c r="AL505" s="75"/>
      <c r="AM505" s="75"/>
      <c r="AN505" s="75"/>
      <c r="AO505" s="75"/>
      <c r="AP505" s="75"/>
      <c r="AQ505" s="75"/>
    </row>
    <row r="506" spans="1:43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J506" s="75"/>
      <c r="AK506" s="75"/>
      <c r="AL506" s="75"/>
      <c r="AM506" s="75"/>
      <c r="AN506" s="75"/>
      <c r="AO506" s="75"/>
      <c r="AP506" s="75"/>
      <c r="AQ506" s="75"/>
    </row>
    <row r="507" spans="1:43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J507" s="75"/>
      <c r="AK507" s="75"/>
      <c r="AL507" s="75"/>
      <c r="AM507" s="75"/>
      <c r="AN507" s="75"/>
      <c r="AO507" s="75"/>
      <c r="AP507" s="75"/>
      <c r="AQ507" s="75"/>
    </row>
    <row r="508" spans="1:43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J508" s="6"/>
      <c r="AK508" s="66"/>
      <c r="AL508" s="5"/>
      <c r="AM508" s="5"/>
      <c r="AP508" s="560"/>
      <c r="AQ508" s="560"/>
    </row>
    <row r="509" spans="1:43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7"/>
      <c r="AJ509" s="6"/>
      <c r="AK509" s="66"/>
      <c r="AL509" s="5"/>
      <c r="AM509" s="5"/>
      <c r="AN509" s="10"/>
      <c r="AO509" s="10"/>
      <c r="AP509" s="558"/>
      <c r="AQ509" s="558"/>
    </row>
    <row r="510" spans="1:43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7"/>
      <c r="AJ510" s="6"/>
      <c r="AK510" s="66"/>
      <c r="AL510" s="5"/>
      <c r="AM510" s="5"/>
      <c r="AN510" s="10"/>
      <c r="AO510" s="10"/>
      <c r="AP510" s="559"/>
      <c r="AQ510" s="559"/>
    </row>
    <row r="511" spans="1:43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7"/>
      <c r="AP511" s="560"/>
      <c r="AQ511" s="560"/>
    </row>
    <row r="512" spans="1:43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54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5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</row>
    <row r="515" spans="1:54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</row>
    <row r="516" spans="1:54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</row>
    <row r="517" spans="1:54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</row>
    <row r="518" spans="1:54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</row>
    <row r="519" spans="1:54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</row>
    <row r="520" spans="1:54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5"/>
      <c r="AE520" s="5"/>
      <c r="AI520" s="74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</row>
    <row r="521" spans="1:54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5"/>
      <c r="AE521" s="8"/>
      <c r="AI521" s="9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</row>
    <row r="522" spans="1:54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5"/>
      <c r="AE522" s="8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</row>
    <row r="523" spans="1:54" s="15" customFormat="1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D523" s="1"/>
      <c r="AE523" s="66"/>
      <c r="AF523" s="1"/>
      <c r="AG523" s="1"/>
      <c r="AH523" s="1"/>
      <c r="AI523" s="1"/>
      <c r="BB523" s="1"/>
    </row>
    <row r="524" spans="1:54" s="15" customFormat="1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D524" s="1"/>
      <c r="AE524" s="1"/>
      <c r="AF524" s="1"/>
      <c r="AG524" s="1"/>
      <c r="AH524" s="1"/>
      <c r="AI524" s="1"/>
    </row>
    <row r="525" spans="1:54" s="15" customFormat="1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D525" s="1"/>
      <c r="AE525" s="1"/>
      <c r="AF525" s="1"/>
      <c r="AG525" s="1"/>
      <c r="AH525" s="1"/>
      <c r="AI525" s="1"/>
    </row>
    <row r="526" spans="1:54" s="15" customFormat="1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561"/>
      <c r="AW526" s="561"/>
      <c r="AX526" s="561"/>
      <c r="AY526" s="26"/>
      <c r="AZ526" s="25"/>
      <c r="BA526" s="25"/>
    </row>
    <row r="527" spans="1:54" s="15" customFormat="1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J527" s="25"/>
      <c r="AK527" s="25"/>
      <c r="AL527" s="25"/>
      <c r="AM527" s="25"/>
      <c r="AN527" s="25"/>
      <c r="AO527" s="25"/>
      <c r="AP527" s="562"/>
      <c r="AQ527" s="562"/>
      <c r="AR527" s="30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 spans="1:54" s="15" customFormat="1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J528" s="25"/>
      <c r="AK528" s="25"/>
      <c r="AL528" s="25"/>
      <c r="AM528" s="25"/>
      <c r="AN528" s="25"/>
      <c r="AO528" s="25"/>
      <c r="AP528" s="562"/>
      <c r="AQ528" s="562"/>
      <c r="AR528" s="30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 spans="1:54" s="15" customFormat="1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 spans="1:54" s="15" customFormat="1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J530" s="25"/>
      <c r="AK530" s="25"/>
      <c r="AL530" s="25"/>
      <c r="AM530" s="25"/>
      <c r="AN530" s="25"/>
      <c r="AO530" s="25"/>
      <c r="AP530" s="25"/>
      <c r="AQ530" s="25"/>
      <c r="AR530" s="563"/>
      <c r="AS530" s="563"/>
      <c r="AT530" s="563"/>
      <c r="AU530" s="25"/>
      <c r="AV530" s="25"/>
      <c r="AW530" s="25"/>
      <c r="AX530" s="25"/>
      <c r="AY530" s="25"/>
      <c r="AZ530" s="36"/>
      <c r="BA530" s="36"/>
    </row>
    <row r="531" spans="1:54" s="15" customFormat="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J531" s="25"/>
      <c r="AK531" s="25"/>
      <c r="AL531" s="25"/>
      <c r="AM531" s="25"/>
      <c r="AN531" s="25"/>
      <c r="AO531" s="25"/>
      <c r="AP531" s="554"/>
      <c r="AQ531" s="554"/>
      <c r="AR531" s="26"/>
      <c r="AS531" s="25"/>
      <c r="AT531" s="25"/>
      <c r="AU531" s="25"/>
      <c r="AV531" s="25"/>
      <c r="AW531" s="555"/>
      <c r="AX531" s="555"/>
      <c r="AY531" s="25"/>
      <c r="AZ531" s="25"/>
      <c r="BA531" s="25"/>
    </row>
    <row r="532" spans="1:54" s="15" customFormat="1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J532" s="25"/>
      <c r="AK532" s="25"/>
      <c r="AL532" s="555"/>
      <c r="AM532" s="55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72"/>
    </row>
    <row r="533" spans="1:54" s="15" customFormat="1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J533" s="35"/>
      <c r="AK533" s="25"/>
      <c r="AL533" s="25"/>
      <c r="AM533" s="25"/>
      <c r="AN533" s="25"/>
      <c r="AO533" s="25"/>
      <c r="AP533" s="554"/>
      <c r="AQ533" s="554"/>
      <c r="AR533" s="26"/>
      <c r="AS533" s="25"/>
      <c r="AT533" s="25"/>
      <c r="AU533" s="556"/>
      <c r="AV533" s="556"/>
      <c r="AW533" s="25"/>
      <c r="AX533" s="557"/>
      <c r="AY533" s="557"/>
      <c r="AZ533" s="25"/>
      <c r="BA533" s="25"/>
    </row>
    <row r="534" spans="1:54" s="15" customFormat="1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</row>
    <row r="535" spans="1:54" s="15" customFormat="1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</row>
    <row r="536" spans="1:54" s="15" customFormat="1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J536" s="11"/>
      <c r="AK536" s="11"/>
      <c r="AL536" s="11"/>
      <c r="AM536" s="68"/>
      <c r="AN536" s="69"/>
      <c r="AO536" s="11"/>
      <c r="AP536" s="11"/>
      <c r="AQ536" s="11"/>
      <c r="AR536" s="11"/>
      <c r="AS536" s="550"/>
      <c r="AT536" s="550"/>
      <c r="AU536" s="39"/>
      <c r="AV536" s="39"/>
      <c r="AW536" s="11"/>
      <c r="AX536" s="551"/>
      <c r="AY536" s="552"/>
      <c r="AZ536" s="11"/>
      <c r="BA536" s="11"/>
      <c r="BB536" s="25"/>
    </row>
    <row r="537" spans="1:54" s="15" customFormat="1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25"/>
    </row>
    <row r="538" spans="1:54" s="15" customFormat="1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25"/>
    </row>
    <row r="539" spans="1:54" s="15" customFormat="1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H539" s="29"/>
      <c r="AI539" s="29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25"/>
    </row>
    <row r="540" spans="1:54" s="15" customFormat="1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H540" s="11"/>
      <c r="AI540" s="11"/>
      <c r="AJ540" s="11"/>
      <c r="AK540" s="11"/>
      <c r="AL540" s="553"/>
      <c r="AM540" s="553"/>
      <c r="AN540" s="11"/>
      <c r="AO540" s="11"/>
      <c r="AP540" s="11"/>
      <c r="AQ540" s="11"/>
      <c r="AR540" s="11"/>
      <c r="AS540" s="11"/>
      <c r="AT540" s="553"/>
      <c r="AU540" s="553"/>
      <c r="AV540" s="11"/>
      <c r="AW540" s="11"/>
      <c r="AX540" s="11"/>
      <c r="AY540" s="47"/>
      <c r="AZ540" s="47"/>
      <c r="BA540" s="11"/>
      <c r="BB540" s="36"/>
    </row>
    <row r="541" spans="1:54" s="15" customFormat="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H541" s="34"/>
      <c r="AI541" s="34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25"/>
    </row>
    <row r="542" spans="1:54" s="15" customFormat="1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72"/>
    </row>
    <row r="543" spans="1:54" s="15" customFormat="1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25"/>
    </row>
    <row r="544" spans="1:54" s="15" customFormat="1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</row>
    <row r="545" spans="1:54" s="15" customFormat="1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H545" s="550"/>
      <c r="AI545" s="550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W545" s="11"/>
      <c r="AX545" s="11"/>
      <c r="AY545" s="11"/>
      <c r="AZ545" s="11"/>
      <c r="BA545" s="11"/>
      <c r="BB545" s="11"/>
    </row>
    <row r="546" spans="1:54" s="15" customFormat="1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</row>
    <row r="547" spans="1:54" s="15" customFormat="1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</row>
    <row r="548" spans="1:54" s="15" customFormat="1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H548" s="11"/>
      <c r="AI548" s="1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1"/>
    </row>
    <row r="549" spans="1:54" s="15" customFormat="1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H549" s="11"/>
      <c r="AI549" s="1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1"/>
    </row>
    <row r="550" spans="1:54" s="15" customFormat="1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H550" s="11"/>
      <c r="AI550" s="1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1"/>
    </row>
    <row r="551" spans="1:54" s="15" customFormat="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H551" s="11"/>
      <c r="AI551" s="1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1"/>
    </row>
    <row r="552" spans="1:54" s="15" customFormat="1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H552" s="11"/>
      <c r="AI552" s="1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1"/>
    </row>
    <row r="553" spans="1:54" s="15" customFormat="1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H553" s="11"/>
      <c r="AI553" s="1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1"/>
    </row>
    <row r="554" spans="1:54" s="15" customFormat="1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H554" s="11"/>
      <c r="AI554" s="1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1"/>
    </row>
    <row r="555" spans="1:54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D555" s="15"/>
      <c r="AE555" s="15"/>
      <c r="AF555" s="15"/>
      <c r="AG555" s="15"/>
      <c r="AH555" s="11"/>
      <c r="AI555" s="11"/>
      <c r="BB555" s="11"/>
    </row>
    <row r="556" spans="1:54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D556" s="15"/>
      <c r="AE556" s="15"/>
      <c r="AF556" s="15"/>
      <c r="AG556" s="15"/>
      <c r="AH556" s="11"/>
      <c r="AI556" s="11"/>
      <c r="BB556" s="11"/>
    </row>
    <row r="557" spans="1:54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D557" s="15"/>
      <c r="AE557" s="15"/>
      <c r="AF557" s="15"/>
      <c r="AG557" s="15"/>
      <c r="AH557" s="11"/>
      <c r="AI557" s="11"/>
      <c r="BB557" s="11"/>
    </row>
    <row r="558" spans="1:54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H558" s="11"/>
      <c r="AI558" s="11"/>
    </row>
    <row r="559" spans="1:54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H559" s="11"/>
      <c r="AI559" s="11"/>
    </row>
    <row r="560" spans="1:54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43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43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4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43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43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43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43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43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43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43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43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43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4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43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J574" s="53"/>
      <c r="AK574" s="75"/>
      <c r="AL574" s="75"/>
      <c r="AM574" s="75"/>
      <c r="AN574" s="75"/>
      <c r="AO574" s="75"/>
      <c r="AP574" s="75"/>
      <c r="AQ574" s="75"/>
    </row>
    <row r="575" spans="1:43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J575" s="75"/>
      <c r="AK575" s="75"/>
      <c r="AL575" s="75"/>
      <c r="AM575" s="75"/>
      <c r="AN575" s="75"/>
      <c r="AO575" s="75"/>
      <c r="AP575" s="75"/>
      <c r="AQ575" s="75"/>
    </row>
    <row r="576" spans="1:43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J576" s="75"/>
      <c r="AK576" s="75"/>
      <c r="AL576" s="75"/>
      <c r="AM576" s="75"/>
      <c r="AN576" s="75"/>
      <c r="AO576" s="75"/>
      <c r="AP576" s="75"/>
      <c r="AQ576" s="75"/>
    </row>
    <row r="577" spans="29:53" s="1" customFormat="1" ht="12.75" customHeight="1">
      <c r="AJ577" s="75"/>
      <c r="AK577" s="75"/>
      <c r="AL577" s="75"/>
      <c r="AM577" s="75"/>
      <c r="AN577" s="75"/>
      <c r="AO577" s="75"/>
      <c r="AP577" s="75"/>
      <c r="AQ577" s="75"/>
    </row>
    <row r="578" spans="29:53" s="1" customFormat="1" ht="12.75" customHeight="1">
      <c r="AJ578" s="6"/>
      <c r="AK578" s="66"/>
      <c r="AL578" s="5"/>
      <c r="AM578" s="5"/>
      <c r="AP578" s="560"/>
      <c r="AQ578" s="560"/>
    </row>
    <row r="579" spans="29:53" s="1" customFormat="1" ht="12.75" customHeight="1">
      <c r="AC579" s="7"/>
      <c r="AJ579" s="6"/>
      <c r="AK579" s="66"/>
      <c r="AL579" s="5"/>
      <c r="AM579" s="5"/>
      <c r="AN579" s="10"/>
      <c r="AO579" s="10"/>
      <c r="AP579" s="558"/>
      <c r="AQ579" s="558"/>
    </row>
    <row r="580" spans="29:53" s="1" customFormat="1" ht="12.75" customHeight="1">
      <c r="AC580" s="7"/>
      <c r="AJ580" s="6"/>
      <c r="AK580" s="66"/>
      <c r="AL580" s="5"/>
      <c r="AM580" s="5"/>
      <c r="AN580" s="10"/>
      <c r="AO580" s="10"/>
      <c r="AP580" s="559"/>
      <c r="AQ580" s="559"/>
    </row>
    <row r="581" spans="29:53" s="1" customFormat="1" ht="12.75" customHeight="1">
      <c r="AC581" s="7"/>
      <c r="AP581" s="560"/>
      <c r="AQ581" s="560"/>
    </row>
    <row r="582" spans="29:53" s="1" customFormat="1" ht="12.75" customHeight="1"/>
    <row r="583" spans="29:53" s="1" customFormat="1" ht="12.75" customHeight="1"/>
    <row r="584" spans="29:53" s="1" customFormat="1" ht="12.75" customHeight="1">
      <c r="AC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</row>
    <row r="585" spans="29:53" s="1" customFormat="1" ht="12.75" customHeight="1">
      <c r="AC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</row>
    <row r="586" spans="29:53" s="1" customFormat="1" ht="12.75" customHeight="1">
      <c r="AC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</row>
    <row r="587" spans="29:53" s="1" customFormat="1" ht="12.75" customHeight="1">
      <c r="AC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</row>
    <row r="588" spans="29:53" s="1" customFormat="1" ht="12.75" customHeight="1">
      <c r="AC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</row>
    <row r="589" spans="29:53" s="1" customFormat="1" ht="12.75" customHeight="1">
      <c r="AC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</row>
    <row r="590" spans="29:53" s="1" customFormat="1" ht="12.75" customHeight="1">
      <c r="AC590" s="15"/>
      <c r="AE590" s="5"/>
      <c r="AI590" s="74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</row>
    <row r="591" spans="29:53" s="1" customFormat="1" ht="12.75" customHeight="1">
      <c r="AC591" s="15"/>
      <c r="AE591" s="8"/>
      <c r="AI591" s="9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</row>
    <row r="592" spans="29:53" s="1" customFormat="1" ht="12.75" customHeight="1">
      <c r="AC592" s="15"/>
      <c r="AE592" s="8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</row>
    <row r="593" spans="1:54" s="15" customFormat="1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D593" s="1"/>
      <c r="AE593" s="66"/>
      <c r="AF593" s="1"/>
      <c r="AG593" s="1"/>
      <c r="AH593" s="1"/>
      <c r="AI593" s="1"/>
      <c r="BB593" s="1"/>
    </row>
    <row r="594" spans="1:54" s="15" customFormat="1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D594" s="1"/>
      <c r="AE594" s="1"/>
      <c r="AF594" s="1"/>
      <c r="AG594" s="1"/>
      <c r="AH594" s="1"/>
      <c r="AI594" s="1"/>
    </row>
    <row r="595" spans="1:54" s="15" customFormat="1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D595" s="1"/>
      <c r="AE595" s="1"/>
      <c r="AF595" s="1"/>
      <c r="AG595" s="1"/>
      <c r="AH595" s="1"/>
      <c r="AI595" s="1"/>
    </row>
    <row r="596" spans="1:54" s="15" customFormat="1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561"/>
      <c r="AW596" s="561"/>
      <c r="AX596" s="561"/>
      <c r="AY596" s="26"/>
      <c r="AZ596" s="25"/>
      <c r="BA596" s="25"/>
    </row>
    <row r="597" spans="1:54" s="15" customFormat="1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J597" s="25"/>
      <c r="AK597" s="25"/>
      <c r="AL597" s="25"/>
      <c r="AM597" s="25"/>
      <c r="AN597" s="25"/>
      <c r="AO597" s="25"/>
      <c r="AP597" s="562"/>
      <c r="AQ597" s="562"/>
      <c r="AR597" s="30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 spans="1:54" s="15" customFormat="1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J598" s="25"/>
      <c r="AK598" s="25"/>
      <c r="AL598" s="25"/>
      <c r="AM598" s="25"/>
      <c r="AN598" s="25"/>
      <c r="AO598" s="25"/>
      <c r="AP598" s="562"/>
      <c r="AQ598" s="562"/>
      <c r="AR598" s="30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 spans="1:54" s="15" customFormat="1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 spans="1:54" s="15" customFormat="1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J600" s="25"/>
      <c r="AK600" s="25"/>
      <c r="AL600" s="25"/>
      <c r="AM600" s="25"/>
      <c r="AN600" s="25"/>
      <c r="AO600" s="25"/>
      <c r="AP600" s="25"/>
      <c r="AQ600" s="25"/>
      <c r="AR600" s="563"/>
      <c r="AS600" s="563"/>
      <c r="AT600" s="563"/>
      <c r="AU600" s="25"/>
      <c r="AV600" s="25"/>
      <c r="AW600" s="25"/>
      <c r="AX600" s="25"/>
      <c r="AY600" s="25"/>
      <c r="AZ600" s="36"/>
      <c r="BA600" s="36"/>
    </row>
    <row r="601" spans="1:54" s="15" customFormat="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J601" s="25"/>
      <c r="AK601" s="25"/>
      <c r="AL601" s="25"/>
      <c r="AM601" s="25"/>
      <c r="AN601" s="25"/>
      <c r="AO601" s="25"/>
      <c r="AP601" s="554"/>
      <c r="AQ601" s="554"/>
      <c r="AR601" s="26"/>
      <c r="AS601" s="25"/>
      <c r="AT601" s="25"/>
      <c r="AU601" s="25"/>
      <c r="AV601" s="25"/>
      <c r="AW601" s="555"/>
      <c r="AX601" s="555"/>
      <c r="AY601" s="25"/>
      <c r="AZ601" s="25"/>
      <c r="BA601" s="25"/>
    </row>
    <row r="602" spans="1:54" s="15" customFormat="1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J602" s="25"/>
      <c r="AK602" s="25"/>
      <c r="AL602" s="555"/>
      <c r="AM602" s="55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72"/>
    </row>
    <row r="603" spans="1:54" s="15" customFormat="1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J603" s="35"/>
      <c r="AK603" s="25"/>
      <c r="AL603" s="25"/>
      <c r="AM603" s="25"/>
      <c r="AN603" s="25"/>
      <c r="AO603" s="25"/>
      <c r="AP603" s="554"/>
      <c r="AQ603" s="554"/>
      <c r="AR603" s="26"/>
      <c r="AS603" s="25"/>
      <c r="AT603" s="25"/>
      <c r="AU603" s="556"/>
      <c r="AV603" s="556"/>
      <c r="AW603" s="25"/>
      <c r="AX603" s="557"/>
      <c r="AY603" s="557"/>
      <c r="AZ603" s="25"/>
      <c r="BA603" s="25"/>
    </row>
    <row r="604" spans="1:54" s="15" customFormat="1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</row>
    <row r="605" spans="1:54" s="15" customFormat="1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</row>
    <row r="606" spans="1:54" s="15" customFormat="1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J606" s="11"/>
      <c r="AK606" s="11"/>
      <c r="AL606" s="11"/>
      <c r="AM606" s="68"/>
      <c r="AN606" s="69"/>
      <c r="AO606" s="11"/>
      <c r="AP606" s="11"/>
      <c r="AQ606" s="11"/>
      <c r="AR606" s="11"/>
      <c r="AS606" s="550"/>
      <c r="AT606" s="550"/>
      <c r="AU606" s="39"/>
      <c r="AV606" s="39"/>
      <c r="AW606" s="11"/>
      <c r="AX606" s="551"/>
      <c r="AY606" s="552"/>
      <c r="AZ606" s="11"/>
      <c r="BA606" s="11"/>
      <c r="BB606" s="25"/>
    </row>
    <row r="607" spans="1:54" s="15" customFormat="1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25"/>
    </row>
    <row r="608" spans="1:54" s="15" customFormat="1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25"/>
    </row>
    <row r="609" spans="1:54" s="15" customFormat="1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H609" s="29"/>
      <c r="AI609" s="29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25"/>
    </row>
    <row r="610" spans="1:54" s="15" customFormat="1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H610" s="11"/>
      <c r="AI610" s="11"/>
      <c r="AJ610" s="11"/>
      <c r="AK610" s="11"/>
      <c r="AL610" s="553"/>
      <c r="AM610" s="553"/>
      <c r="AN610" s="11"/>
      <c r="AO610" s="11"/>
      <c r="AP610" s="11"/>
      <c r="AQ610" s="11"/>
      <c r="AR610" s="11"/>
      <c r="AS610" s="11"/>
      <c r="AT610" s="553"/>
      <c r="AU610" s="553"/>
      <c r="AV610" s="11"/>
      <c r="AW610" s="11"/>
      <c r="AX610" s="11"/>
      <c r="AY610" s="47"/>
      <c r="AZ610" s="47"/>
      <c r="BA610" s="11"/>
      <c r="BB610" s="36"/>
    </row>
    <row r="611" spans="1:54" s="15" customFormat="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H611" s="34"/>
      <c r="AI611" s="34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25"/>
    </row>
    <row r="612" spans="1:54" s="15" customFormat="1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72"/>
    </row>
    <row r="613" spans="1:54" s="15" customFormat="1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25"/>
    </row>
    <row r="614" spans="1:54" s="15" customFormat="1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</row>
    <row r="615" spans="1:54" s="15" customFormat="1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H615" s="550"/>
      <c r="AI615" s="550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W615" s="11"/>
      <c r="AX615" s="11"/>
      <c r="AY615" s="11"/>
      <c r="AZ615" s="11"/>
      <c r="BA615" s="11"/>
      <c r="BB615" s="11"/>
    </row>
    <row r="616" spans="1:54" s="15" customFormat="1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</row>
    <row r="617" spans="1:54" s="15" customFormat="1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</row>
    <row r="618" spans="1:54" s="15" customFormat="1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H618" s="11"/>
      <c r="AI618" s="1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1"/>
    </row>
    <row r="619" spans="1:54" s="15" customFormat="1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H619" s="11"/>
      <c r="AI619" s="1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1"/>
    </row>
    <row r="620" spans="1:54" s="15" customFormat="1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H620" s="11"/>
      <c r="AI620" s="1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1"/>
    </row>
    <row r="621" spans="1:54" s="15" customFormat="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H621" s="11"/>
      <c r="AI621" s="1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1"/>
    </row>
    <row r="622" spans="1:54" s="15" customFormat="1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H622" s="11"/>
      <c r="AI622" s="1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1"/>
    </row>
    <row r="623" spans="1:54" s="15" customFormat="1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H623" s="11"/>
      <c r="AI623" s="1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1"/>
    </row>
    <row r="624" spans="1:54" s="15" customFormat="1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H624" s="11"/>
      <c r="AI624" s="1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1"/>
    </row>
    <row r="625" spans="1:54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D625" s="15"/>
      <c r="AE625" s="15"/>
      <c r="AF625" s="15"/>
      <c r="AG625" s="15"/>
      <c r="AH625" s="11"/>
      <c r="AI625" s="11"/>
      <c r="BB625" s="11"/>
    </row>
    <row r="626" spans="1:54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D626" s="15"/>
      <c r="AE626" s="15"/>
      <c r="AF626" s="15"/>
      <c r="AG626" s="15"/>
      <c r="AH626" s="11"/>
      <c r="AI626" s="11"/>
      <c r="BB626" s="11"/>
    </row>
    <row r="627" spans="1:54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D627" s="15"/>
      <c r="AE627" s="15"/>
      <c r="AF627" s="15"/>
      <c r="AG627" s="15"/>
      <c r="AH627" s="11"/>
      <c r="AI627" s="11"/>
      <c r="BB627" s="11"/>
    </row>
    <row r="628" spans="1:54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H628" s="11"/>
      <c r="AI628" s="11"/>
    </row>
    <row r="629" spans="1:54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H629" s="11"/>
      <c r="AI629" s="11"/>
    </row>
    <row r="630" spans="1:54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54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54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54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5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54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54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54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54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54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54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="1" customFormat="1" ht="12.75" customHeight="1"/>
    <row r="642" s="1" customFormat="1" ht="12.75" customHeight="1"/>
    <row r="643" s="1" customFormat="1" ht="12.75" customHeight="1"/>
    <row r="644" s="1" customFormat="1" ht="12.75" customHeight="1"/>
    <row r="645" s="1" customFormat="1" ht="12.75" customHeight="1"/>
    <row r="646" s="1" customFormat="1" ht="12.75" customHeight="1"/>
    <row r="647" s="1" customFormat="1" ht="12.75" customHeight="1"/>
    <row r="648" s="1" customFormat="1" ht="12.75" customHeight="1"/>
    <row r="649" s="1" customFormat="1" ht="12.75" customHeight="1"/>
    <row r="650" s="1" customFormat="1" ht="12.75" customHeight="1"/>
    <row r="651" s="1" customFormat="1" ht="12.75" customHeight="1"/>
    <row r="652" s="1" customFormat="1" ht="12.75" customHeigh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pans="1:28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</row>
    <row r="4498" spans="1:28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</row>
    <row r="4499" spans="1:28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</row>
    <row r="4500" spans="1:28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</row>
    <row r="4501" spans="1:28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</row>
    <row r="4502" spans="1:28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</row>
    <row r="4503" spans="1:28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</row>
    <row r="4504" spans="1:28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</row>
    <row r="4505" spans="1:28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</row>
    <row r="4506" spans="1:28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</row>
    <row r="4507" spans="1:28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</row>
    <row r="4508" spans="1:28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</row>
    <row r="4509" spans="1:28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</row>
    <row r="4510" spans="1:28"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</row>
    <row r="4511" spans="1:28"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</row>
    <row r="4512" spans="1:28"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</row>
    <row r="4513" spans="2:21"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</row>
    <row r="4514" spans="2:21"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</row>
    <row r="4515" spans="2:21"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</row>
    <row r="4516" spans="2:21"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</row>
    <row r="4517" spans="2:21"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</row>
    <row r="4518" spans="2:21"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</row>
    <row r="4519" spans="2:21"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</row>
    <row r="4520" spans="2:21"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</row>
    <row r="4521" spans="2:21"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</row>
    <row r="4522" spans="2:21"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</row>
    <row r="4523" spans="2:21"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</row>
    <row r="4524" spans="2:21"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</row>
    <row r="5461" spans="29:54" s="12" customFormat="1">
      <c r="AC5461" s="1"/>
      <c r="AD5461" s="1"/>
      <c r="AE5461" s="1"/>
      <c r="AF5461" s="1"/>
      <c r="AG5461" s="1"/>
      <c r="AH5461" s="1"/>
      <c r="AI5461" s="1"/>
      <c r="AJ5461" s="1"/>
      <c r="AK5461" s="1"/>
      <c r="AL5461" s="1"/>
      <c r="AM5461" s="1"/>
      <c r="AN5461" s="1"/>
      <c r="AO5461" s="1"/>
      <c r="AP5461" s="1"/>
      <c r="AQ5461" s="1"/>
      <c r="AR5461" s="1"/>
      <c r="AS5461" s="1"/>
      <c r="AT5461" s="1"/>
      <c r="AU5461" s="1"/>
      <c r="AV5461" s="1"/>
      <c r="AW5461" s="1"/>
      <c r="AX5461" s="1"/>
      <c r="AY5461" s="1"/>
      <c r="AZ5461" s="1"/>
      <c r="BA5461" s="1"/>
      <c r="BB5461" s="1"/>
    </row>
    <row r="5462" spans="29:54" s="12" customFormat="1">
      <c r="AC5462" s="1"/>
      <c r="AD5462" s="1"/>
      <c r="AE5462" s="1"/>
      <c r="AF5462" s="1"/>
      <c r="AG5462" s="1"/>
      <c r="AH5462" s="1"/>
      <c r="AI5462" s="1"/>
      <c r="AJ5462" s="1"/>
      <c r="AK5462" s="1"/>
      <c r="AL5462" s="1"/>
      <c r="AM5462" s="1"/>
      <c r="AN5462" s="1"/>
      <c r="AO5462" s="1"/>
      <c r="AP5462" s="1"/>
      <c r="AQ5462" s="1"/>
      <c r="AR5462" s="1"/>
      <c r="AS5462" s="1"/>
      <c r="AT5462" s="1"/>
      <c r="AU5462" s="1"/>
      <c r="AV5462" s="1"/>
      <c r="AW5462" s="1"/>
      <c r="AX5462" s="1"/>
      <c r="AY5462" s="1"/>
      <c r="AZ5462" s="1"/>
      <c r="BA5462" s="1"/>
      <c r="BB5462" s="1"/>
    </row>
    <row r="5463" spans="29:54" s="12" customFormat="1">
      <c r="AC5463" s="1"/>
      <c r="AD5463" s="1"/>
      <c r="AE5463" s="1"/>
      <c r="AF5463" s="1"/>
      <c r="AG5463" s="1"/>
      <c r="AH5463" s="1"/>
      <c r="AI5463" s="1"/>
      <c r="AJ5463" s="1"/>
      <c r="AK5463" s="1"/>
      <c r="AL5463" s="1"/>
      <c r="AM5463" s="1"/>
      <c r="AN5463" s="1"/>
      <c r="AO5463" s="1"/>
      <c r="AP5463" s="1"/>
      <c r="AQ5463" s="1"/>
      <c r="AR5463" s="1"/>
      <c r="AS5463" s="1"/>
      <c r="AT5463" s="1"/>
      <c r="AU5463" s="1"/>
      <c r="AV5463" s="1"/>
      <c r="AW5463" s="1"/>
      <c r="AX5463" s="1"/>
      <c r="AY5463" s="1"/>
      <c r="AZ5463" s="1"/>
      <c r="BA5463" s="1"/>
      <c r="BB5463" s="1"/>
    </row>
    <row r="5464" spans="29:54" s="12" customFormat="1">
      <c r="AC5464" s="1"/>
      <c r="AD5464" s="1"/>
      <c r="AE5464" s="1"/>
      <c r="AF5464" s="1"/>
      <c r="AG5464" s="1"/>
      <c r="AH5464" s="1"/>
      <c r="AI5464" s="1"/>
      <c r="AJ5464" s="1"/>
      <c r="AK5464" s="1"/>
      <c r="AL5464" s="1"/>
      <c r="AM5464" s="1"/>
      <c r="AN5464" s="1"/>
      <c r="AO5464" s="1"/>
      <c r="AP5464" s="1"/>
      <c r="AQ5464" s="1"/>
      <c r="AR5464" s="1"/>
      <c r="AS5464" s="1"/>
      <c r="AT5464" s="1"/>
      <c r="AU5464" s="1"/>
      <c r="AV5464" s="1"/>
      <c r="AW5464" s="1"/>
      <c r="AX5464" s="1"/>
      <c r="AY5464" s="1"/>
      <c r="AZ5464" s="1"/>
      <c r="BA5464" s="1"/>
      <c r="BB5464" s="1"/>
    </row>
    <row r="5465" spans="29:54" s="12" customFormat="1">
      <c r="AC5465" s="1"/>
      <c r="AD5465" s="1"/>
      <c r="AE5465" s="1"/>
      <c r="AF5465" s="1"/>
      <c r="AG5465" s="1"/>
      <c r="AH5465" s="1"/>
      <c r="AI5465" s="1"/>
      <c r="AJ5465" s="1"/>
      <c r="AK5465" s="1"/>
      <c r="AL5465" s="1"/>
      <c r="AM5465" s="1"/>
      <c r="AN5465" s="1"/>
      <c r="AO5465" s="1"/>
      <c r="AP5465" s="1"/>
      <c r="AQ5465" s="1"/>
      <c r="AR5465" s="1"/>
      <c r="AS5465" s="1"/>
      <c r="AT5465" s="1"/>
      <c r="AU5465" s="1"/>
      <c r="AV5465" s="1"/>
      <c r="AW5465" s="1"/>
      <c r="AX5465" s="1"/>
      <c r="AY5465" s="1"/>
      <c r="AZ5465" s="1"/>
      <c r="BA5465" s="1"/>
      <c r="BB5465" s="1"/>
    </row>
    <row r="5466" spans="29:54" s="12" customFormat="1">
      <c r="AC5466" s="1"/>
      <c r="AD5466" s="1"/>
      <c r="AE5466" s="1"/>
      <c r="AF5466" s="1"/>
      <c r="AG5466" s="1"/>
      <c r="AH5466" s="1"/>
      <c r="AI5466" s="1"/>
      <c r="AJ5466" s="1"/>
      <c r="AK5466" s="1"/>
      <c r="AL5466" s="1"/>
      <c r="AM5466" s="1"/>
      <c r="AN5466" s="1"/>
      <c r="AO5466" s="1"/>
      <c r="AP5466" s="1"/>
      <c r="AQ5466" s="1"/>
      <c r="AR5466" s="1"/>
      <c r="AS5466" s="1"/>
      <c r="AT5466" s="1"/>
      <c r="AU5466" s="1"/>
      <c r="AV5466" s="1"/>
      <c r="AW5466" s="1"/>
      <c r="AX5466" s="1"/>
      <c r="AY5466" s="1"/>
      <c r="AZ5466" s="1"/>
      <c r="BA5466" s="1"/>
      <c r="BB5466" s="1"/>
    </row>
  </sheetData>
  <mergeCells count="432">
    <mergeCell ref="AQ1:AR1"/>
    <mergeCell ref="AS1:AU1"/>
    <mergeCell ref="AV1:AW1"/>
    <mergeCell ref="AX1:AY2"/>
    <mergeCell ref="AZ1:BA1"/>
    <mergeCell ref="A2:K4"/>
    <mergeCell ref="AK2:AL2"/>
    <mergeCell ref="AO2:AP2"/>
    <mergeCell ref="AQ2:AR2"/>
    <mergeCell ref="AS2:AU2"/>
    <mergeCell ref="L1:AB3"/>
    <mergeCell ref="AG1:AH1"/>
    <mergeCell ref="AI1:AJ2"/>
    <mergeCell ref="AK1:AL1"/>
    <mergeCell ref="AM1:AN2"/>
    <mergeCell ref="AO1:AP1"/>
    <mergeCell ref="AV2:AW2"/>
    <mergeCell ref="AZ2:BA2"/>
    <mergeCell ref="AD3:AF3"/>
    <mergeCell ref="AG3:AH3"/>
    <mergeCell ref="AI3:AJ3"/>
    <mergeCell ref="AK3:AL3"/>
    <mergeCell ref="AM3:AN3"/>
    <mergeCell ref="AO3:AP3"/>
    <mergeCell ref="AQ3:AR3"/>
    <mergeCell ref="AS3:AU3"/>
    <mergeCell ref="AX4:AY4"/>
    <mergeCell ref="AZ4:BA4"/>
    <mergeCell ref="P5:S5"/>
    <mergeCell ref="Y5:AB5"/>
    <mergeCell ref="AV3:AW3"/>
    <mergeCell ref="AX3:AY3"/>
    <mergeCell ref="AZ3:BA3"/>
    <mergeCell ref="L4:AB4"/>
    <mergeCell ref="AD4:AF4"/>
    <mergeCell ref="AG4:AH4"/>
    <mergeCell ref="AI4:AJ4"/>
    <mergeCell ref="AK4:AL4"/>
    <mergeCell ref="AM4:AN4"/>
    <mergeCell ref="AO4:AP4"/>
    <mergeCell ref="A6:K6"/>
    <mergeCell ref="P6:S6"/>
    <mergeCell ref="V6:Z6"/>
    <mergeCell ref="A7:K7"/>
    <mergeCell ref="P7:S7"/>
    <mergeCell ref="V7:Z7"/>
    <mergeCell ref="AQ4:AR4"/>
    <mergeCell ref="AS4:AU4"/>
    <mergeCell ref="AV4:AW4"/>
    <mergeCell ref="B8:K8"/>
    <mergeCell ref="O8:AA8"/>
    <mergeCell ref="B12:E13"/>
    <mergeCell ref="F12:H12"/>
    <mergeCell ref="L12:N13"/>
    <mergeCell ref="O12:Q12"/>
    <mergeCell ref="F13:H13"/>
    <mergeCell ref="I13:K13"/>
    <mergeCell ref="O13:Q13"/>
    <mergeCell ref="F16:H16"/>
    <mergeCell ref="I16:K16"/>
    <mergeCell ref="L16:N16"/>
    <mergeCell ref="O16:Q16"/>
    <mergeCell ref="F17:H17"/>
    <mergeCell ref="I17:K17"/>
    <mergeCell ref="L17:N17"/>
    <mergeCell ref="O17:Q17"/>
    <mergeCell ref="F14:H14"/>
    <mergeCell ref="I14:K14"/>
    <mergeCell ref="L14:N14"/>
    <mergeCell ref="O14:Q14"/>
    <mergeCell ref="F15:H15"/>
    <mergeCell ref="I15:K15"/>
    <mergeCell ref="L15:N15"/>
    <mergeCell ref="O15:Q15"/>
    <mergeCell ref="F20:H20"/>
    <mergeCell ref="I20:K20"/>
    <mergeCell ref="L20:N20"/>
    <mergeCell ref="O20:Q20"/>
    <mergeCell ref="AD22:AF22"/>
    <mergeCell ref="AG22:AH22"/>
    <mergeCell ref="F18:H18"/>
    <mergeCell ref="I18:K18"/>
    <mergeCell ref="L18:N18"/>
    <mergeCell ref="O18:Q18"/>
    <mergeCell ref="F19:H19"/>
    <mergeCell ref="I19:K19"/>
    <mergeCell ref="L19:N19"/>
    <mergeCell ref="O19:Q19"/>
    <mergeCell ref="AV22:AW22"/>
    <mergeCell ref="AX22:AY22"/>
    <mergeCell ref="AZ22:BA22"/>
    <mergeCell ref="AD23:AF23"/>
    <mergeCell ref="AG23:AH23"/>
    <mergeCell ref="AI23:AJ23"/>
    <mergeCell ref="AK23:AL23"/>
    <mergeCell ref="AM23:AN23"/>
    <mergeCell ref="AO23:AP23"/>
    <mergeCell ref="AQ23:AR23"/>
    <mergeCell ref="AI22:AJ22"/>
    <mergeCell ref="AK22:AL22"/>
    <mergeCell ref="AM22:AN22"/>
    <mergeCell ref="AO22:AP22"/>
    <mergeCell ref="AQ22:AR22"/>
    <mergeCell ref="AS22:AU22"/>
    <mergeCell ref="AS24:AU24"/>
    <mergeCell ref="AV24:AW24"/>
    <mergeCell ref="AX24:AY24"/>
    <mergeCell ref="AZ24:BA24"/>
    <mergeCell ref="AP25:AQ25"/>
    <mergeCell ref="AS23:AU23"/>
    <mergeCell ref="AV23:AW23"/>
    <mergeCell ref="AX23:AY23"/>
    <mergeCell ref="AZ23:BA23"/>
    <mergeCell ref="AO24:AP24"/>
    <mergeCell ref="E33:F34"/>
    <mergeCell ref="G33:H34"/>
    <mergeCell ref="I33:K34"/>
    <mergeCell ref="O33:Q33"/>
    <mergeCell ref="R33:T33"/>
    <mergeCell ref="L34:N34"/>
    <mergeCell ref="O34:Q34"/>
    <mergeCell ref="R34:T34"/>
    <mergeCell ref="AQ24:AR24"/>
    <mergeCell ref="AD24:AF24"/>
    <mergeCell ref="AG24:AH24"/>
    <mergeCell ref="AI24:AJ24"/>
    <mergeCell ref="AK24:AL24"/>
    <mergeCell ref="AM24:AN24"/>
    <mergeCell ref="G35:H35"/>
    <mergeCell ref="I35:K35"/>
    <mergeCell ref="L35:N35"/>
    <mergeCell ref="O35:Q35"/>
    <mergeCell ref="R35:T35"/>
    <mergeCell ref="G36:H36"/>
    <mergeCell ref="I36:K36"/>
    <mergeCell ref="L36:N36"/>
    <mergeCell ref="O36:Q36"/>
    <mergeCell ref="R36:T36"/>
    <mergeCell ref="G37:H37"/>
    <mergeCell ref="I37:K37"/>
    <mergeCell ref="L37:N37"/>
    <mergeCell ref="O37:Q37"/>
    <mergeCell ref="R37:T37"/>
    <mergeCell ref="G38:H38"/>
    <mergeCell ref="I38:K38"/>
    <mergeCell ref="L38:N38"/>
    <mergeCell ref="O38:Q38"/>
    <mergeCell ref="R38:T38"/>
    <mergeCell ref="G39:H39"/>
    <mergeCell ref="I39:K39"/>
    <mergeCell ref="L39:N39"/>
    <mergeCell ref="O39:Q39"/>
    <mergeCell ref="R39:T39"/>
    <mergeCell ref="G40:H40"/>
    <mergeCell ref="I40:K40"/>
    <mergeCell ref="L40:N40"/>
    <mergeCell ref="O40:Q40"/>
    <mergeCell ref="R40:T40"/>
    <mergeCell ref="G41:H41"/>
    <mergeCell ref="I41:K41"/>
    <mergeCell ref="L41:N41"/>
    <mergeCell ref="O41:Q41"/>
    <mergeCell ref="R41:T41"/>
    <mergeCell ref="G42:H42"/>
    <mergeCell ref="I42:K42"/>
    <mergeCell ref="L42:N42"/>
    <mergeCell ref="O42:Q42"/>
    <mergeCell ref="R42:T42"/>
    <mergeCell ref="G43:H43"/>
    <mergeCell ref="I43:K43"/>
    <mergeCell ref="L43:N43"/>
    <mergeCell ref="O43:Q43"/>
    <mergeCell ref="R43:T43"/>
    <mergeCell ref="G44:H44"/>
    <mergeCell ref="I44:K44"/>
    <mergeCell ref="L44:N44"/>
    <mergeCell ref="O44:Q44"/>
    <mergeCell ref="R44:T44"/>
    <mergeCell ref="G45:H45"/>
    <mergeCell ref="I45:K45"/>
    <mergeCell ref="L45:N45"/>
    <mergeCell ref="O45:Q45"/>
    <mergeCell ref="R45:T45"/>
    <mergeCell ref="G46:H46"/>
    <mergeCell ref="I46:K46"/>
    <mergeCell ref="L46:N46"/>
    <mergeCell ref="O46:Q46"/>
    <mergeCell ref="R46:T46"/>
    <mergeCell ref="L53:N53"/>
    <mergeCell ref="O53:Q53"/>
    <mergeCell ref="R53:T53"/>
    <mergeCell ref="G54:H54"/>
    <mergeCell ref="I54:K54"/>
    <mergeCell ref="L54:N54"/>
    <mergeCell ref="O54:Q54"/>
    <mergeCell ref="R54:T54"/>
    <mergeCell ref="G47:H47"/>
    <mergeCell ref="I47:K47"/>
    <mergeCell ref="L47:N47"/>
    <mergeCell ref="O47:Q47"/>
    <mergeCell ref="R47:T47"/>
    <mergeCell ref="G52:H53"/>
    <mergeCell ref="I52:K53"/>
    <mergeCell ref="O52:Q52"/>
    <mergeCell ref="R52:T52"/>
    <mergeCell ref="G55:H55"/>
    <mergeCell ref="I55:K55"/>
    <mergeCell ref="L55:N55"/>
    <mergeCell ref="O55:Q55"/>
    <mergeCell ref="R55:T55"/>
    <mergeCell ref="G56:H56"/>
    <mergeCell ref="I56:K56"/>
    <mergeCell ref="L56:N56"/>
    <mergeCell ref="O56:Q56"/>
    <mergeCell ref="R56:T56"/>
    <mergeCell ref="G57:H57"/>
    <mergeCell ref="I57:K57"/>
    <mergeCell ref="L57:N57"/>
    <mergeCell ref="O57:Q57"/>
    <mergeCell ref="R57:T57"/>
    <mergeCell ref="G58:H58"/>
    <mergeCell ref="I58:K58"/>
    <mergeCell ref="L58:N58"/>
    <mergeCell ref="O58:Q58"/>
    <mergeCell ref="R58:T58"/>
    <mergeCell ref="G59:H59"/>
    <mergeCell ref="I59:K59"/>
    <mergeCell ref="L59:N59"/>
    <mergeCell ref="O59:Q59"/>
    <mergeCell ref="R59:T59"/>
    <mergeCell ref="G60:H60"/>
    <mergeCell ref="I60:K60"/>
    <mergeCell ref="L60:N60"/>
    <mergeCell ref="O60:Q60"/>
    <mergeCell ref="R60:T60"/>
    <mergeCell ref="G61:H61"/>
    <mergeCell ref="I61:K61"/>
    <mergeCell ref="L61:N61"/>
    <mergeCell ref="O61:Q61"/>
    <mergeCell ref="R61:T61"/>
    <mergeCell ref="G62:H62"/>
    <mergeCell ref="I62:K62"/>
    <mergeCell ref="L62:N62"/>
    <mergeCell ref="O62:Q62"/>
    <mergeCell ref="R62:T62"/>
    <mergeCell ref="G63:H63"/>
    <mergeCell ref="I63:K63"/>
    <mergeCell ref="L63:N63"/>
    <mergeCell ref="O63:Q63"/>
    <mergeCell ref="R63:T63"/>
    <mergeCell ref="G64:H64"/>
    <mergeCell ref="I64:K64"/>
    <mergeCell ref="L64:N64"/>
    <mergeCell ref="O64:Q64"/>
    <mergeCell ref="R64:T64"/>
    <mergeCell ref="G65:H65"/>
    <mergeCell ref="I65:K65"/>
    <mergeCell ref="L65:N65"/>
    <mergeCell ref="O65:Q65"/>
    <mergeCell ref="R65:T65"/>
    <mergeCell ref="G66:H66"/>
    <mergeCell ref="I66:K66"/>
    <mergeCell ref="L66:N66"/>
    <mergeCell ref="O66:Q66"/>
    <mergeCell ref="R66:T66"/>
    <mergeCell ref="AL112:AM112"/>
    <mergeCell ref="AP113:AQ113"/>
    <mergeCell ref="AU113:AV113"/>
    <mergeCell ref="AX113:AY113"/>
    <mergeCell ref="AS116:AT116"/>
    <mergeCell ref="AX116:AY116"/>
    <mergeCell ref="AP91:AQ91"/>
    <mergeCell ref="AV106:AX106"/>
    <mergeCell ref="AP107:AQ108"/>
    <mergeCell ref="AR110:AT110"/>
    <mergeCell ref="AP111:AQ111"/>
    <mergeCell ref="AW111:AX111"/>
    <mergeCell ref="AV176:AX176"/>
    <mergeCell ref="AP177:AQ178"/>
    <mergeCell ref="AR180:AT180"/>
    <mergeCell ref="AP181:AQ181"/>
    <mergeCell ref="AW181:AX181"/>
    <mergeCell ref="AL182:AM182"/>
    <mergeCell ref="AL120:AM120"/>
    <mergeCell ref="AT120:AU120"/>
    <mergeCell ref="AP158:AQ158"/>
    <mergeCell ref="AP159:AQ159"/>
    <mergeCell ref="AP160:AQ160"/>
    <mergeCell ref="AP161:AQ161"/>
    <mergeCell ref="AH195:AI195"/>
    <mergeCell ref="AP228:AQ228"/>
    <mergeCell ref="AP229:AQ229"/>
    <mergeCell ref="AP230:AQ230"/>
    <mergeCell ref="AP231:AQ231"/>
    <mergeCell ref="AV246:AX246"/>
    <mergeCell ref="AP183:AQ183"/>
    <mergeCell ref="AU183:AV183"/>
    <mergeCell ref="AX183:AY183"/>
    <mergeCell ref="AS186:AT186"/>
    <mergeCell ref="AX186:AY186"/>
    <mergeCell ref="AL190:AM190"/>
    <mergeCell ref="AT190:AU190"/>
    <mergeCell ref="AS256:AT256"/>
    <mergeCell ref="AX256:AY256"/>
    <mergeCell ref="AL260:AM260"/>
    <mergeCell ref="AT260:AU260"/>
    <mergeCell ref="AH265:AI265"/>
    <mergeCell ref="AP298:AQ298"/>
    <mergeCell ref="AP247:AQ248"/>
    <mergeCell ref="AR250:AT250"/>
    <mergeCell ref="AP251:AQ251"/>
    <mergeCell ref="AW251:AX251"/>
    <mergeCell ref="AL252:AM252"/>
    <mergeCell ref="AP253:AQ253"/>
    <mergeCell ref="AU253:AV253"/>
    <mergeCell ref="AX253:AY253"/>
    <mergeCell ref="AH335:AI335"/>
    <mergeCell ref="AP368:AQ368"/>
    <mergeCell ref="AP321:AQ321"/>
    <mergeCell ref="AW321:AX321"/>
    <mergeCell ref="AL322:AM322"/>
    <mergeCell ref="AP323:AQ323"/>
    <mergeCell ref="AU323:AV323"/>
    <mergeCell ref="AX323:AY323"/>
    <mergeCell ref="AP299:AQ299"/>
    <mergeCell ref="AP300:AQ300"/>
    <mergeCell ref="AP301:AQ301"/>
    <mergeCell ref="AV316:AX316"/>
    <mergeCell ref="AP317:AQ318"/>
    <mergeCell ref="AR320:AT320"/>
    <mergeCell ref="AP369:AQ369"/>
    <mergeCell ref="AP370:AQ370"/>
    <mergeCell ref="AP371:AQ371"/>
    <mergeCell ref="AV386:AX386"/>
    <mergeCell ref="AP387:AQ388"/>
    <mergeCell ref="AR390:AT390"/>
    <mergeCell ref="AS326:AT326"/>
    <mergeCell ref="AX326:AY326"/>
    <mergeCell ref="AL330:AM330"/>
    <mergeCell ref="AT330:AU330"/>
    <mergeCell ref="AS396:AT396"/>
    <mergeCell ref="AX396:AY396"/>
    <mergeCell ref="AL400:AM400"/>
    <mergeCell ref="AT400:AU400"/>
    <mergeCell ref="AH405:AI405"/>
    <mergeCell ref="AP438:AQ438"/>
    <mergeCell ref="AP391:AQ391"/>
    <mergeCell ref="AW391:AX391"/>
    <mergeCell ref="AL392:AM392"/>
    <mergeCell ref="AP393:AQ393"/>
    <mergeCell ref="AU393:AV393"/>
    <mergeCell ref="AX393:AY393"/>
    <mergeCell ref="AH475:AI475"/>
    <mergeCell ref="AP508:AQ508"/>
    <mergeCell ref="AP461:AQ461"/>
    <mergeCell ref="AW461:AX461"/>
    <mergeCell ref="AL462:AM462"/>
    <mergeCell ref="AP463:AQ463"/>
    <mergeCell ref="AU463:AV463"/>
    <mergeCell ref="AX463:AY463"/>
    <mergeCell ref="AP439:AQ439"/>
    <mergeCell ref="AP440:AQ440"/>
    <mergeCell ref="AP441:AQ441"/>
    <mergeCell ref="AV456:AX456"/>
    <mergeCell ref="AP457:AQ458"/>
    <mergeCell ref="AR460:AT460"/>
    <mergeCell ref="AP509:AQ509"/>
    <mergeCell ref="AP510:AQ510"/>
    <mergeCell ref="AP511:AQ511"/>
    <mergeCell ref="AV526:AX526"/>
    <mergeCell ref="AP527:AQ528"/>
    <mergeCell ref="AR530:AT530"/>
    <mergeCell ref="AS466:AT466"/>
    <mergeCell ref="AX466:AY466"/>
    <mergeCell ref="AL470:AM470"/>
    <mergeCell ref="AT470:AU470"/>
    <mergeCell ref="AL540:AM540"/>
    <mergeCell ref="AT540:AU540"/>
    <mergeCell ref="AH545:AI545"/>
    <mergeCell ref="AP578:AQ578"/>
    <mergeCell ref="AP531:AQ531"/>
    <mergeCell ref="AW531:AX531"/>
    <mergeCell ref="AL532:AM532"/>
    <mergeCell ref="AP533:AQ533"/>
    <mergeCell ref="AU533:AV533"/>
    <mergeCell ref="AX533:AY533"/>
    <mergeCell ref="AS606:AT606"/>
    <mergeCell ref="AX606:AY606"/>
    <mergeCell ref="AL610:AM610"/>
    <mergeCell ref="AT610:AU610"/>
    <mergeCell ref="AH615:AI615"/>
    <mergeCell ref="E35:F35"/>
    <mergeCell ref="E36:F36"/>
    <mergeCell ref="E37:F37"/>
    <mergeCell ref="E38:F38"/>
    <mergeCell ref="E39:F39"/>
    <mergeCell ref="AP601:AQ601"/>
    <mergeCell ref="AW601:AX601"/>
    <mergeCell ref="AL602:AM602"/>
    <mergeCell ref="AP603:AQ603"/>
    <mergeCell ref="AU603:AV603"/>
    <mergeCell ref="AX603:AY603"/>
    <mergeCell ref="AP579:AQ579"/>
    <mergeCell ref="AP580:AQ580"/>
    <mergeCell ref="AP581:AQ581"/>
    <mergeCell ref="AV596:AX596"/>
    <mergeCell ref="AP597:AQ598"/>
    <mergeCell ref="AR600:AT600"/>
    <mergeCell ref="AS536:AT536"/>
    <mergeCell ref="AX536:AY536"/>
    <mergeCell ref="E46:F46"/>
    <mergeCell ref="E47:F47"/>
    <mergeCell ref="E54:F54"/>
    <mergeCell ref="E55:F55"/>
    <mergeCell ref="E56:F56"/>
    <mergeCell ref="E57:F57"/>
    <mergeCell ref="E40:F40"/>
    <mergeCell ref="E41:F41"/>
    <mergeCell ref="E42:F42"/>
    <mergeCell ref="E43:F43"/>
    <mergeCell ref="E44:F44"/>
    <mergeCell ref="E45:F45"/>
    <mergeCell ref="E52:F53"/>
    <mergeCell ref="E64:F64"/>
    <mergeCell ref="E65:F65"/>
    <mergeCell ref="E66:F66"/>
    <mergeCell ref="E58:F58"/>
    <mergeCell ref="E59:F59"/>
    <mergeCell ref="E60:F60"/>
    <mergeCell ref="E61:F61"/>
    <mergeCell ref="E62:F62"/>
    <mergeCell ref="E63:F63"/>
  </mergeCells>
  <pageMargins left="0.47244094488188981" right="0" top="0.59055118110236227" bottom="0.23622047244094491" header="0.51181102362204722" footer="0.39370078740157483"/>
  <pageSetup paperSize="9" scale="94" fitToHeight="2" orientation="portrait" horizontalDpi="300" verticalDpi="300" r:id="rId1"/>
  <headerFooter alignWithMargins="0"/>
  <rowBreaks count="2" manualBreakCount="2">
    <brk id="48" max="27" man="1"/>
    <brk id="87" max="27" man="1"/>
  </rowBreaks>
  <drawing r:id="rId2"/>
  <legacyDrawing r:id="rId3"/>
  <oleObjects>
    <mc:AlternateContent xmlns:mc="http://schemas.openxmlformats.org/markup-compatibility/2006">
      <mc:Choice Requires="x14">
        <oleObject progId="Equation.3" shapeId="13313" r:id="rId4">
          <objectPr defaultSize="0" autoPict="0" r:id="rId5">
            <anchor moveWithCells="1" siz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0</xdr:colOff>
                <xdr:row>47</xdr:row>
                <xdr:rowOff>0</xdr:rowOff>
              </to>
            </anchor>
          </objectPr>
        </oleObject>
      </mc:Choice>
      <mc:Fallback>
        <oleObject progId="Equation.3" shapeId="13313" r:id="rId4"/>
      </mc:Fallback>
    </mc:AlternateContent>
    <mc:AlternateContent xmlns:mc="http://schemas.openxmlformats.org/markup-compatibility/2006">
      <mc:Choice Requires="x14">
        <oleObject progId="Equation.3" shapeId="13314" r:id="rId6">
          <objectPr defaultSize="0" autoPict="0" r:id="rId7">
            <anchor moveWithCells="1" sizeWithCells="1">
              <from>
                <xdr:col>12</xdr:col>
                <xdr:colOff>15240</xdr:colOff>
                <xdr:row>20</xdr:row>
                <xdr:rowOff>53340</xdr:rowOff>
              </from>
              <to>
                <xdr:col>15</xdr:col>
                <xdr:colOff>30480</xdr:colOff>
                <xdr:row>22</xdr:row>
                <xdr:rowOff>144780</xdr:rowOff>
              </to>
            </anchor>
          </objectPr>
        </oleObject>
      </mc:Choice>
      <mc:Fallback>
        <oleObject progId="Equation.3" shapeId="1331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5CD0-EECA-4D12-BE39-D46E160CB2D0}">
  <dimension ref="A1:E38"/>
  <sheetViews>
    <sheetView workbookViewId="0">
      <selection activeCell="D3" sqref="D3"/>
    </sheetView>
  </sheetViews>
  <sheetFormatPr defaultColWidth="14.5546875" defaultRowHeight="13.2"/>
  <cols>
    <col min="1" max="3" width="14.5546875" style="114"/>
    <col min="4" max="4" width="18" style="114" bestFit="1" customWidth="1"/>
    <col min="5" max="5" width="18.44140625" style="114" bestFit="1" customWidth="1"/>
    <col min="6" max="16384" width="14.5546875" style="114"/>
  </cols>
  <sheetData>
    <row r="1" spans="1:5" ht="14.4">
      <c r="A1" s="115" t="s">
        <v>338</v>
      </c>
      <c r="B1" s="116" t="s">
        <v>339</v>
      </c>
      <c r="C1" s="117"/>
      <c r="D1" s="114" t="s">
        <v>340</v>
      </c>
      <c r="E1" s="114" t="s">
        <v>341</v>
      </c>
    </row>
    <row r="2" spans="1:5" ht="14.4">
      <c r="A2" s="115"/>
      <c r="B2" s="116"/>
      <c r="C2" s="117"/>
    </row>
    <row r="3" spans="1:5" ht="26.4">
      <c r="A3" s="118" t="s">
        <v>342</v>
      </c>
      <c r="B3" s="119">
        <v>3</v>
      </c>
      <c r="C3" s="120" t="str">
        <f t="shared" ref="C3:C37" si="0">$B$1&amp;" "&amp;B3</f>
        <v>Load Case 3</v>
      </c>
      <c r="D3" s="114" t="e">
        <f>HLOOKUP(C3,'Wish In Place'!$AJ$55:$BH$78,24,FALSE)</f>
        <v>#N/A</v>
      </c>
      <c r="E3" s="114">
        <v>0</v>
      </c>
    </row>
    <row r="4" spans="1:5" ht="52.8">
      <c r="A4" s="118" t="s">
        <v>343</v>
      </c>
      <c r="B4" s="119">
        <v>11</v>
      </c>
      <c r="C4" s="120" t="str">
        <f t="shared" si="0"/>
        <v>Load Case 11</v>
      </c>
      <c r="D4" s="114" t="e">
        <f>HLOOKUP(C4,#REF!,24,FALSE)</f>
        <v>#REF!</v>
      </c>
      <c r="E4" s="114">
        <v>0</v>
      </c>
    </row>
    <row r="5" spans="1:5" ht="52.8">
      <c r="A5" s="118" t="s">
        <v>344</v>
      </c>
      <c r="B5" s="119">
        <v>13</v>
      </c>
      <c r="C5" s="120" t="str">
        <f t="shared" si="0"/>
        <v>Load Case 13</v>
      </c>
      <c r="D5" s="114" t="e">
        <f>HLOOKUP(C5,#REF!,24,FALSE)</f>
        <v>#REF!</v>
      </c>
      <c r="E5" s="114">
        <v>0</v>
      </c>
    </row>
    <row r="6" spans="1:5" ht="39.6">
      <c r="A6" s="118" t="s">
        <v>345</v>
      </c>
      <c r="B6" s="119">
        <v>15</v>
      </c>
      <c r="C6" s="120" t="str">
        <f t="shared" si="0"/>
        <v>Load Case 15</v>
      </c>
      <c r="D6" s="114" t="e">
        <f>HLOOKUP(C6,#REF!,24,FALSE)</f>
        <v>#REF!</v>
      </c>
      <c r="E6" s="114">
        <v>0</v>
      </c>
    </row>
    <row r="7" spans="1:5" ht="52.8">
      <c r="A7" s="118" t="s">
        <v>346</v>
      </c>
      <c r="B7" s="119">
        <v>17</v>
      </c>
      <c r="C7" s="120" t="str">
        <f t="shared" si="0"/>
        <v>Load Case 17</v>
      </c>
      <c r="D7" s="114" t="e">
        <f>HLOOKUP(C7,#REF!,24,FALSE)</f>
        <v>#REF!</v>
      </c>
      <c r="E7" s="114">
        <v>0</v>
      </c>
    </row>
    <row r="8" spans="1:5" ht="66">
      <c r="A8" s="118" t="s">
        <v>347</v>
      </c>
      <c r="B8" s="119" t="s">
        <v>348</v>
      </c>
      <c r="C8" s="120" t="str">
        <f t="shared" si="0"/>
        <v>Load Case 18 West</v>
      </c>
      <c r="D8" s="114" t="e">
        <f>HLOOKUP(C8,#REF!,24,FALSE)</f>
        <v>#REF!</v>
      </c>
      <c r="E8" s="114">
        <v>0</v>
      </c>
    </row>
    <row r="9" spans="1:5" ht="66">
      <c r="A9" s="118" t="s">
        <v>347</v>
      </c>
      <c r="B9" s="119" t="s">
        <v>349</v>
      </c>
      <c r="C9" s="120" t="str">
        <f t="shared" ref="C9" si="1">$B$1&amp;" "&amp;B9</f>
        <v>Load Case 18 East</v>
      </c>
      <c r="D9" s="114" t="e">
        <f>HLOOKUP(C9,#REF!,22,FALSE)</f>
        <v>#REF!</v>
      </c>
    </row>
    <row r="10" spans="1:5" ht="66">
      <c r="A10" s="118" t="s">
        <v>350</v>
      </c>
      <c r="B10" s="119" t="s">
        <v>351</v>
      </c>
      <c r="C10" s="120" t="str">
        <f t="shared" si="0"/>
        <v>Load Case 21 West</v>
      </c>
      <c r="D10" s="114" t="e">
        <f>HLOOKUP(C10,#REF!,24,FALSE)</f>
        <v>#REF!</v>
      </c>
      <c r="E10" s="114">
        <v>0</v>
      </c>
    </row>
    <row r="11" spans="1:5" ht="66">
      <c r="A11" s="118" t="s">
        <v>350</v>
      </c>
      <c r="B11" s="119" t="s">
        <v>352</v>
      </c>
      <c r="C11" s="120" t="str">
        <f t="shared" ref="C11" si="2">$B$1&amp;" "&amp;B11</f>
        <v>Load Case 21 East</v>
      </c>
      <c r="D11" s="114" t="e">
        <f>HLOOKUP(C11,#REF!,22,FALSE)</f>
        <v>#REF!</v>
      </c>
      <c r="E11" s="114">
        <v>0</v>
      </c>
    </row>
    <row r="14" spans="1:5">
      <c r="A14" s="136"/>
      <c r="B14" s="134"/>
      <c r="C14" s="135"/>
    </row>
    <row r="15" spans="1:5" ht="39.6">
      <c r="A15" s="121" t="s">
        <v>353</v>
      </c>
      <c r="B15" s="122">
        <v>31</v>
      </c>
      <c r="C15" s="123" t="str">
        <f t="shared" si="0"/>
        <v>Load Case 31</v>
      </c>
      <c r="D15" s="114" t="e">
        <f>HLOOKUP(C15,#REF!,8,FALSE)</f>
        <v>#REF!</v>
      </c>
      <c r="E15" s="114" t="e">
        <f>HLOOKUP(C15,#REF!,13,FALSE)*-1</f>
        <v>#REF!</v>
      </c>
    </row>
    <row r="16" spans="1:5" ht="39.6">
      <c r="A16" s="121" t="s">
        <v>354</v>
      </c>
      <c r="B16" s="122">
        <v>33</v>
      </c>
      <c r="C16" s="123" t="str">
        <f>$B$1&amp;" "&amp;B16</f>
        <v>Load Case 33</v>
      </c>
      <c r="D16" s="114" t="e">
        <f>HLOOKUP(C16,#REF!,8,FALSE)</f>
        <v>#REF!</v>
      </c>
      <c r="E16" s="114" t="e">
        <f>HLOOKUP(C16,#REF!,13,FALSE)*-1</f>
        <v>#REF!</v>
      </c>
    </row>
    <row r="17" spans="1:5" ht="39.6">
      <c r="A17" s="121" t="s">
        <v>355</v>
      </c>
      <c r="B17" s="122">
        <v>34</v>
      </c>
      <c r="C17" s="123" t="str">
        <f t="shared" si="0"/>
        <v>Load Case 34</v>
      </c>
      <c r="D17" s="114" t="e">
        <f>HLOOKUP(C17,#REF!,8,FALSE)</f>
        <v>#REF!</v>
      </c>
      <c r="E17" s="114" t="e">
        <f>HLOOKUP(C17,#REF!,13,FALSE)*-1</f>
        <v>#REF!</v>
      </c>
    </row>
    <row r="18" spans="1:5" ht="52.8">
      <c r="A18" s="124" t="s">
        <v>237</v>
      </c>
      <c r="B18" s="122">
        <v>35</v>
      </c>
      <c r="C18" s="123" t="str">
        <f t="shared" si="0"/>
        <v>Load Case 35</v>
      </c>
      <c r="D18" s="114" t="e">
        <f>HLOOKUP(C18,#REF!,8,FALSE)</f>
        <v>#REF!</v>
      </c>
      <c r="E18" s="114" t="e">
        <f>HLOOKUP(C18,#REF!,13,FALSE)*-1</f>
        <v>#REF!</v>
      </c>
    </row>
    <row r="19" spans="1:5" ht="92.4">
      <c r="A19" s="124" t="s">
        <v>239</v>
      </c>
      <c r="B19" s="122">
        <v>37</v>
      </c>
      <c r="C19" s="123" t="str">
        <f t="shared" si="0"/>
        <v>Load Case 37</v>
      </c>
      <c r="D19" s="114" t="e">
        <f>HLOOKUP(C19,#REF!,8,FALSE)</f>
        <v>#REF!</v>
      </c>
      <c r="E19" s="114" t="e">
        <f>HLOOKUP(C19,#REF!,13,FALSE)*-1</f>
        <v>#REF!</v>
      </c>
    </row>
    <row r="20" spans="1:5">
      <c r="A20" s="136"/>
      <c r="B20" s="134"/>
      <c r="C20" s="135"/>
    </row>
    <row r="21" spans="1:5">
      <c r="A21" s="136"/>
      <c r="B21" s="134"/>
      <c r="C21" s="135"/>
    </row>
    <row r="22" spans="1:5">
      <c r="A22" s="136"/>
      <c r="B22" s="134"/>
      <c r="C22" s="135"/>
    </row>
    <row r="23" spans="1:5" ht="92.4">
      <c r="A23" s="125" t="s">
        <v>240</v>
      </c>
      <c r="B23" s="126" t="s">
        <v>356</v>
      </c>
      <c r="C23" s="127" t="str">
        <f t="shared" si="0"/>
        <v>Load Case 38 LHS</v>
      </c>
      <c r="D23" s="114" t="e">
        <f>HLOOKUP(C23,#REF!,14,FALSE)</f>
        <v>#REF!</v>
      </c>
      <c r="E23" s="114">
        <v>0</v>
      </c>
    </row>
    <row r="24" spans="1:5" ht="92.4">
      <c r="A24" s="125" t="s">
        <v>240</v>
      </c>
      <c r="B24" s="126" t="s">
        <v>357</v>
      </c>
      <c r="C24" s="127" t="str">
        <f t="shared" ref="C24" si="3">$B$1&amp;" "&amp;B24</f>
        <v>Load Case 38 RHS</v>
      </c>
      <c r="D24" s="114" t="e">
        <f>HLOOKUP(C24,#REF!,14,FALSE)</f>
        <v>#REF!</v>
      </c>
      <c r="E24" s="114">
        <v>0</v>
      </c>
    </row>
    <row r="25" spans="1:5" ht="92.4">
      <c r="A25" s="128" t="s">
        <v>257</v>
      </c>
      <c r="B25" s="126" t="s">
        <v>358</v>
      </c>
      <c r="C25" s="127" t="str">
        <f>$B$1&amp;" "&amp;B25</f>
        <v>Load Case 41 LHS</v>
      </c>
      <c r="D25" s="114" t="e">
        <f>HLOOKUP(C25,#REF!,14,FALSE)</f>
        <v>#REF!</v>
      </c>
      <c r="E25" s="114">
        <v>0</v>
      </c>
    </row>
    <row r="26" spans="1:5" ht="92.4">
      <c r="A26" s="128" t="s">
        <v>257</v>
      </c>
      <c r="B26" s="126" t="s">
        <v>359</v>
      </c>
      <c r="C26" s="127" t="str">
        <f t="shared" ref="C26" si="4">$B$1&amp;" "&amp;B26</f>
        <v>Load Case 41 RHS</v>
      </c>
      <c r="D26" s="114" t="e">
        <f>HLOOKUP(C26,#REF!,14,FALSE)</f>
        <v>#REF!</v>
      </c>
      <c r="E26" s="114">
        <v>0</v>
      </c>
    </row>
    <row r="27" spans="1:5">
      <c r="A27" s="133"/>
      <c r="B27" s="134"/>
      <c r="C27" s="135"/>
    </row>
    <row r="28" spans="1:5">
      <c r="A28" s="133"/>
      <c r="B28" s="134"/>
      <c r="C28" s="135"/>
    </row>
    <row r="29" spans="1:5">
      <c r="A29" s="133"/>
      <c r="B29" s="134"/>
      <c r="C29" s="135"/>
    </row>
    <row r="30" spans="1:5" ht="52.8">
      <c r="A30" s="129" t="s">
        <v>360</v>
      </c>
      <c r="B30" s="130">
        <v>2</v>
      </c>
      <c r="C30" s="131" t="str">
        <f>$B$1&amp;" "&amp;B30</f>
        <v>Load Case 2</v>
      </c>
      <c r="D30" s="114" t="e">
        <f>#REF!</f>
        <v>#REF!</v>
      </c>
      <c r="E30" s="114" t="e">
        <f>#REF!</f>
        <v>#REF!</v>
      </c>
    </row>
    <row r="31" spans="1:5" ht="66">
      <c r="A31" s="132" t="s">
        <v>249</v>
      </c>
      <c r="B31" s="130" t="s">
        <v>361</v>
      </c>
      <c r="C31" s="131" t="str">
        <f>$B$1&amp;" "&amp;B31</f>
        <v>Load Case 40 LHS</v>
      </c>
      <c r="D31" s="114">
        <v>0</v>
      </c>
      <c r="E31" s="114" t="e">
        <f>#REF!*-1</f>
        <v>#REF!</v>
      </c>
    </row>
    <row r="32" spans="1:5" ht="66">
      <c r="A32" s="132" t="s">
        <v>249</v>
      </c>
      <c r="B32" s="130" t="s">
        <v>362</v>
      </c>
      <c r="C32" s="131" t="str">
        <f t="shared" ref="C32" si="5">$B$1&amp;" "&amp;B32</f>
        <v>Load Case 40 RHS</v>
      </c>
      <c r="D32" s="114">
        <v>0</v>
      </c>
      <c r="E32" s="114" t="e">
        <f>#REF!*-1</f>
        <v>#REF!</v>
      </c>
    </row>
    <row r="33" spans="1:5" ht="66">
      <c r="A33" s="132" t="s">
        <v>263</v>
      </c>
      <c r="B33" s="130" t="s">
        <v>363</v>
      </c>
      <c r="C33" s="131" t="str">
        <f t="shared" si="0"/>
        <v>Load Case 43 LHS</v>
      </c>
      <c r="D33" s="114">
        <v>0</v>
      </c>
      <c r="E33" s="114" t="e">
        <f>#REF!*-1</f>
        <v>#REF!</v>
      </c>
    </row>
    <row r="34" spans="1:5" ht="66">
      <c r="A34" s="132" t="s">
        <v>263</v>
      </c>
      <c r="B34" s="130" t="s">
        <v>364</v>
      </c>
      <c r="C34" s="131" t="str">
        <f t="shared" ref="C34" si="6">$B$1&amp;" "&amp;B34</f>
        <v>Load Case 43 RHS</v>
      </c>
      <c r="D34" s="114">
        <v>0</v>
      </c>
      <c r="E34" s="114" t="e">
        <f>#REF!*-1</f>
        <v>#REF!</v>
      </c>
    </row>
    <row r="35" spans="1:5">
      <c r="A35" s="132"/>
      <c r="B35" s="130"/>
      <c r="C35" s="131"/>
    </row>
    <row r="36" spans="1:5" ht="26.4">
      <c r="A36" s="132" t="s">
        <v>264</v>
      </c>
      <c r="B36" s="130">
        <v>51</v>
      </c>
      <c r="C36" s="131" t="str">
        <f t="shared" si="0"/>
        <v>Load Case 51</v>
      </c>
      <c r="D36" s="114">
        <v>0</v>
      </c>
      <c r="E36" s="114" t="e">
        <f>#REF!</f>
        <v>#REF!</v>
      </c>
    </row>
    <row r="37" spans="1:5" ht="26.4">
      <c r="A37" s="132" t="s">
        <v>269</v>
      </c>
      <c r="B37" s="130">
        <v>52</v>
      </c>
      <c r="C37" s="131" t="str">
        <f t="shared" si="0"/>
        <v>Load Case 52</v>
      </c>
      <c r="D37" s="114" t="e">
        <f>#REF!</f>
        <v>#REF!</v>
      </c>
      <c r="E37" s="114">
        <v>0</v>
      </c>
    </row>
    <row r="38" spans="1:5" ht="26.4">
      <c r="A38" s="132" t="s">
        <v>279</v>
      </c>
      <c r="B38" s="130">
        <v>56</v>
      </c>
      <c r="C38" s="131" t="str">
        <f>$B$1&amp;" "&amp;B38</f>
        <v>Load Case 56</v>
      </c>
      <c r="D38" s="114" t="e">
        <f>#REF!</f>
        <v>#REF!</v>
      </c>
      <c r="E38" s="114">
        <v>0</v>
      </c>
    </row>
  </sheetData>
  <conditionalFormatting sqref="B3:C11 B14:C38">
    <cfRule type="duplicateValues" dxfId="0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09"/>
  <sheetViews>
    <sheetView topLeftCell="A19" workbookViewId="0">
      <selection activeCell="AE35" sqref="AE35"/>
    </sheetView>
  </sheetViews>
  <sheetFormatPr defaultColWidth="9.21875" defaultRowHeight="14.4"/>
  <cols>
    <col min="1" max="16384" width="9.21875" style="97"/>
  </cols>
  <sheetData>
    <row r="1" spans="1:14">
      <c r="A1" s="669" t="s">
        <v>365</v>
      </c>
      <c r="B1" s="669"/>
      <c r="C1" s="669"/>
      <c r="D1" s="669"/>
      <c r="F1" s="670" t="s">
        <v>365</v>
      </c>
      <c r="G1" s="670"/>
      <c r="H1" s="670"/>
      <c r="I1" s="670"/>
      <c r="J1" s="112"/>
      <c r="K1" s="112"/>
      <c r="L1" s="112"/>
      <c r="M1" s="112"/>
      <c r="N1" s="112"/>
    </row>
    <row r="2" spans="1:14">
      <c r="A2" s="97" t="s">
        <v>366</v>
      </c>
      <c r="B2" s="97" t="s">
        <v>323</v>
      </c>
      <c r="C2" s="97" t="s">
        <v>324</v>
      </c>
      <c r="D2" s="97" t="s">
        <v>325</v>
      </c>
      <c r="F2" s="112" t="s">
        <v>366</v>
      </c>
      <c r="G2" s="112" t="s">
        <v>323</v>
      </c>
      <c r="H2" s="112" t="s">
        <v>324</v>
      </c>
      <c r="I2" s="112" t="s">
        <v>325</v>
      </c>
      <c r="J2" s="112"/>
      <c r="K2" s="112" t="s">
        <v>366</v>
      </c>
      <c r="L2" s="112" t="s">
        <v>323</v>
      </c>
      <c r="M2" s="112" t="s">
        <v>324</v>
      </c>
      <c r="N2" s="112" t="s">
        <v>325</v>
      </c>
    </row>
    <row r="3" spans="1:14">
      <c r="A3" s="97">
        <v>1</v>
      </c>
      <c r="B3" s="97">
        <v>0</v>
      </c>
      <c r="C3" s="97">
        <v>-1.8</v>
      </c>
      <c r="D3" s="97">
        <v>0</v>
      </c>
      <c r="F3" s="113">
        <v>59</v>
      </c>
      <c r="G3" s="112">
        <v>0</v>
      </c>
      <c r="H3">
        <v>9.5</v>
      </c>
      <c r="I3" s="112">
        <v>0</v>
      </c>
      <c r="J3" s="112"/>
      <c r="K3" s="113">
        <v>59</v>
      </c>
      <c r="L3">
        <v>0</v>
      </c>
      <c r="M3">
        <v>9.5</v>
      </c>
      <c r="N3" s="112">
        <v>0</v>
      </c>
    </row>
    <row r="4" spans="1:14">
      <c r="A4" s="97">
        <v>2</v>
      </c>
      <c r="B4" s="97">
        <v>0</v>
      </c>
      <c r="C4" s="97">
        <v>-2.2999999999999998</v>
      </c>
      <c r="D4" s="97">
        <v>0</v>
      </c>
      <c r="F4" s="113">
        <v>79</v>
      </c>
      <c r="G4" s="112">
        <v>0</v>
      </c>
      <c r="H4">
        <v>9</v>
      </c>
      <c r="I4" s="112">
        <v>0</v>
      </c>
      <c r="J4" s="112"/>
      <c r="K4" s="113">
        <v>60</v>
      </c>
      <c r="L4">
        <v>13.2</v>
      </c>
      <c r="M4">
        <v>9.5</v>
      </c>
      <c r="N4" s="112">
        <v>0</v>
      </c>
    </row>
    <row r="5" spans="1:14">
      <c r="A5" s="97">
        <v>3</v>
      </c>
      <c r="B5" s="97">
        <v>0</v>
      </c>
      <c r="C5" s="97">
        <v>-10.8</v>
      </c>
      <c r="D5" s="97">
        <v>0</v>
      </c>
      <c r="F5" s="113">
        <v>105</v>
      </c>
      <c r="G5" s="112">
        <v>0</v>
      </c>
      <c r="H5">
        <v>8.15</v>
      </c>
      <c r="I5" s="112">
        <v>0</v>
      </c>
      <c r="J5" s="112"/>
      <c r="K5" s="113">
        <v>61</v>
      </c>
      <c r="L5">
        <v>0.5</v>
      </c>
      <c r="M5">
        <v>9.5</v>
      </c>
      <c r="N5" s="112">
        <v>0</v>
      </c>
    </row>
    <row r="6" spans="1:14">
      <c r="A6" s="97">
        <v>4</v>
      </c>
      <c r="B6" s="97">
        <v>0</v>
      </c>
      <c r="C6" s="97">
        <v>-11.3</v>
      </c>
      <c r="D6" s="97">
        <v>0</v>
      </c>
      <c r="F6" s="113">
        <v>106</v>
      </c>
      <c r="G6" s="112">
        <v>0</v>
      </c>
      <c r="H6">
        <v>7.3</v>
      </c>
      <c r="I6" s="112">
        <v>0</v>
      </c>
      <c r="J6" s="112"/>
      <c r="K6" s="113">
        <v>62</v>
      </c>
      <c r="L6">
        <v>4.25</v>
      </c>
      <c r="M6">
        <v>9.5</v>
      </c>
      <c r="N6" s="112">
        <v>0</v>
      </c>
    </row>
    <row r="7" spans="1:14">
      <c r="A7" s="97">
        <v>5</v>
      </c>
      <c r="B7" s="97">
        <v>0.5</v>
      </c>
      <c r="C7" s="97">
        <v>-1.8</v>
      </c>
      <c r="D7" s="97">
        <v>0</v>
      </c>
      <c r="F7" s="113">
        <v>107</v>
      </c>
      <c r="G7" s="112">
        <v>0</v>
      </c>
      <c r="H7">
        <v>6.45</v>
      </c>
      <c r="I7" s="112">
        <v>0</v>
      </c>
      <c r="J7" s="112"/>
      <c r="K7" s="113">
        <v>63</v>
      </c>
      <c r="L7">
        <v>4.55</v>
      </c>
      <c r="M7">
        <v>9.5</v>
      </c>
      <c r="N7" s="112">
        <v>0</v>
      </c>
    </row>
    <row r="8" spans="1:14">
      <c r="A8" s="97">
        <v>6</v>
      </c>
      <c r="B8" s="97">
        <v>0.5</v>
      </c>
      <c r="C8" s="97">
        <v>-11.3</v>
      </c>
      <c r="D8" s="97">
        <v>0</v>
      </c>
      <c r="F8" s="113">
        <v>108</v>
      </c>
      <c r="G8" s="112">
        <v>0</v>
      </c>
      <c r="H8">
        <v>5.6</v>
      </c>
      <c r="I8" s="112">
        <v>0</v>
      </c>
      <c r="J8" s="112"/>
      <c r="K8" s="113">
        <v>64</v>
      </c>
      <c r="L8">
        <v>4.8499999999999996</v>
      </c>
      <c r="M8">
        <v>9.5</v>
      </c>
      <c r="N8" s="112">
        <v>0</v>
      </c>
    </row>
    <row r="9" spans="1:14">
      <c r="A9" s="97">
        <v>7</v>
      </c>
      <c r="B9" s="97">
        <v>8.1</v>
      </c>
      <c r="C9" s="97">
        <v>-1.8</v>
      </c>
      <c r="D9" s="97">
        <v>0</v>
      </c>
      <c r="F9" s="113">
        <v>109</v>
      </c>
      <c r="G9" s="112">
        <v>0</v>
      </c>
      <c r="H9">
        <v>4.75</v>
      </c>
      <c r="I9" s="112">
        <v>0</v>
      </c>
      <c r="J9" s="112"/>
      <c r="K9" s="113">
        <v>65</v>
      </c>
      <c r="L9">
        <v>8.6</v>
      </c>
      <c r="M9">
        <v>9.5</v>
      </c>
      <c r="N9" s="112">
        <v>0</v>
      </c>
    </row>
    <row r="10" spans="1:14">
      <c r="A10" s="97">
        <v>8</v>
      </c>
      <c r="B10" s="97">
        <v>8.1</v>
      </c>
      <c r="C10" s="97">
        <v>-11.3</v>
      </c>
      <c r="D10" s="97">
        <v>0</v>
      </c>
      <c r="F10" s="113">
        <v>110</v>
      </c>
      <c r="G10" s="112">
        <v>0</v>
      </c>
      <c r="H10">
        <v>3.9</v>
      </c>
      <c r="I10" s="112">
        <v>0</v>
      </c>
      <c r="J10" s="112"/>
      <c r="K10" s="113">
        <v>66</v>
      </c>
      <c r="L10">
        <v>8.9</v>
      </c>
      <c r="M10">
        <v>9.5</v>
      </c>
      <c r="N10" s="112">
        <v>0</v>
      </c>
    </row>
    <row r="11" spans="1:14">
      <c r="A11" s="97">
        <v>9</v>
      </c>
      <c r="B11" s="97">
        <v>8.4</v>
      </c>
      <c r="C11" s="97">
        <v>-1.8</v>
      </c>
      <c r="D11" s="97">
        <v>0</v>
      </c>
      <c r="F11" s="113">
        <v>111</v>
      </c>
      <c r="G11" s="112">
        <v>0</v>
      </c>
      <c r="H11">
        <v>3.05</v>
      </c>
      <c r="I11" s="112">
        <v>0</v>
      </c>
      <c r="J11" s="112"/>
      <c r="K11" s="113">
        <v>67</v>
      </c>
      <c r="L11">
        <v>9.1999999999999993</v>
      </c>
      <c r="M11">
        <v>9.5</v>
      </c>
      <c r="N11" s="112">
        <v>0</v>
      </c>
    </row>
    <row r="12" spans="1:14">
      <c r="A12" s="97">
        <v>10</v>
      </c>
      <c r="B12" s="97">
        <v>8.4</v>
      </c>
      <c r="C12" s="97">
        <v>-2.2999999999999998</v>
      </c>
      <c r="D12" s="97">
        <v>0</v>
      </c>
      <c r="F12" s="113">
        <v>112</v>
      </c>
      <c r="G12" s="112">
        <v>0</v>
      </c>
      <c r="H12">
        <v>2.2000000000000002</v>
      </c>
      <c r="I12" s="112">
        <v>0</v>
      </c>
      <c r="J12" s="112"/>
      <c r="K12" s="113">
        <v>68</v>
      </c>
      <c r="L12">
        <v>12.7</v>
      </c>
      <c r="M12">
        <v>9.5</v>
      </c>
      <c r="N12" s="112">
        <v>0</v>
      </c>
    </row>
    <row r="13" spans="1:14">
      <c r="A13" s="97">
        <v>11</v>
      </c>
      <c r="B13" s="97">
        <v>8.4</v>
      </c>
      <c r="C13" s="97">
        <v>-10.8</v>
      </c>
      <c r="D13" s="97">
        <v>0</v>
      </c>
      <c r="F13" s="113">
        <v>113</v>
      </c>
      <c r="G13" s="112">
        <v>0</v>
      </c>
      <c r="H13">
        <v>1.35</v>
      </c>
      <c r="I13" s="112">
        <v>0</v>
      </c>
      <c r="J13" s="112"/>
      <c r="K13" s="113">
        <v>87</v>
      </c>
      <c r="L13">
        <v>1.4375</v>
      </c>
      <c r="M13">
        <v>9.5</v>
      </c>
      <c r="N13" s="112">
        <v>0</v>
      </c>
    </row>
    <row r="14" spans="1:14">
      <c r="A14" s="97">
        <v>12</v>
      </c>
      <c r="B14" s="97">
        <v>8.4</v>
      </c>
      <c r="C14" s="97">
        <v>-11.3</v>
      </c>
      <c r="D14" s="97">
        <v>0</v>
      </c>
      <c r="F14" s="113">
        <v>80</v>
      </c>
      <c r="G14" s="112">
        <v>0</v>
      </c>
      <c r="H14">
        <v>0.5</v>
      </c>
      <c r="I14" s="112">
        <v>0</v>
      </c>
      <c r="J14" s="112"/>
      <c r="K14" s="113">
        <v>88</v>
      </c>
      <c r="L14">
        <v>2.375</v>
      </c>
      <c r="M14">
        <v>9.5</v>
      </c>
      <c r="N14" s="112">
        <v>0</v>
      </c>
    </row>
    <row r="15" spans="1:14">
      <c r="A15" s="97">
        <v>13</v>
      </c>
      <c r="B15" s="97">
        <v>8.6999999999999993</v>
      </c>
      <c r="C15" s="97">
        <v>-1.8</v>
      </c>
      <c r="D15" s="97">
        <v>0</v>
      </c>
      <c r="F15" s="113">
        <v>69</v>
      </c>
      <c r="G15" s="112">
        <v>0</v>
      </c>
      <c r="H15">
        <v>0</v>
      </c>
      <c r="I15" s="112">
        <v>0</v>
      </c>
      <c r="J15" s="112"/>
      <c r="K15" s="113">
        <v>89</v>
      </c>
      <c r="L15">
        <v>3.3125</v>
      </c>
      <c r="M15">
        <v>9.5</v>
      </c>
      <c r="N15" s="112">
        <v>0</v>
      </c>
    </row>
    <row r="16" spans="1:14">
      <c r="A16" s="97">
        <v>14</v>
      </c>
      <c r="B16" s="97">
        <v>8.6999999999999993</v>
      </c>
      <c r="C16" s="97">
        <v>-11.3</v>
      </c>
      <c r="D16" s="97">
        <v>0</v>
      </c>
      <c r="F16" s="113"/>
      <c r="G16" s="112"/>
      <c r="H16"/>
      <c r="I16" s="112"/>
      <c r="J16" s="112"/>
      <c r="K16" s="113">
        <v>90</v>
      </c>
      <c r="L16">
        <v>5.7874999999999996</v>
      </c>
      <c r="M16">
        <v>9.5</v>
      </c>
      <c r="N16" s="112">
        <v>0</v>
      </c>
    </row>
    <row r="17" spans="1:14">
      <c r="A17" s="97">
        <v>15</v>
      </c>
      <c r="B17" s="97">
        <v>16.45</v>
      </c>
      <c r="C17" s="97">
        <v>-1.8</v>
      </c>
      <c r="D17" s="97">
        <v>0</v>
      </c>
      <c r="F17" s="113">
        <v>60</v>
      </c>
      <c r="G17" s="112">
        <v>13.2</v>
      </c>
      <c r="H17">
        <v>9.5</v>
      </c>
      <c r="I17" s="112">
        <v>0</v>
      </c>
      <c r="J17" s="112"/>
      <c r="K17" s="113">
        <v>91</v>
      </c>
      <c r="L17">
        <v>6.7249999999999996</v>
      </c>
      <c r="M17">
        <v>9.5</v>
      </c>
      <c r="N17" s="112">
        <v>0</v>
      </c>
    </row>
    <row r="18" spans="1:14">
      <c r="A18" s="97">
        <v>16</v>
      </c>
      <c r="B18" s="97">
        <v>16.45</v>
      </c>
      <c r="C18" s="97">
        <v>-11.3</v>
      </c>
      <c r="D18" s="97">
        <v>0</v>
      </c>
      <c r="F18" s="113">
        <v>81</v>
      </c>
      <c r="G18" s="112">
        <v>13.2</v>
      </c>
      <c r="H18">
        <v>9</v>
      </c>
      <c r="I18" s="112">
        <v>0</v>
      </c>
      <c r="J18" s="112"/>
      <c r="K18" s="113">
        <v>92</v>
      </c>
      <c r="L18">
        <v>7.6624999999999996</v>
      </c>
      <c r="M18">
        <v>9.5</v>
      </c>
      <c r="N18" s="112">
        <v>0</v>
      </c>
    </row>
    <row r="19" spans="1:14">
      <c r="A19" s="97">
        <v>17</v>
      </c>
      <c r="B19" s="97">
        <v>16.75</v>
      </c>
      <c r="C19" s="97">
        <v>-1.8</v>
      </c>
      <c r="D19" s="97">
        <v>0</v>
      </c>
      <c r="F19" s="113">
        <v>114</v>
      </c>
      <c r="G19" s="112">
        <v>13.2</v>
      </c>
      <c r="H19">
        <v>8.15</v>
      </c>
      <c r="I19" s="112">
        <v>0</v>
      </c>
      <c r="J19" s="112"/>
      <c r="K19" s="113">
        <v>93</v>
      </c>
      <c r="L19">
        <v>10.074999999999999</v>
      </c>
      <c r="M19">
        <v>9.5</v>
      </c>
      <c r="N19" s="112">
        <v>0</v>
      </c>
    </row>
    <row r="20" spans="1:14">
      <c r="A20" s="97">
        <v>18</v>
      </c>
      <c r="B20" s="97">
        <v>16.75</v>
      </c>
      <c r="C20" s="97">
        <v>-2.2999999999999998</v>
      </c>
      <c r="D20" s="97">
        <v>0</v>
      </c>
      <c r="F20" s="113">
        <v>115</v>
      </c>
      <c r="G20" s="112">
        <v>13.2</v>
      </c>
      <c r="H20">
        <v>7.3</v>
      </c>
      <c r="I20" s="112">
        <v>0</v>
      </c>
      <c r="J20" s="112"/>
      <c r="K20" s="113">
        <v>94</v>
      </c>
      <c r="L20">
        <v>10.95</v>
      </c>
      <c r="M20">
        <v>9.5</v>
      </c>
      <c r="N20" s="112">
        <v>0</v>
      </c>
    </row>
    <row r="21" spans="1:14">
      <c r="A21" s="97">
        <v>19</v>
      </c>
      <c r="B21" s="97">
        <v>16.75</v>
      </c>
      <c r="C21" s="97">
        <v>-10.8</v>
      </c>
      <c r="D21" s="97">
        <v>0</v>
      </c>
      <c r="F21" s="113">
        <v>116</v>
      </c>
      <c r="G21" s="112">
        <v>13.2</v>
      </c>
      <c r="H21">
        <v>6.45</v>
      </c>
      <c r="I21" s="112">
        <v>0</v>
      </c>
      <c r="J21" s="112"/>
      <c r="K21" s="113">
        <v>95</v>
      </c>
      <c r="L21">
        <v>11.824999999999999</v>
      </c>
      <c r="M21">
        <v>9.5</v>
      </c>
      <c r="N21" s="112">
        <v>0</v>
      </c>
    </row>
    <row r="22" spans="1:14">
      <c r="A22" s="97">
        <v>20</v>
      </c>
      <c r="B22" s="97">
        <v>16.75</v>
      </c>
      <c r="C22" s="97">
        <v>-11.3</v>
      </c>
      <c r="D22" s="97">
        <v>0</v>
      </c>
      <c r="F22" s="113">
        <v>117</v>
      </c>
      <c r="G22" s="112">
        <v>13.2</v>
      </c>
      <c r="H22">
        <v>5.6</v>
      </c>
      <c r="I22" s="112">
        <v>0</v>
      </c>
      <c r="J22" s="112"/>
      <c r="K22" s="113">
        <v>79</v>
      </c>
      <c r="L22">
        <v>0</v>
      </c>
      <c r="M22">
        <v>9</v>
      </c>
      <c r="N22" s="112">
        <v>0</v>
      </c>
    </row>
    <row r="23" spans="1:14">
      <c r="A23" s="97">
        <v>21</v>
      </c>
      <c r="B23" s="97">
        <v>17.05</v>
      </c>
      <c r="C23" s="97">
        <v>-1.8</v>
      </c>
      <c r="D23" s="97">
        <v>0</v>
      </c>
      <c r="F23" s="113">
        <v>118</v>
      </c>
      <c r="G23" s="112">
        <v>13.2</v>
      </c>
      <c r="H23">
        <v>4.75</v>
      </c>
      <c r="I23" s="112">
        <v>0</v>
      </c>
      <c r="J23" s="112"/>
      <c r="K23" s="113">
        <v>81</v>
      </c>
      <c r="L23">
        <v>13.2</v>
      </c>
      <c r="M23">
        <v>9</v>
      </c>
      <c r="N23" s="112">
        <v>0</v>
      </c>
    </row>
    <row r="24" spans="1:14">
      <c r="A24" s="97">
        <v>22</v>
      </c>
      <c r="B24" s="97">
        <v>17.05</v>
      </c>
      <c r="C24" s="97">
        <v>-11.3</v>
      </c>
      <c r="D24" s="97">
        <v>0</v>
      </c>
      <c r="F24" s="113">
        <v>119</v>
      </c>
      <c r="G24" s="112">
        <v>13.2</v>
      </c>
      <c r="H24">
        <v>3.9</v>
      </c>
      <c r="I24" s="112">
        <v>0</v>
      </c>
      <c r="J24" s="112"/>
      <c r="K24" s="113">
        <v>83</v>
      </c>
      <c r="L24">
        <v>4.55</v>
      </c>
      <c r="M24">
        <v>9</v>
      </c>
      <c r="N24" s="112">
        <v>0</v>
      </c>
    </row>
    <row r="25" spans="1:14">
      <c r="A25" s="97">
        <v>23</v>
      </c>
      <c r="B25" s="97">
        <v>24.75</v>
      </c>
      <c r="C25" s="97">
        <v>-1.8</v>
      </c>
      <c r="D25" s="97">
        <v>0</v>
      </c>
      <c r="F25" s="113">
        <v>120</v>
      </c>
      <c r="G25" s="112">
        <v>13.2</v>
      </c>
      <c r="H25">
        <v>3.05</v>
      </c>
      <c r="I25" s="112">
        <v>0</v>
      </c>
      <c r="J25" s="112"/>
      <c r="K25" s="113">
        <v>85</v>
      </c>
      <c r="L25">
        <v>8.9</v>
      </c>
      <c r="M25">
        <v>9</v>
      </c>
      <c r="N25" s="112">
        <v>0</v>
      </c>
    </row>
    <row r="26" spans="1:14">
      <c r="A26" s="97">
        <v>24</v>
      </c>
      <c r="B26" s="97">
        <v>24.75</v>
      </c>
      <c r="C26" s="97">
        <v>-11.3</v>
      </c>
      <c r="D26" s="97">
        <v>0</v>
      </c>
      <c r="F26" s="113">
        <v>121</v>
      </c>
      <c r="G26" s="112">
        <v>13.2</v>
      </c>
      <c r="H26">
        <v>2.2000000000000002</v>
      </c>
      <c r="I26" s="112">
        <v>0</v>
      </c>
      <c r="J26" s="112"/>
      <c r="K26" s="113">
        <v>105</v>
      </c>
      <c r="L26">
        <v>0</v>
      </c>
      <c r="M26">
        <v>8.15</v>
      </c>
      <c r="N26" s="112">
        <v>0</v>
      </c>
    </row>
    <row r="27" spans="1:14">
      <c r="A27" s="97">
        <v>25</v>
      </c>
      <c r="B27" s="97">
        <v>25.25</v>
      </c>
      <c r="C27" s="97">
        <v>-1.8</v>
      </c>
      <c r="D27" s="97">
        <v>0</v>
      </c>
      <c r="F27" s="113">
        <v>122</v>
      </c>
      <c r="G27" s="112">
        <v>13.2</v>
      </c>
      <c r="H27">
        <v>1.35</v>
      </c>
      <c r="I27" s="112">
        <v>0</v>
      </c>
      <c r="J27" s="112"/>
      <c r="K27" s="113">
        <v>106</v>
      </c>
      <c r="L27">
        <v>0</v>
      </c>
      <c r="M27">
        <v>7.3</v>
      </c>
      <c r="N27" s="112">
        <v>0</v>
      </c>
    </row>
    <row r="28" spans="1:14">
      <c r="A28" s="97">
        <v>26</v>
      </c>
      <c r="B28" s="97">
        <v>25.25</v>
      </c>
      <c r="C28" s="97">
        <v>-2.2999999999999998</v>
      </c>
      <c r="D28" s="97">
        <v>0</v>
      </c>
      <c r="F28" s="113">
        <v>82</v>
      </c>
      <c r="G28" s="112">
        <v>13.2</v>
      </c>
      <c r="H28">
        <v>0.5</v>
      </c>
      <c r="I28" s="112">
        <v>0</v>
      </c>
      <c r="J28" s="112"/>
      <c r="K28" s="113">
        <v>107</v>
      </c>
      <c r="L28">
        <v>0</v>
      </c>
      <c r="M28">
        <v>6.45</v>
      </c>
      <c r="N28" s="112">
        <v>0</v>
      </c>
    </row>
    <row r="29" spans="1:14">
      <c r="A29" s="97">
        <v>27</v>
      </c>
      <c r="B29" s="97">
        <v>25.25</v>
      </c>
      <c r="C29" s="97">
        <v>-10.8</v>
      </c>
      <c r="D29" s="97">
        <v>0</v>
      </c>
      <c r="F29" s="113">
        <v>70</v>
      </c>
      <c r="G29" s="112">
        <v>13.2</v>
      </c>
      <c r="H29">
        <v>0</v>
      </c>
      <c r="I29" s="112">
        <v>0</v>
      </c>
      <c r="J29" s="112"/>
      <c r="K29" s="113">
        <v>108</v>
      </c>
      <c r="L29">
        <v>0</v>
      </c>
      <c r="M29">
        <v>5.6</v>
      </c>
      <c r="N29" s="112">
        <v>0</v>
      </c>
    </row>
    <row r="30" spans="1:14">
      <c r="A30" s="97">
        <v>28</v>
      </c>
      <c r="B30" s="97">
        <v>25.25</v>
      </c>
      <c r="C30" s="97">
        <v>-11.3</v>
      </c>
      <c r="D30" s="97">
        <v>0</v>
      </c>
      <c r="F30" s="112"/>
      <c r="G30" s="112"/>
      <c r="H30" s="112"/>
      <c r="I30" s="112"/>
      <c r="J30" s="112"/>
      <c r="K30" s="113">
        <v>109</v>
      </c>
      <c r="L30">
        <v>0</v>
      </c>
      <c r="M30">
        <v>4.75</v>
      </c>
      <c r="N30" s="112">
        <v>0</v>
      </c>
    </row>
    <row r="31" spans="1:14">
      <c r="F31" s="112"/>
      <c r="G31" s="112"/>
      <c r="H31" s="112"/>
      <c r="I31" s="112"/>
      <c r="J31" s="112"/>
      <c r="K31" s="113">
        <v>110</v>
      </c>
      <c r="L31">
        <v>0</v>
      </c>
      <c r="M31">
        <v>3.9</v>
      </c>
      <c r="N31" s="112">
        <v>0</v>
      </c>
    </row>
    <row r="32" spans="1:14">
      <c r="F32" s="112"/>
      <c r="G32" s="112"/>
      <c r="H32" s="112"/>
      <c r="I32" s="112"/>
      <c r="J32" s="112"/>
      <c r="K32" s="113">
        <v>111</v>
      </c>
      <c r="L32">
        <v>0</v>
      </c>
      <c r="M32">
        <v>3.05</v>
      </c>
      <c r="N32" s="112">
        <v>0</v>
      </c>
    </row>
    <row r="33" spans="6:14">
      <c r="F33" s="112"/>
      <c r="G33" s="112"/>
      <c r="H33" s="112"/>
      <c r="I33" s="112"/>
      <c r="J33" s="112"/>
      <c r="K33" s="113">
        <v>112</v>
      </c>
      <c r="L33">
        <v>0</v>
      </c>
      <c r="M33">
        <v>2.2000000000000002</v>
      </c>
      <c r="N33" s="112">
        <v>0</v>
      </c>
    </row>
    <row r="34" spans="6:14">
      <c r="F34" s="112"/>
      <c r="G34" s="112"/>
      <c r="H34" s="112"/>
      <c r="I34" s="112"/>
      <c r="J34" s="112"/>
      <c r="K34" s="113">
        <v>113</v>
      </c>
      <c r="L34">
        <v>0</v>
      </c>
      <c r="M34">
        <v>1.35</v>
      </c>
      <c r="N34" s="112">
        <v>0</v>
      </c>
    </row>
    <row r="35" spans="6:14">
      <c r="F35" s="112"/>
      <c r="G35" s="112"/>
      <c r="H35" s="112"/>
      <c r="I35" s="112"/>
      <c r="J35" s="112"/>
      <c r="K35" s="113">
        <v>80</v>
      </c>
      <c r="L35">
        <v>0</v>
      </c>
      <c r="M35">
        <v>0.5</v>
      </c>
      <c r="N35" s="112">
        <v>0</v>
      </c>
    </row>
    <row r="36" spans="6:14">
      <c r="F36" s="112"/>
      <c r="G36" s="112"/>
      <c r="H36" s="112"/>
      <c r="I36" s="112"/>
      <c r="J36" s="112"/>
      <c r="K36" s="113">
        <v>82</v>
      </c>
      <c r="L36">
        <v>13.2</v>
      </c>
      <c r="M36">
        <v>0.5</v>
      </c>
      <c r="N36" s="112">
        <v>0</v>
      </c>
    </row>
    <row r="37" spans="6:14">
      <c r="F37" s="112"/>
      <c r="G37" s="112"/>
      <c r="H37" s="112"/>
      <c r="I37" s="112"/>
      <c r="J37" s="112"/>
      <c r="K37" s="113">
        <v>84</v>
      </c>
      <c r="L37">
        <v>4.55</v>
      </c>
      <c r="M37">
        <v>0.5</v>
      </c>
      <c r="N37" s="112">
        <v>0</v>
      </c>
    </row>
    <row r="38" spans="6:14">
      <c r="F38" s="112"/>
      <c r="G38" s="112"/>
      <c r="H38" s="112"/>
      <c r="I38" s="112"/>
      <c r="J38" s="112"/>
      <c r="K38" s="113">
        <v>86</v>
      </c>
      <c r="L38">
        <v>8.9</v>
      </c>
      <c r="M38">
        <v>0.5</v>
      </c>
      <c r="N38" s="112">
        <v>0</v>
      </c>
    </row>
    <row r="39" spans="6:14">
      <c r="F39" s="112"/>
      <c r="G39" s="112"/>
      <c r="H39" s="112"/>
      <c r="I39" s="112"/>
      <c r="J39" s="112"/>
      <c r="K39" s="113">
        <v>69</v>
      </c>
      <c r="L39">
        <v>0</v>
      </c>
      <c r="M39">
        <v>0</v>
      </c>
      <c r="N39" s="112">
        <v>0</v>
      </c>
    </row>
    <row r="40" spans="6:14">
      <c r="F40" s="112"/>
      <c r="G40" s="112"/>
      <c r="H40" s="112"/>
      <c r="I40" s="112"/>
      <c r="J40" s="112"/>
      <c r="K40" s="113">
        <v>70</v>
      </c>
      <c r="L40">
        <v>13.2</v>
      </c>
      <c r="M40">
        <v>0</v>
      </c>
      <c r="N40" s="112">
        <v>0</v>
      </c>
    </row>
    <row r="41" spans="6:14">
      <c r="F41" s="112"/>
      <c r="G41" s="112"/>
      <c r="H41" s="112"/>
      <c r="I41" s="112"/>
      <c r="J41" s="112"/>
      <c r="K41" s="113">
        <v>71</v>
      </c>
      <c r="L41">
        <v>0.5</v>
      </c>
      <c r="M41">
        <v>0</v>
      </c>
      <c r="N41" s="112">
        <v>0</v>
      </c>
    </row>
    <row r="42" spans="6:14">
      <c r="F42" s="112"/>
      <c r="G42" s="112"/>
      <c r="H42" s="112"/>
      <c r="I42" s="112"/>
      <c r="J42" s="112"/>
      <c r="K42" s="113">
        <v>72</v>
      </c>
      <c r="L42">
        <v>4.25</v>
      </c>
      <c r="M42">
        <v>0</v>
      </c>
      <c r="N42" s="112">
        <v>0</v>
      </c>
    </row>
    <row r="43" spans="6:14">
      <c r="F43" s="112"/>
      <c r="G43" s="112"/>
      <c r="H43" s="112"/>
      <c r="I43" s="112"/>
      <c r="J43" s="112"/>
      <c r="K43" s="113">
        <v>73</v>
      </c>
      <c r="L43">
        <v>4.55</v>
      </c>
      <c r="M43">
        <v>0</v>
      </c>
      <c r="N43" s="112">
        <v>0</v>
      </c>
    </row>
    <row r="44" spans="6:14">
      <c r="F44" s="112"/>
      <c r="G44" s="112"/>
      <c r="H44" s="112"/>
      <c r="I44" s="112"/>
      <c r="J44" s="112"/>
      <c r="K44" s="113">
        <v>74</v>
      </c>
      <c r="L44">
        <v>4.8499999999999996</v>
      </c>
      <c r="M44">
        <v>0</v>
      </c>
      <c r="N44" s="112">
        <v>0</v>
      </c>
    </row>
    <row r="45" spans="6:14">
      <c r="F45" s="112"/>
      <c r="G45" s="112"/>
      <c r="H45" s="112"/>
      <c r="I45" s="112"/>
      <c r="J45" s="112"/>
      <c r="K45" s="113">
        <v>75</v>
      </c>
      <c r="L45">
        <v>8.6</v>
      </c>
      <c r="M45">
        <v>0</v>
      </c>
      <c r="N45" s="112">
        <v>0</v>
      </c>
    </row>
    <row r="46" spans="6:14">
      <c r="F46" s="112"/>
      <c r="G46" s="112"/>
      <c r="H46" s="112"/>
      <c r="I46" s="112"/>
      <c r="J46" s="112"/>
      <c r="K46" s="113">
        <v>76</v>
      </c>
      <c r="L46">
        <v>8.9</v>
      </c>
      <c r="M46">
        <v>0</v>
      </c>
      <c r="N46" s="112">
        <v>0</v>
      </c>
    </row>
    <row r="47" spans="6:14">
      <c r="F47" s="112"/>
      <c r="G47" s="112"/>
      <c r="H47" s="112"/>
      <c r="I47" s="112"/>
      <c r="J47" s="112"/>
      <c r="K47" s="113">
        <v>77</v>
      </c>
      <c r="L47">
        <v>9.1999999999999993</v>
      </c>
      <c r="M47">
        <v>0</v>
      </c>
      <c r="N47" s="112">
        <v>0</v>
      </c>
    </row>
    <row r="48" spans="6:14">
      <c r="F48" s="112"/>
      <c r="G48" s="112"/>
      <c r="H48" s="112"/>
      <c r="I48" s="112"/>
      <c r="J48" s="112"/>
      <c r="K48" s="113">
        <v>78</v>
      </c>
      <c r="L48">
        <v>12.7</v>
      </c>
      <c r="M48">
        <v>0</v>
      </c>
      <c r="N48" s="112">
        <v>0</v>
      </c>
    </row>
    <row r="49" spans="1:14">
      <c r="F49" s="112"/>
      <c r="G49" s="112"/>
      <c r="H49" s="112"/>
      <c r="I49" s="112"/>
      <c r="J49" s="112"/>
      <c r="K49" s="113">
        <v>96</v>
      </c>
      <c r="L49">
        <v>1.4375</v>
      </c>
      <c r="M49">
        <v>0</v>
      </c>
      <c r="N49" s="112">
        <v>0</v>
      </c>
    </row>
    <row r="50" spans="1:14">
      <c r="F50" s="112"/>
      <c r="G50" s="112"/>
      <c r="H50" s="112"/>
      <c r="I50" s="112"/>
      <c r="J50" s="112"/>
      <c r="K50" s="113">
        <v>97</v>
      </c>
      <c r="L50">
        <v>2.375</v>
      </c>
      <c r="M50">
        <v>0</v>
      </c>
      <c r="N50" s="112">
        <v>0</v>
      </c>
    </row>
    <row r="51" spans="1:14">
      <c r="F51" s="112"/>
      <c r="G51" s="112"/>
      <c r="H51" s="112"/>
      <c r="I51" s="112"/>
      <c r="J51" s="112"/>
      <c r="K51" s="113">
        <v>98</v>
      </c>
      <c r="L51">
        <v>3.3125</v>
      </c>
      <c r="M51">
        <v>0</v>
      </c>
      <c r="N51" s="112">
        <v>0</v>
      </c>
    </row>
    <row r="52" spans="1:14">
      <c r="F52" s="112"/>
      <c r="G52" s="112"/>
      <c r="H52" s="112"/>
      <c r="I52" s="112"/>
      <c r="J52" s="112"/>
      <c r="K52" s="113">
        <v>99</v>
      </c>
      <c r="L52">
        <v>5.7874999999999996</v>
      </c>
      <c r="M52">
        <v>0</v>
      </c>
      <c r="N52" s="112">
        <v>0</v>
      </c>
    </row>
    <row r="53" spans="1:14">
      <c r="F53" s="112"/>
      <c r="G53" s="112"/>
      <c r="H53" s="112"/>
      <c r="I53" s="112"/>
      <c r="J53" s="112"/>
      <c r="K53" s="113">
        <v>100</v>
      </c>
      <c r="L53">
        <v>6.7249999999999996</v>
      </c>
      <c r="M53">
        <v>0</v>
      </c>
      <c r="N53" s="112">
        <v>0</v>
      </c>
    </row>
    <row r="54" spans="1:14">
      <c r="A54" s="97" t="s">
        <v>322</v>
      </c>
      <c r="B54" s="97" t="s">
        <v>322</v>
      </c>
      <c r="C54" s="97" t="s">
        <v>322</v>
      </c>
      <c r="F54" s="112"/>
      <c r="G54" s="112"/>
      <c r="H54" s="112"/>
      <c r="I54" s="112"/>
      <c r="J54" s="112"/>
      <c r="K54" s="113">
        <v>101</v>
      </c>
      <c r="L54">
        <v>7.6624999999999996</v>
      </c>
      <c r="M54">
        <v>0</v>
      </c>
      <c r="N54" s="112">
        <v>0</v>
      </c>
    </row>
    <row r="55" spans="1:14">
      <c r="F55" s="112"/>
      <c r="G55" s="112"/>
      <c r="H55" s="112"/>
      <c r="I55" s="112"/>
      <c r="J55" s="112"/>
      <c r="K55" s="113">
        <v>102</v>
      </c>
      <c r="L55">
        <v>10.074999999999999</v>
      </c>
      <c r="M55">
        <v>0</v>
      </c>
      <c r="N55" s="112">
        <v>0</v>
      </c>
    </row>
    <row r="56" spans="1:14">
      <c r="F56" s="112"/>
      <c r="G56" s="112"/>
      <c r="H56" s="112"/>
      <c r="I56" s="112"/>
      <c r="J56" s="112"/>
      <c r="K56" s="113">
        <v>103</v>
      </c>
      <c r="L56">
        <v>10.95</v>
      </c>
      <c r="M56">
        <v>0</v>
      </c>
      <c r="N56" s="112">
        <v>0</v>
      </c>
    </row>
    <row r="57" spans="1:14">
      <c r="F57" s="112"/>
      <c r="G57" s="112"/>
      <c r="H57" s="112"/>
      <c r="I57" s="112"/>
      <c r="J57" s="112"/>
      <c r="K57" s="113">
        <v>104</v>
      </c>
      <c r="L57">
        <v>11.824999999999999</v>
      </c>
      <c r="M57">
        <v>0</v>
      </c>
      <c r="N57" s="112">
        <v>0</v>
      </c>
    </row>
    <row r="58" spans="1:14">
      <c r="F58" s="112"/>
      <c r="G58" s="112"/>
      <c r="H58" s="112"/>
      <c r="I58" s="112"/>
      <c r="J58" s="112"/>
      <c r="K58" s="113">
        <v>114</v>
      </c>
      <c r="L58">
        <v>13.2</v>
      </c>
      <c r="M58">
        <v>8.15</v>
      </c>
      <c r="N58" s="112">
        <v>0</v>
      </c>
    </row>
    <row r="59" spans="1:14">
      <c r="F59" s="112"/>
      <c r="G59" s="112"/>
      <c r="H59" s="112"/>
      <c r="I59" s="112"/>
      <c r="J59" s="112"/>
      <c r="K59" s="113">
        <v>115</v>
      </c>
      <c r="L59">
        <v>13.2</v>
      </c>
      <c r="M59">
        <v>7.3</v>
      </c>
      <c r="N59" s="112">
        <v>0</v>
      </c>
    </row>
    <row r="60" spans="1:14">
      <c r="F60" s="112"/>
      <c r="G60" s="112"/>
      <c r="H60" s="112"/>
      <c r="I60" s="112"/>
      <c r="J60" s="112"/>
      <c r="K60" s="113">
        <v>116</v>
      </c>
      <c r="L60">
        <v>13.2</v>
      </c>
      <c r="M60">
        <v>6.45</v>
      </c>
      <c r="N60" s="112">
        <v>0</v>
      </c>
    </row>
    <row r="61" spans="1:14">
      <c r="F61" s="112"/>
      <c r="G61" s="112"/>
      <c r="H61" s="112"/>
      <c r="I61" s="112"/>
      <c r="J61" s="112"/>
      <c r="K61" s="113">
        <v>117</v>
      </c>
      <c r="L61">
        <v>13.2</v>
      </c>
      <c r="M61">
        <v>5.6</v>
      </c>
      <c r="N61" s="112">
        <v>0</v>
      </c>
    </row>
    <row r="62" spans="1:14">
      <c r="F62" s="112"/>
      <c r="G62" s="112"/>
      <c r="H62" s="112"/>
      <c r="I62" s="112"/>
      <c r="J62" s="112"/>
      <c r="K62" s="113">
        <v>118</v>
      </c>
      <c r="L62">
        <v>13.2</v>
      </c>
      <c r="M62">
        <v>4.75</v>
      </c>
      <c r="N62" s="112">
        <v>0</v>
      </c>
    </row>
    <row r="63" spans="1:14">
      <c r="F63" s="112"/>
      <c r="G63" s="112"/>
      <c r="H63" s="112"/>
      <c r="I63" s="112"/>
      <c r="J63" s="112"/>
      <c r="K63" s="113">
        <v>119</v>
      </c>
      <c r="L63">
        <v>13.2</v>
      </c>
      <c r="M63">
        <v>3.9</v>
      </c>
      <c r="N63" s="112">
        <v>0</v>
      </c>
    </row>
    <row r="64" spans="1:14">
      <c r="F64" s="112"/>
      <c r="G64" s="112"/>
      <c r="H64" s="112"/>
      <c r="I64" s="112"/>
      <c r="J64" s="112"/>
      <c r="K64" s="113">
        <v>120</v>
      </c>
      <c r="L64">
        <v>13.2</v>
      </c>
      <c r="M64">
        <v>3.05</v>
      </c>
      <c r="N64" s="112">
        <v>0</v>
      </c>
    </row>
    <row r="65" spans="6:14">
      <c r="F65" s="112"/>
      <c r="G65" s="112"/>
      <c r="H65" s="112"/>
      <c r="I65" s="112"/>
      <c r="J65" s="112"/>
      <c r="K65" s="113">
        <v>121</v>
      </c>
      <c r="L65">
        <v>13.2</v>
      </c>
      <c r="M65">
        <v>2.2000000000000002</v>
      </c>
      <c r="N65" s="112">
        <v>0</v>
      </c>
    </row>
    <row r="66" spans="6:14">
      <c r="F66" s="112"/>
      <c r="G66" s="112"/>
      <c r="H66" s="112"/>
      <c r="I66" s="112"/>
      <c r="J66" s="112"/>
      <c r="K66" s="113">
        <v>122</v>
      </c>
      <c r="L66">
        <v>13.2</v>
      </c>
      <c r="M66">
        <v>1.35</v>
      </c>
      <c r="N66" s="112">
        <v>0</v>
      </c>
    </row>
    <row r="67" spans="6:14">
      <c r="F67" s="112"/>
      <c r="G67" s="112"/>
      <c r="H67" s="112"/>
      <c r="I67" s="112"/>
      <c r="J67" s="112"/>
      <c r="K67" s="113">
        <v>123</v>
      </c>
      <c r="L67">
        <v>4.55</v>
      </c>
      <c r="M67">
        <v>8.15</v>
      </c>
      <c r="N67" s="112">
        <v>0</v>
      </c>
    </row>
    <row r="68" spans="6:14">
      <c r="F68" s="112"/>
      <c r="G68" s="112"/>
      <c r="H68" s="112"/>
      <c r="I68" s="112"/>
      <c r="J68" s="112"/>
      <c r="K68" s="113">
        <v>124</v>
      </c>
      <c r="L68">
        <v>4.55</v>
      </c>
      <c r="M68">
        <v>7.3</v>
      </c>
      <c r="N68" s="112">
        <v>0</v>
      </c>
    </row>
    <row r="69" spans="6:14">
      <c r="F69" s="112"/>
      <c r="G69" s="112"/>
      <c r="H69" s="112"/>
      <c r="I69" s="112"/>
      <c r="J69" s="112"/>
      <c r="K69" s="113">
        <v>125</v>
      </c>
      <c r="L69">
        <v>4.55</v>
      </c>
      <c r="M69">
        <v>6.45</v>
      </c>
      <c r="N69" s="112">
        <v>0</v>
      </c>
    </row>
    <row r="70" spans="6:14">
      <c r="F70" s="112"/>
      <c r="G70" s="112"/>
      <c r="H70" s="112"/>
      <c r="I70" s="112"/>
      <c r="J70" s="112"/>
      <c r="K70" s="113">
        <v>126</v>
      </c>
      <c r="L70">
        <v>4.55</v>
      </c>
      <c r="M70">
        <v>5.6</v>
      </c>
      <c r="N70" s="112">
        <v>0</v>
      </c>
    </row>
    <row r="71" spans="6:14">
      <c r="F71" s="112"/>
      <c r="G71" s="112"/>
      <c r="H71" s="112"/>
      <c r="I71" s="112"/>
      <c r="J71" s="112"/>
      <c r="K71" s="113">
        <v>127</v>
      </c>
      <c r="L71">
        <v>4.55</v>
      </c>
      <c r="M71">
        <v>4.75</v>
      </c>
      <c r="N71" s="112">
        <v>0</v>
      </c>
    </row>
    <row r="72" spans="6:14">
      <c r="F72" s="112"/>
      <c r="G72" s="112"/>
      <c r="H72" s="112"/>
      <c r="I72" s="112"/>
      <c r="J72" s="112"/>
      <c r="K72" s="113">
        <v>128</v>
      </c>
      <c r="L72">
        <v>4.55</v>
      </c>
      <c r="M72">
        <v>3.9</v>
      </c>
      <c r="N72" s="112">
        <v>0</v>
      </c>
    </row>
    <row r="73" spans="6:14">
      <c r="F73" s="112"/>
      <c r="G73" s="112"/>
      <c r="H73" s="112"/>
      <c r="I73" s="112"/>
      <c r="J73" s="112"/>
      <c r="K73" s="113">
        <v>129</v>
      </c>
      <c r="L73">
        <v>4.55</v>
      </c>
      <c r="M73">
        <v>3.05</v>
      </c>
      <c r="N73" s="112">
        <v>0</v>
      </c>
    </row>
    <row r="74" spans="6:14">
      <c r="F74" s="112"/>
      <c r="G74" s="112"/>
      <c r="H74" s="112"/>
      <c r="I74" s="112"/>
      <c r="J74" s="112"/>
      <c r="K74" s="113">
        <v>130</v>
      </c>
      <c r="L74">
        <v>4.55</v>
      </c>
      <c r="M74">
        <v>2.2000000000000002</v>
      </c>
      <c r="N74" s="112">
        <v>0</v>
      </c>
    </row>
    <row r="75" spans="6:14">
      <c r="F75" s="112"/>
      <c r="G75" s="112"/>
      <c r="H75" s="112"/>
      <c r="I75" s="112"/>
      <c r="J75" s="112"/>
      <c r="K75" s="113">
        <v>131</v>
      </c>
      <c r="L75">
        <v>4.55</v>
      </c>
      <c r="M75">
        <v>1.35</v>
      </c>
      <c r="N75" s="112">
        <v>0</v>
      </c>
    </row>
    <row r="76" spans="6:14">
      <c r="F76" s="112"/>
      <c r="G76" s="112"/>
      <c r="H76" s="112"/>
      <c r="I76" s="112"/>
      <c r="J76" s="112"/>
      <c r="K76" s="113">
        <v>132</v>
      </c>
      <c r="L76">
        <v>8.9</v>
      </c>
      <c r="M76">
        <v>8.15</v>
      </c>
      <c r="N76" s="112">
        <v>0</v>
      </c>
    </row>
    <row r="77" spans="6:14">
      <c r="F77" s="112"/>
      <c r="G77" s="112"/>
      <c r="H77" s="112"/>
      <c r="I77" s="112"/>
      <c r="J77" s="112"/>
      <c r="K77" s="113">
        <v>133</v>
      </c>
      <c r="L77">
        <v>8.9</v>
      </c>
      <c r="M77">
        <v>7.3</v>
      </c>
      <c r="N77" s="112">
        <v>0</v>
      </c>
    </row>
    <row r="78" spans="6:14">
      <c r="F78" s="112"/>
      <c r="G78" s="112"/>
      <c r="H78" s="112"/>
      <c r="I78" s="112"/>
      <c r="J78" s="112"/>
      <c r="K78" s="113">
        <v>134</v>
      </c>
      <c r="L78">
        <v>8.9</v>
      </c>
      <c r="M78">
        <v>6.45</v>
      </c>
      <c r="N78" s="112">
        <v>0</v>
      </c>
    </row>
    <row r="79" spans="6:14">
      <c r="F79" s="112"/>
      <c r="G79" s="112"/>
      <c r="H79" s="112"/>
      <c r="I79" s="112"/>
      <c r="J79" s="112"/>
      <c r="K79" s="113">
        <v>135</v>
      </c>
      <c r="L79">
        <v>8.9</v>
      </c>
      <c r="M79">
        <v>5.6</v>
      </c>
      <c r="N79" s="112">
        <v>0</v>
      </c>
    </row>
    <row r="80" spans="6:14">
      <c r="F80" s="112"/>
      <c r="G80" s="112"/>
      <c r="H80" s="112"/>
      <c r="I80" s="112"/>
      <c r="J80" s="112"/>
      <c r="K80" s="113">
        <v>136</v>
      </c>
      <c r="L80">
        <v>8.9</v>
      </c>
      <c r="M80">
        <v>4.75</v>
      </c>
      <c r="N80" s="112">
        <v>0</v>
      </c>
    </row>
    <row r="81" spans="6:14">
      <c r="F81" s="112"/>
      <c r="G81" s="112"/>
      <c r="H81" s="112"/>
      <c r="I81" s="112"/>
      <c r="J81" s="112"/>
      <c r="K81" s="113">
        <v>137</v>
      </c>
      <c r="L81">
        <v>8.9</v>
      </c>
      <c r="M81">
        <v>3.9</v>
      </c>
      <c r="N81" s="112">
        <v>0</v>
      </c>
    </row>
    <row r="82" spans="6:14">
      <c r="F82" s="112"/>
      <c r="G82" s="112"/>
      <c r="H82" s="112"/>
      <c r="I82" s="112"/>
      <c r="J82" s="112"/>
      <c r="K82" s="113">
        <v>138</v>
      </c>
      <c r="L82">
        <v>8.9</v>
      </c>
      <c r="M82">
        <v>3.05</v>
      </c>
      <c r="N82" s="112">
        <v>0</v>
      </c>
    </row>
    <row r="83" spans="6:14">
      <c r="F83" s="112"/>
      <c r="G83" s="112"/>
      <c r="H83" s="112"/>
      <c r="I83" s="112"/>
      <c r="J83" s="112"/>
      <c r="K83" s="113">
        <v>139</v>
      </c>
      <c r="L83">
        <v>8.9</v>
      </c>
      <c r="M83">
        <v>2.2000000000000002</v>
      </c>
      <c r="N83" s="112"/>
    </row>
    <row r="84" spans="6:14">
      <c r="F84" s="112"/>
      <c r="G84" s="112"/>
      <c r="H84" s="112"/>
      <c r="I84" s="112"/>
      <c r="J84" s="112"/>
      <c r="K84" s="113">
        <v>140</v>
      </c>
      <c r="L84">
        <v>8.9</v>
      </c>
      <c r="M84">
        <v>1.35</v>
      </c>
      <c r="N84" s="112"/>
    </row>
    <row r="85" spans="6:14">
      <c r="F85" s="112"/>
      <c r="G85" s="112"/>
      <c r="H85" s="112"/>
      <c r="I85" s="112"/>
      <c r="J85" s="112"/>
      <c r="K85" s="112"/>
      <c r="L85" s="112"/>
      <c r="M85" s="112"/>
      <c r="N85" s="112"/>
    </row>
    <row r="86" spans="6:14">
      <c r="F86" s="112">
        <v>83</v>
      </c>
      <c r="G86" s="112">
        <v>23.787500000000001</v>
      </c>
      <c r="H86" s="112">
        <v>-1.8</v>
      </c>
      <c r="I86" s="112">
        <v>0</v>
      </c>
      <c r="J86" s="112"/>
      <c r="K86" s="112"/>
      <c r="L86" s="112"/>
      <c r="M86" s="112"/>
      <c r="N86" s="112"/>
    </row>
    <row r="87" spans="6:14">
      <c r="F87" s="112">
        <v>84</v>
      </c>
      <c r="G87" s="112">
        <v>24.75</v>
      </c>
      <c r="H87" s="112">
        <v>-1.8</v>
      </c>
      <c r="I87" s="112">
        <v>0</v>
      </c>
      <c r="J87" s="112"/>
      <c r="K87" s="112"/>
      <c r="L87" s="112"/>
      <c r="M87" s="112"/>
      <c r="N87" s="112"/>
    </row>
    <row r="88" spans="6:14">
      <c r="F88" s="112">
        <v>85</v>
      </c>
      <c r="G88" s="112">
        <v>17.05</v>
      </c>
      <c r="H88" s="112">
        <v>-11.3</v>
      </c>
      <c r="I88" s="112">
        <v>0</v>
      </c>
      <c r="J88" s="112"/>
      <c r="K88" s="112"/>
      <c r="L88" s="112"/>
      <c r="M88" s="112"/>
      <c r="N88" s="112"/>
    </row>
    <row r="89" spans="6:14">
      <c r="F89" s="112">
        <v>86</v>
      </c>
      <c r="G89" s="112">
        <v>18.012499999999999</v>
      </c>
      <c r="H89" s="112">
        <v>-11.3</v>
      </c>
      <c r="I89" s="112">
        <v>0</v>
      </c>
      <c r="J89" s="112"/>
      <c r="K89" s="112"/>
      <c r="L89" s="112"/>
      <c r="M89" s="112"/>
      <c r="N89" s="112"/>
    </row>
    <row r="90" spans="6:14">
      <c r="F90" s="112">
        <v>87</v>
      </c>
      <c r="G90" s="112">
        <v>18.975000000000001</v>
      </c>
      <c r="H90" s="112">
        <v>-11.3</v>
      </c>
      <c r="I90" s="112">
        <v>0</v>
      </c>
      <c r="J90" s="112"/>
      <c r="K90" s="112"/>
      <c r="L90" s="112"/>
      <c r="M90" s="112"/>
      <c r="N90" s="112"/>
    </row>
    <row r="91" spans="6:14">
      <c r="F91" s="112">
        <v>88</v>
      </c>
      <c r="G91" s="112">
        <v>19.9375</v>
      </c>
      <c r="H91" s="112">
        <v>-11.3</v>
      </c>
      <c r="I91" s="112">
        <v>0</v>
      </c>
      <c r="J91" s="112"/>
      <c r="K91" s="112"/>
      <c r="L91" s="112"/>
      <c r="M91" s="112"/>
      <c r="N91" s="112"/>
    </row>
    <row r="92" spans="6:14">
      <c r="F92" s="112">
        <v>89</v>
      </c>
      <c r="G92" s="112">
        <v>20.9</v>
      </c>
      <c r="H92" s="112">
        <v>-11.3</v>
      </c>
      <c r="I92" s="112">
        <v>0</v>
      </c>
      <c r="J92" s="112"/>
      <c r="K92" s="112"/>
      <c r="L92" s="112"/>
      <c r="M92" s="112"/>
      <c r="N92" s="112"/>
    </row>
    <row r="93" spans="6:14">
      <c r="F93" s="112">
        <v>90</v>
      </c>
      <c r="G93" s="112">
        <v>21.862500000000001</v>
      </c>
      <c r="H93" s="112">
        <v>-11.3</v>
      </c>
      <c r="I93" s="112">
        <v>0</v>
      </c>
      <c r="J93" s="112"/>
      <c r="K93" s="112"/>
      <c r="L93" s="112"/>
      <c r="M93" s="112"/>
      <c r="N93" s="112"/>
    </row>
    <row r="94" spans="6:14">
      <c r="F94" s="112">
        <v>91</v>
      </c>
      <c r="G94" s="112">
        <v>22.824999999999999</v>
      </c>
      <c r="H94" s="112">
        <v>-11.3</v>
      </c>
      <c r="I94" s="112">
        <v>0</v>
      </c>
      <c r="J94" s="112"/>
      <c r="K94" s="112"/>
      <c r="L94" s="112"/>
      <c r="M94" s="112"/>
      <c r="N94" s="112"/>
    </row>
    <row r="95" spans="6:14">
      <c r="F95" s="112">
        <v>92</v>
      </c>
      <c r="G95" s="112">
        <v>23.787500000000001</v>
      </c>
      <c r="H95" s="112">
        <v>-11.3</v>
      </c>
      <c r="I95" s="112">
        <v>0</v>
      </c>
      <c r="J95" s="112"/>
      <c r="K95" s="112"/>
      <c r="L95" s="112"/>
      <c r="M95" s="112"/>
      <c r="N95" s="112"/>
    </row>
    <row r="96" spans="6:14">
      <c r="F96" s="112">
        <v>93</v>
      </c>
      <c r="G96" s="112">
        <v>24.75</v>
      </c>
      <c r="H96" s="112">
        <v>-11.3</v>
      </c>
      <c r="I96" s="112">
        <v>0</v>
      </c>
      <c r="J96" s="112"/>
      <c r="K96" s="112"/>
      <c r="L96" s="112"/>
      <c r="M96" s="112"/>
      <c r="N96" s="112"/>
    </row>
    <row r="97" spans="6:14">
      <c r="F97" s="112">
        <v>94</v>
      </c>
      <c r="G97" s="112">
        <v>25.25</v>
      </c>
      <c r="H97" s="112">
        <v>-1.8</v>
      </c>
      <c r="I97" s="112">
        <v>0</v>
      </c>
      <c r="J97" s="112"/>
      <c r="K97" s="112"/>
      <c r="L97" s="112"/>
      <c r="M97" s="112"/>
      <c r="N97" s="112"/>
    </row>
    <row r="98" spans="6:14">
      <c r="F98" s="112">
        <v>95</v>
      </c>
      <c r="G98" s="112">
        <v>25.25</v>
      </c>
      <c r="H98" s="112">
        <v>-2.2999999999999998</v>
      </c>
      <c r="I98" s="112">
        <v>0</v>
      </c>
      <c r="J98" s="112"/>
      <c r="K98" s="112"/>
      <c r="L98" s="112"/>
      <c r="M98" s="112"/>
      <c r="N98" s="112"/>
    </row>
    <row r="99" spans="6:14">
      <c r="F99" s="112">
        <v>96</v>
      </c>
      <c r="G99" s="112">
        <v>25.25</v>
      </c>
      <c r="H99" s="112">
        <v>-3.15</v>
      </c>
      <c r="I99" s="112">
        <v>0</v>
      </c>
      <c r="J99" s="112"/>
      <c r="K99" s="112"/>
      <c r="L99" s="112"/>
      <c r="M99" s="112"/>
      <c r="N99" s="112"/>
    </row>
    <row r="100" spans="6:14">
      <c r="F100" s="112">
        <v>97</v>
      </c>
      <c r="G100" s="112">
        <v>25.25</v>
      </c>
      <c r="H100" s="112">
        <v>-4</v>
      </c>
      <c r="I100" s="112">
        <v>0</v>
      </c>
      <c r="J100" s="112"/>
      <c r="K100" s="112"/>
      <c r="L100" s="112"/>
      <c r="M100" s="112"/>
      <c r="N100" s="112"/>
    </row>
    <row r="101" spans="6:14">
      <c r="F101" s="112">
        <v>98</v>
      </c>
      <c r="G101" s="112">
        <v>25.25</v>
      </c>
      <c r="H101" s="112">
        <v>-4.8499999999999996</v>
      </c>
      <c r="I101" s="112">
        <v>0</v>
      </c>
      <c r="J101" s="112"/>
      <c r="K101" s="112"/>
      <c r="L101" s="112"/>
      <c r="M101" s="112"/>
      <c r="N101" s="112"/>
    </row>
    <row r="102" spans="6:14">
      <c r="F102" s="112">
        <v>99</v>
      </c>
      <c r="G102" s="112">
        <v>25.25</v>
      </c>
      <c r="H102" s="112">
        <v>-5.7</v>
      </c>
      <c r="I102" s="112">
        <v>0</v>
      </c>
      <c r="J102" s="112"/>
      <c r="K102" s="112"/>
      <c r="L102" s="112"/>
      <c r="M102" s="112"/>
      <c r="N102" s="112"/>
    </row>
    <row r="103" spans="6:14">
      <c r="F103" s="112">
        <v>100</v>
      </c>
      <c r="G103" s="112">
        <v>25.25</v>
      </c>
      <c r="H103" s="112">
        <v>-6.55</v>
      </c>
      <c r="I103" s="112">
        <v>0</v>
      </c>
      <c r="J103" s="112"/>
      <c r="K103" s="112"/>
      <c r="L103" s="112"/>
      <c r="M103" s="112"/>
      <c r="N103" s="112"/>
    </row>
    <row r="104" spans="6:14">
      <c r="F104" s="112">
        <v>101</v>
      </c>
      <c r="G104" s="112">
        <v>25.25</v>
      </c>
      <c r="H104" s="112">
        <v>-7.4</v>
      </c>
      <c r="I104" s="112">
        <v>0</v>
      </c>
      <c r="J104" s="112"/>
      <c r="K104" s="112"/>
      <c r="L104" s="112"/>
      <c r="M104" s="112"/>
      <c r="N104" s="112"/>
    </row>
    <row r="105" spans="6:14">
      <c r="F105" s="112">
        <v>102</v>
      </c>
      <c r="G105" s="112">
        <v>25.25</v>
      </c>
      <c r="H105" s="112">
        <v>-8.25</v>
      </c>
      <c r="I105" s="112">
        <v>0</v>
      </c>
      <c r="J105" s="112"/>
      <c r="K105" s="112"/>
      <c r="L105" s="112"/>
      <c r="M105" s="112"/>
      <c r="N105" s="112"/>
    </row>
    <row r="106" spans="6:14">
      <c r="F106" s="112">
        <v>103</v>
      </c>
      <c r="G106" s="112">
        <v>25.25</v>
      </c>
      <c r="H106" s="112">
        <v>-9.1</v>
      </c>
      <c r="I106" s="112">
        <v>0</v>
      </c>
      <c r="J106" s="112"/>
      <c r="K106" s="112"/>
      <c r="L106" s="112"/>
      <c r="M106" s="112"/>
      <c r="N106" s="112"/>
    </row>
    <row r="107" spans="6:14">
      <c r="F107" s="112">
        <v>104</v>
      </c>
      <c r="G107" s="112">
        <v>25.25</v>
      </c>
      <c r="H107" s="112">
        <v>-9.9499999999999993</v>
      </c>
      <c r="I107" s="112">
        <v>0</v>
      </c>
      <c r="J107" s="112"/>
      <c r="K107" s="112"/>
      <c r="L107" s="112"/>
      <c r="M107" s="112"/>
      <c r="N107" s="112"/>
    </row>
    <row r="108" spans="6:14">
      <c r="F108" s="112">
        <v>105</v>
      </c>
      <c r="G108" s="112">
        <v>25.25</v>
      </c>
      <c r="H108" s="112">
        <v>-10.8</v>
      </c>
      <c r="I108" s="112">
        <v>0</v>
      </c>
      <c r="J108" s="112"/>
      <c r="K108" s="112"/>
      <c r="L108" s="112"/>
      <c r="M108" s="112"/>
      <c r="N108" s="112"/>
    </row>
    <row r="109" spans="6:14">
      <c r="F109" s="112">
        <v>106</v>
      </c>
      <c r="G109" s="112">
        <v>25.25</v>
      </c>
      <c r="H109" s="112">
        <v>-11.3</v>
      </c>
      <c r="I109" s="112">
        <v>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B0BB-1C36-48C8-B4FF-030FD1163528}">
  <dimension ref="A1:L69"/>
  <sheetViews>
    <sheetView workbookViewId="0"/>
  </sheetViews>
  <sheetFormatPr defaultColWidth="8.77734375" defaultRowHeight="14.4"/>
  <cols>
    <col min="1" max="16384" width="8.77734375" style="367"/>
  </cols>
  <sheetData>
    <row r="1" spans="1:12">
      <c r="A1" s="364" t="s">
        <v>367</v>
      </c>
      <c r="B1" s="365"/>
      <c r="C1" s="365"/>
      <c r="D1" s="365"/>
      <c r="E1" s="365"/>
      <c r="F1" s="365"/>
      <c r="G1" s="366"/>
      <c r="H1" s="366"/>
      <c r="I1" s="366"/>
      <c r="J1" s="366"/>
      <c r="K1" s="366"/>
      <c r="L1" s="366"/>
    </row>
    <row r="2" spans="1:12">
      <c r="A2" s="368" t="s">
        <v>368</v>
      </c>
      <c r="B2" s="368" t="s">
        <v>369</v>
      </c>
      <c r="C2" s="368" t="s">
        <v>370</v>
      </c>
      <c r="D2" s="368" t="s">
        <v>371</v>
      </c>
      <c r="E2" s="368" t="s">
        <v>372</v>
      </c>
      <c r="F2" s="368" t="s">
        <v>373</v>
      </c>
      <c r="G2" s="369" t="s">
        <v>374</v>
      </c>
      <c r="H2" s="369" t="s">
        <v>375</v>
      </c>
      <c r="I2" s="369" t="s">
        <v>376</v>
      </c>
      <c r="J2" s="369" t="s">
        <v>377</v>
      </c>
      <c r="K2" s="369" t="s">
        <v>378</v>
      </c>
      <c r="L2" s="369" t="s">
        <v>379</v>
      </c>
    </row>
    <row r="3" spans="1:12">
      <c r="A3" s="370" t="s">
        <v>380</v>
      </c>
      <c r="B3" s="370" t="s">
        <v>380</v>
      </c>
      <c r="C3" s="370" t="s">
        <v>380</v>
      </c>
      <c r="D3" s="370" t="s">
        <v>380</v>
      </c>
      <c r="E3" s="370" t="s">
        <v>380</v>
      </c>
      <c r="F3" s="370" t="s">
        <v>380</v>
      </c>
      <c r="G3" s="371"/>
      <c r="H3" s="371"/>
      <c r="I3" s="371" t="s">
        <v>107</v>
      </c>
      <c r="J3" s="371" t="s">
        <v>107</v>
      </c>
      <c r="K3" s="371" t="s">
        <v>381</v>
      </c>
      <c r="L3" s="371" t="s">
        <v>381</v>
      </c>
    </row>
    <row r="4" spans="1:12">
      <c r="A4" s="372" t="s">
        <v>382</v>
      </c>
      <c r="B4" s="372" t="s">
        <v>383</v>
      </c>
      <c r="C4" s="372" t="s">
        <v>384</v>
      </c>
      <c r="D4" s="372" t="s">
        <v>385</v>
      </c>
      <c r="E4" s="372" t="s">
        <v>325</v>
      </c>
      <c r="F4" s="372" t="s">
        <v>386</v>
      </c>
      <c r="G4" s="367">
        <v>0</v>
      </c>
      <c r="H4" s="367">
        <v>1</v>
      </c>
      <c r="I4" s="367">
        <v>0</v>
      </c>
      <c r="J4" s="367">
        <v>500</v>
      </c>
      <c r="K4" s="367">
        <v>-3</v>
      </c>
      <c r="L4" s="367">
        <v>-3</v>
      </c>
    </row>
    <row r="5" spans="1:12">
      <c r="A5" s="372" t="s">
        <v>387</v>
      </c>
      <c r="B5" s="372" t="s">
        <v>383</v>
      </c>
      <c r="C5" s="372" t="s">
        <v>384</v>
      </c>
      <c r="D5" s="372" t="s">
        <v>385</v>
      </c>
      <c r="E5" s="372" t="s">
        <v>325</v>
      </c>
      <c r="F5" s="372" t="s">
        <v>386</v>
      </c>
      <c r="G5" s="367">
        <v>0</v>
      </c>
      <c r="H5" s="367">
        <v>1</v>
      </c>
      <c r="I5" s="367">
        <v>0</v>
      </c>
      <c r="J5" s="367">
        <v>300</v>
      </c>
      <c r="K5" s="367">
        <v>-3</v>
      </c>
      <c r="L5" s="367">
        <v>-3</v>
      </c>
    </row>
    <row r="6" spans="1:12">
      <c r="A6" s="372" t="s">
        <v>388</v>
      </c>
      <c r="B6" s="372" t="s">
        <v>383</v>
      </c>
      <c r="C6" s="372" t="s">
        <v>384</v>
      </c>
      <c r="D6" s="372" t="s">
        <v>385</v>
      </c>
      <c r="E6" s="372" t="s">
        <v>325</v>
      </c>
      <c r="F6" s="372" t="s">
        <v>386</v>
      </c>
      <c r="G6" s="367">
        <v>0</v>
      </c>
      <c r="H6" s="367">
        <v>1</v>
      </c>
      <c r="I6" s="367">
        <v>0</v>
      </c>
      <c r="J6" s="367">
        <v>300</v>
      </c>
      <c r="K6" s="367">
        <v>-3</v>
      </c>
      <c r="L6" s="367">
        <v>-3</v>
      </c>
    </row>
    <row r="7" spans="1:12">
      <c r="A7" s="372" t="s">
        <v>383</v>
      </c>
      <c r="B7" s="372" t="s">
        <v>383</v>
      </c>
      <c r="C7" s="372" t="s">
        <v>384</v>
      </c>
      <c r="D7" s="372" t="s">
        <v>385</v>
      </c>
      <c r="E7" s="372" t="s">
        <v>325</v>
      </c>
      <c r="F7" s="372" t="s">
        <v>386</v>
      </c>
      <c r="G7" s="367">
        <v>0</v>
      </c>
      <c r="H7" s="367">
        <v>1</v>
      </c>
      <c r="I7" s="367">
        <v>0</v>
      </c>
      <c r="J7" s="367">
        <v>300</v>
      </c>
      <c r="K7" s="367">
        <v>-3</v>
      </c>
      <c r="L7" s="367">
        <v>-3</v>
      </c>
    </row>
    <row r="8" spans="1:12">
      <c r="A8" s="372" t="s">
        <v>389</v>
      </c>
      <c r="B8" s="372" t="s">
        <v>383</v>
      </c>
      <c r="C8" s="372" t="s">
        <v>384</v>
      </c>
      <c r="D8" s="372" t="s">
        <v>385</v>
      </c>
      <c r="E8" s="372" t="s">
        <v>325</v>
      </c>
      <c r="F8" s="372" t="s">
        <v>386</v>
      </c>
      <c r="G8" s="367">
        <v>0</v>
      </c>
      <c r="H8" s="367">
        <v>1</v>
      </c>
      <c r="I8" s="367">
        <v>0</v>
      </c>
      <c r="J8" s="367">
        <v>300</v>
      </c>
      <c r="K8" s="367">
        <v>-3</v>
      </c>
      <c r="L8" s="367">
        <v>-3</v>
      </c>
    </row>
    <row r="9" spans="1:12">
      <c r="A9" s="372" t="s">
        <v>390</v>
      </c>
      <c r="B9" s="372" t="s">
        <v>383</v>
      </c>
      <c r="C9" s="372" t="s">
        <v>384</v>
      </c>
      <c r="D9" s="372" t="s">
        <v>385</v>
      </c>
      <c r="E9" s="372" t="s">
        <v>325</v>
      </c>
      <c r="F9" s="372" t="s">
        <v>386</v>
      </c>
      <c r="G9" s="367">
        <v>0</v>
      </c>
      <c r="H9" s="367">
        <v>1</v>
      </c>
      <c r="I9" s="367">
        <v>0</v>
      </c>
      <c r="J9" s="367">
        <v>500</v>
      </c>
      <c r="K9" s="367">
        <v>-3</v>
      </c>
      <c r="L9" s="367">
        <v>-3</v>
      </c>
    </row>
    <row r="10" spans="1:12">
      <c r="A10" s="372" t="s">
        <v>391</v>
      </c>
      <c r="B10" s="372" t="s">
        <v>383</v>
      </c>
      <c r="C10" s="372" t="s">
        <v>384</v>
      </c>
      <c r="D10" s="372" t="s">
        <v>385</v>
      </c>
      <c r="E10" s="372" t="s">
        <v>325</v>
      </c>
      <c r="F10" s="372" t="s">
        <v>386</v>
      </c>
      <c r="G10" s="367">
        <v>0</v>
      </c>
      <c r="H10" s="367">
        <v>1</v>
      </c>
      <c r="I10" s="367">
        <v>0</v>
      </c>
      <c r="J10" s="367">
        <v>500</v>
      </c>
      <c r="K10" s="367">
        <v>3</v>
      </c>
      <c r="L10" s="367">
        <v>3</v>
      </c>
    </row>
    <row r="11" spans="1:12">
      <c r="A11" s="372" t="s">
        <v>392</v>
      </c>
      <c r="B11" s="372" t="s">
        <v>383</v>
      </c>
      <c r="C11" s="372" t="s">
        <v>384</v>
      </c>
      <c r="D11" s="372" t="s">
        <v>385</v>
      </c>
      <c r="E11" s="372" t="s">
        <v>325</v>
      </c>
      <c r="F11" s="372" t="s">
        <v>386</v>
      </c>
      <c r="G11" s="367">
        <v>0</v>
      </c>
      <c r="H11" s="367">
        <v>1</v>
      </c>
      <c r="I11" s="367">
        <v>0</v>
      </c>
      <c r="J11" s="367">
        <v>300</v>
      </c>
      <c r="K11" s="367">
        <v>3</v>
      </c>
      <c r="L11" s="367">
        <v>3</v>
      </c>
    </row>
    <row r="12" spans="1:12">
      <c r="A12" s="372" t="s">
        <v>393</v>
      </c>
      <c r="B12" s="372" t="s">
        <v>383</v>
      </c>
      <c r="C12" s="372" t="s">
        <v>384</v>
      </c>
      <c r="D12" s="372" t="s">
        <v>385</v>
      </c>
      <c r="E12" s="372" t="s">
        <v>325</v>
      </c>
      <c r="F12" s="372" t="s">
        <v>386</v>
      </c>
      <c r="G12" s="367">
        <v>0</v>
      </c>
      <c r="H12" s="367">
        <v>1</v>
      </c>
      <c r="I12" s="367">
        <v>0</v>
      </c>
      <c r="J12" s="367">
        <v>300</v>
      </c>
      <c r="K12" s="367">
        <v>3</v>
      </c>
      <c r="L12" s="367">
        <v>3</v>
      </c>
    </row>
    <row r="13" spans="1:12">
      <c r="A13" s="372" t="s">
        <v>394</v>
      </c>
      <c r="B13" s="372" t="s">
        <v>383</v>
      </c>
      <c r="C13" s="372" t="s">
        <v>384</v>
      </c>
      <c r="D13" s="372" t="s">
        <v>385</v>
      </c>
      <c r="E13" s="372" t="s">
        <v>325</v>
      </c>
      <c r="F13" s="372" t="s">
        <v>386</v>
      </c>
      <c r="G13" s="367">
        <v>0</v>
      </c>
      <c r="H13" s="367">
        <v>1</v>
      </c>
      <c r="I13" s="367">
        <v>0</v>
      </c>
      <c r="J13" s="367">
        <v>300</v>
      </c>
      <c r="K13" s="367">
        <v>3</v>
      </c>
      <c r="L13" s="367">
        <v>3</v>
      </c>
    </row>
    <row r="14" spans="1:12">
      <c r="A14" s="372" t="s">
        <v>395</v>
      </c>
      <c r="B14" s="372" t="s">
        <v>383</v>
      </c>
      <c r="C14" s="372" t="s">
        <v>384</v>
      </c>
      <c r="D14" s="372" t="s">
        <v>385</v>
      </c>
      <c r="E14" s="372" t="s">
        <v>325</v>
      </c>
      <c r="F14" s="372" t="s">
        <v>386</v>
      </c>
      <c r="G14" s="367">
        <v>0</v>
      </c>
      <c r="H14" s="367">
        <v>1</v>
      </c>
      <c r="I14" s="367">
        <v>0</v>
      </c>
      <c r="J14" s="367">
        <v>300</v>
      </c>
      <c r="K14" s="367">
        <v>3</v>
      </c>
      <c r="L14" s="367">
        <v>3</v>
      </c>
    </row>
    <row r="15" spans="1:12">
      <c r="A15" s="372" t="s">
        <v>396</v>
      </c>
      <c r="B15" s="372" t="s">
        <v>383</v>
      </c>
      <c r="C15" s="372" t="s">
        <v>384</v>
      </c>
      <c r="D15" s="372" t="s">
        <v>385</v>
      </c>
      <c r="E15" s="372" t="s">
        <v>325</v>
      </c>
      <c r="F15" s="372" t="s">
        <v>386</v>
      </c>
      <c r="G15" s="367">
        <v>0</v>
      </c>
      <c r="H15" s="367">
        <v>1</v>
      </c>
      <c r="I15" s="367">
        <v>0</v>
      </c>
      <c r="J15" s="367">
        <v>500</v>
      </c>
      <c r="K15" s="367">
        <v>3</v>
      </c>
      <c r="L15" s="367">
        <v>3</v>
      </c>
    </row>
    <row r="16" spans="1:12">
      <c r="A16" s="372" t="s">
        <v>397</v>
      </c>
      <c r="B16" s="372" t="s">
        <v>383</v>
      </c>
      <c r="C16" s="372" t="s">
        <v>384</v>
      </c>
      <c r="D16" s="372" t="s">
        <v>385</v>
      </c>
      <c r="E16" s="372" t="s">
        <v>323</v>
      </c>
      <c r="F16" s="372" t="s">
        <v>386</v>
      </c>
      <c r="G16" s="367">
        <v>0</v>
      </c>
      <c r="H16" s="367">
        <v>1</v>
      </c>
      <c r="I16" s="367">
        <v>0</v>
      </c>
      <c r="J16" s="367">
        <v>500</v>
      </c>
      <c r="K16" s="367">
        <v>3</v>
      </c>
      <c r="L16" s="367">
        <v>3</v>
      </c>
    </row>
    <row r="17" spans="1:12">
      <c r="A17" s="372" t="s">
        <v>398</v>
      </c>
      <c r="B17" s="372" t="s">
        <v>383</v>
      </c>
      <c r="C17" s="372" t="s">
        <v>384</v>
      </c>
      <c r="D17" s="372" t="s">
        <v>385</v>
      </c>
      <c r="E17" s="372" t="s">
        <v>323</v>
      </c>
      <c r="F17" s="372" t="s">
        <v>386</v>
      </c>
      <c r="G17" s="367">
        <v>0</v>
      </c>
      <c r="H17" s="367">
        <v>1</v>
      </c>
      <c r="I17" s="367">
        <v>0</v>
      </c>
      <c r="J17" s="367">
        <v>500</v>
      </c>
      <c r="K17" s="367">
        <v>3</v>
      </c>
      <c r="L17" s="367">
        <v>3</v>
      </c>
    </row>
    <row r="18" spans="1:12">
      <c r="A18" s="372" t="s">
        <v>399</v>
      </c>
      <c r="B18" s="372" t="s">
        <v>383</v>
      </c>
      <c r="C18" s="372" t="s">
        <v>384</v>
      </c>
      <c r="D18" s="372" t="s">
        <v>385</v>
      </c>
      <c r="E18" s="372" t="s">
        <v>323</v>
      </c>
      <c r="F18" s="372" t="s">
        <v>386</v>
      </c>
      <c r="G18" s="367">
        <v>0</v>
      </c>
      <c r="H18" s="367">
        <v>1</v>
      </c>
      <c r="I18" s="367">
        <v>0</v>
      </c>
      <c r="J18" s="367">
        <v>500</v>
      </c>
      <c r="K18" s="367">
        <v>-3</v>
      </c>
      <c r="L18" s="367">
        <v>-3</v>
      </c>
    </row>
    <row r="19" spans="1:12">
      <c r="A19" s="372" t="s">
        <v>400</v>
      </c>
      <c r="B19" s="372" t="s">
        <v>383</v>
      </c>
      <c r="C19" s="372" t="s">
        <v>384</v>
      </c>
      <c r="D19" s="372" t="s">
        <v>385</v>
      </c>
      <c r="E19" s="372" t="s">
        <v>323</v>
      </c>
      <c r="F19" s="372" t="s">
        <v>386</v>
      </c>
      <c r="G19" s="367">
        <v>0</v>
      </c>
      <c r="H19" s="367">
        <v>1</v>
      </c>
      <c r="I19" s="367">
        <v>0</v>
      </c>
      <c r="J19" s="367">
        <v>500</v>
      </c>
      <c r="K19" s="367">
        <v>-3</v>
      </c>
      <c r="L19" s="367">
        <v>-3</v>
      </c>
    </row>
    <row r="20" spans="1:12">
      <c r="A20" s="372" t="s">
        <v>401</v>
      </c>
      <c r="B20" s="372" t="s">
        <v>383</v>
      </c>
      <c r="C20" s="372" t="s">
        <v>384</v>
      </c>
      <c r="D20" s="372" t="s">
        <v>385</v>
      </c>
      <c r="E20" s="372" t="s">
        <v>325</v>
      </c>
      <c r="F20" s="372" t="s">
        <v>386</v>
      </c>
      <c r="G20" s="367">
        <v>0</v>
      </c>
      <c r="H20" s="367">
        <v>1</v>
      </c>
      <c r="I20" s="367">
        <v>0</v>
      </c>
      <c r="J20" s="367">
        <v>937.5</v>
      </c>
      <c r="K20" s="367">
        <v>-3</v>
      </c>
      <c r="L20" s="367">
        <v>-3</v>
      </c>
    </row>
    <row r="21" spans="1:12">
      <c r="A21" s="372" t="s">
        <v>402</v>
      </c>
      <c r="B21" s="372" t="s">
        <v>383</v>
      </c>
      <c r="C21" s="372" t="s">
        <v>384</v>
      </c>
      <c r="D21" s="372" t="s">
        <v>385</v>
      </c>
      <c r="E21" s="372" t="s">
        <v>325</v>
      </c>
      <c r="F21" s="372" t="s">
        <v>386</v>
      </c>
      <c r="G21" s="367">
        <v>0</v>
      </c>
      <c r="H21" s="367">
        <v>1</v>
      </c>
      <c r="I21" s="367">
        <v>0</v>
      </c>
      <c r="J21" s="367">
        <v>937.5</v>
      </c>
      <c r="K21" s="367">
        <v>-3</v>
      </c>
      <c r="L21" s="367">
        <v>-3</v>
      </c>
    </row>
    <row r="22" spans="1:12">
      <c r="A22" s="372" t="s">
        <v>403</v>
      </c>
      <c r="B22" s="372" t="s">
        <v>383</v>
      </c>
      <c r="C22" s="372" t="s">
        <v>384</v>
      </c>
      <c r="D22" s="372" t="s">
        <v>385</v>
      </c>
      <c r="E22" s="372" t="s">
        <v>325</v>
      </c>
      <c r="F22" s="372" t="s">
        <v>386</v>
      </c>
      <c r="G22" s="367">
        <v>0</v>
      </c>
      <c r="H22" s="367">
        <v>1</v>
      </c>
      <c r="I22" s="367">
        <v>0</v>
      </c>
      <c r="J22" s="367">
        <v>937.5</v>
      </c>
      <c r="K22" s="367">
        <v>-3</v>
      </c>
      <c r="L22" s="367">
        <v>-3</v>
      </c>
    </row>
    <row r="23" spans="1:12">
      <c r="A23" s="372" t="s">
        <v>404</v>
      </c>
      <c r="B23" s="372" t="s">
        <v>383</v>
      </c>
      <c r="C23" s="372" t="s">
        <v>384</v>
      </c>
      <c r="D23" s="372" t="s">
        <v>385</v>
      </c>
      <c r="E23" s="372" t="s">
        <v>325</v>
      </c>
      <c r="F23" s="372" t="s">
        <v>386</v>
      </c>
      <c r="G23" s="367">
        <v>0</v>
      </c>
      <c r="H23" s="367">
        <v>1</v>
      </c>
      <c r="I23" s="367">
        <v>0</v>
      </c>
      <c r="J23" s="367">
        <v>937.5</v>
      </c>
      <c r="K23" s="367">
        <v>-3</v>
      </c>
      <c r="L23" s="367">
        <v>-3</v>
      </c>
    </row>
    <row r="24" spans="1:12">
      <c r="A24" s="372" t="s">
        <v>405</v>
      </c>
      <c r="B24" s="372" t="s">
        <v>383</v>
      </c>
      <c r="C24" s="372" t="s">
        <v>384</v>
      </c>
      <c r="D24" s="372" t="s">
        <v>385</v>
      </c>
      <c r="E24" s="372" t="s">
        <v>325</v>
      </c>
      <c r="F24" s="372" t="s">
        <v>386</v>
      </c>
      <c r="G24" s="367">
        <v>0</v>
      </c>
      <c r="H24" s="367">
        <v>1</v>
      </c>
      <c r="I24" s="367">
        <v>0</v>
      </c>
      <c r="J24" s="367">
        <v>937.5</v>
      </c>
      <c r="K24" s="367">
        <v>-3</v>
      </c>
      <c r="L24" s="367">
        <v>-3</v>
      </c>
    </row>
    <row r="25" spans="1:12">
      <c r="A25" s="372" t="s">
        <v>406</v>
      </c>
      <c r="B25" s="372" t="s">
        <v>383</v>
      </c>
      <c r="C25" s="372" t="s">
        <v>384</v>
      </c>
      <c r="D25" s="372" t="s">
        <v>385</v>
      </c>
      <c r="E25" s="372" t="s">
        <v>325</v>
      </c>
      <c r="F25" s="372" t="s">
        <v>386</v>
      </c>
      <c r="G25" s="367">
        <v>0</v>
      </c>
      <c r="H25" s="367">
        <v>1</v>
      </c>
      <c r="I25" s="367">
        <v>0</v>
      </c>
      <c r="J25" s="367">
        <v>937.5</v>
      </c>
      <c r="K25" s="367">
        <v>-3</v>
      </c>
      <c r="L25" s="367">
        <v>-3</v>
      </c>
    </row>
    <row r="26" spans="1:12">
      <c r="A26" s="372" t="s">
        <v>407</v>
      </c>
      <c r="B26" s="372" t="s">
        <v>383</v>
      </c>
      <c r="C26" s="372" t="s">
        <v>384</v>
      </c>
      <c r="D26" s="372" t="s">
        <v>385</v>
      </c>
      <c r="E26" s="372" t="s">
        <v>325</v>
      </c>
      <c r="F26" s="372" t="s">
        <v>386</v>
      </c>
      <c r="G26" s="367">
        <v>0</v>
      </c>
      <c r="H26" s="367">
        <v>1</v>
      </c>
      <c r="I26" s="367">
        <v>0</v>
      </c>
      <c r="J26" s="367">
        <v>937.5</v>
      </c>
      <c r="K26" s="367">
        <v>-3</v>
      </c>
      <c r="L26" s="367">
        <v>-3</v>
      </c>
    </row>
    <row r="27" spans="1:12">
      <c r="A27" s="372" t="s">
        <v>408</v>
      </c>
      <c r="B27" s="372" t="s">
        <v>383</v>
      </c>
      <c r="C27" s="372" t="s">
        <v>384</v>
      </c>
      <c r="D27" s="372" t="s">
        <v>385</v>
      </c>
      <c r="E27" s="372" t="s">
        <v>325</v>
      </c>
      <c r="F27" s="372" t="s">
        <v>386</v>
      </c>
      <c r="G27" s="367">
        <v>0</v>
      </c>
      <c r="H27" s="367">
        <v>1</v>
      </c>
      <c r="I27" s="367">
        <v>0</v>
      </c>
      <c r="J27" s="367">
        <v>937.5</v>
      </c>
      <c r="K27" s="367">
        <v>-3</v>
      </c>
      <c r="L27" s="367">
        <v>-3</v>
      </c>
    </row>
    <row r="28" spans="1:12">
      <c r="A28" s="372" t="s">
        <v>409</v>
      </c>
      <c r="B28" s="372" t="s">
        <v>383</v>
      </c>
      <c r="C28" s="372" t="s">
        <v>384</v>
      </c>
      <c r="D28" s="372" t="s">
        <v>385</v>
      </c>
      <c r="E28" s="372" t="s">
        <v>325</v>
      </c>
      <c r="F28" s="372" t="s">
        <v>386</v>
      </c>
      <c r="G28" s="367">
        <v>0</v>
      </c>
      <c r="H28" s="367">
        <v>1</v>
      </c>
      <c r="I28" s="367">
        <v>0</v>
      </c>
      <c r="J28" s="367">
        <v>875</v>
      </c>
      <c r="K28" s="367">
        <v>-3</v>
      </c>
      <c r="L28" s="367">
        <v>-3</v>
      </c>
    </row>
    <row r="29" spans="1:12">
      <c r="A29" s="372" t="s">
        <v>410</v>
      </c>
      <c r="B29" s="372" t="s">
        <v>383</v>
      </c>
      <c r="C29" s="372" t="s">
        <v>384</v>
      </c>
      <c r="D29" s="372" t="s">
        <v>385</v>
      </c>
      <c r="E29" s="372" t="s">
        <v>325</v>
      </c>
      <c r="F29" s="372" t="s">
        <v>386</v>
      </c>
      <c r="G29" s="367">
        <v>0</v>
      </c>
      <c r="H29" s="367">
        <v>1</v>
      </c>
      <c r="I29" s="367">
        <v>0</v>
      </c>
      <c r="J29" s="367">
        <v>875</v>
      </c>
      <c r="K29" s="367">
        <v>-3</v>
      </c>
      <c r="L29" s="367">
        <v>-3</v>
      </c>
    </row>
    <row r="30" spans="1:12">
      <c r="A30" s="372" t="s">
        <v>411</v>
      </c>
      <c r="B30" s="372" t="s">
        <v>383</v>
      </c>
      <c r="C30" s="372" t="s">
        <v>384</v>
      </c>
      <c r="D30" s="372" t="s">
        <v>385</v>
      </c>
      <c r="E30" s="372" t="s">
        <v>325</v>
      </c>
      <c r="F30" s="372" t="s">
        <v>386</v>
      </c>
      <c r="G30" s="367">
        <v>0</v>
      </c>
      <c r="H30" s="367">
        <v>1</v>
      </c>
      <c r="I30" s="367">
        <v>0</v>
      </c>
      <c r="J30" s="367">
        <v>875</v>
      </c>
      <c r="K30" s="367">
        <v>-3</v>
      </c>
      <c r="L30" s="367">
        <v>-3</v>
      </c>
    </row>
    <row r="31" spans="1:12">
      <c r="A31" s="372" t="s">
        <v>412</v>
      </c>
      <c r="B31" s="372" t="s">
        <v>383</v>
      </c>
      <c r="C31" s="372" t="s">
        <v>384</v>
      </c>
      <c r="D31" s="372" t="s">
        <v>385</v>
      </c>
      <c r="E31" s="372" t="s">
        <v>325</v>
      </c>
      <c r="F31" s="372" t="s">
        <v>386</v>
      </c>
      <c r="G31" s="367">
        <v>0</v>
      </c>
      <c r="H31" s="367">
        <v>1</v>
      </c>
      <c r="I31" s="367">
        <v>0</v>
      </c>
      <c r="J31" s="367">
        <v>875</v>
      </c>
      <c r="K31" s="367">
        <v>-3</v>
      </c>
      <c r="L31" s="367">
        <v>-3</v>
      </c>
    </row>
    <row r="32" spans="1:12">
      <c r="A32" s="372" t="s">
        <v>413</v>
      </c>
      <c r="B32" s="372" t="s">
        <v>383</v>
      </c>
      <c r="C32" s="372" t="s">
        <v>384</v>
      </c>
      <c r="D32" s="372" t="s">
        <v>385</v>
      </c>
      <c r="E32" s="372" t="s">
        <v>325</v>
      </c>
      <c r="F32" s="372" t="s">
        <v>386</v>
      </c>
      <c r="G32" s="367">
        <v>0</v>
      </c>
      <c r="H32" s="367">
        <v>1</v>
      </c>
      <c r="I32" s="367">
        <v>0</v>
      </c>
      <c r="J32" s="367">
        <v>937.5</v>
      </c>
      <c r="K32" s="367">
        <v>3</v>
      </c>
      <c r="L32" s="367">
        <v>3</v>
      </c>
    </row>
    <row r="33" spans="1:12">
      <c r="A33" s="372" t="s">
        <v>414</v>
      </c>
      <c r="B33" s="372" t="s">
        <v>383</v>
      </c>
      <c r="C33" s="372" t="s">
        <v>384</v>
      </c>
      <c r="D33" s="372" t="s">
        <v>385</v>
      </c>
      <c r="E33" s="372" t="s">
        <v>325</v>
      </c>
      <c r="F33" s="372" t="s">
        <v>386</v>
      </c>
      <c r="G33" s="367">
        <v>0</v>
      </c>
      <c r="H33" s="367">
        <v>1</v>
      </c>
      <c r="I33" s="367">
        <v>0</v>
      </c>
      <c r="J33" s="367">
        <v>937.5</v>
      </c>
      <c r="K33" s="367">
        <v>3</v>
      </c>
      <c r="L33" s="367">
        <v>3</v>
      </c>
    </row>
    <row r="34" spans="1:12">
      <c r="A34" s="372" t="s">
        <v>415</v>
      </c>
      <c r="B34" s="372" t="s">
        <v>383</v>
      </c>
      <c r="C34" s="372" t="s">
        <v>384</v>
      </c>
      <c r="D34" s="372" t="s">
        <v>385</v>
      </c>
      <c r="E34" s="372" t="s">
        <v>325</v>
      </c>
      <c r="F34" s="372" t="s">
        <v>386</v>
      </c>
      <c r="G34" s="367">
        <v>0</v>
      </c>
      <c r="H34" s="367">
        <v>1</v>
      </c>
      <c r="I34" s="367">
        <v>0</v>
      </c>
      <c r="J34" s="367">
        <v>937.5</v>
      </c>
      <c r="K34" s="367">
        <v>3</v>
      </c>
      <c r="L34" s="367">
        <v>3</v>
      </c>
    </row>
    <row r="35" spans="1:12">
      <c r="A35" s="372" t="s">
        <v>416</v>
      </c>
      <c r="B35" s="372" t="s">
        <v>383</v>
      </c>
      <c r="C35" s="372" t="s">
        <v>384</v>
      </c>
      <c r="D35" s="372" t="s">
        <v>385</v>
      </c>
      <c r="E35" s="372" t="s">
        <v>325</v>
      </c>
      <c r="F35" s="372" t="s">
        <v>386</v>
      </c>
      <c r="G35" s="367">
        <v>0</v>
      </c>
      <c r="H35" s="367">
        <v>1</v>
      </c>
      <c r="I35" s="367">
        <v>0</v>
      </c>
      <c r="J35" s="367">
        <v>937.5</v>
      </c>
      <c r="K35" s="367">
        <v>3</v>
      </c>
      <c r="L35" s="367">
        <v>3</v>
      </c>
    </row>
    <row r="36" spans="1:12">
      <c r="A36" s="372" t="s">
        <v>417</v>
      </c>
      <c r="B36" s="372" t="s">
        <v>383</v>
      </c>
      <c r="C36" s="372" t="s">
        <v>384</v>
      </c>
      <c r="D36" s="372" t="s">
        <v>385</v>
      </c>
      <c r="E36" s="372" t="s">
        <v>325</v>
      </c>
      <c r="F36" s="372" t="s">
        <v>386</v>
      </c>
      <c r="G36" s="367">
        <v>0</v>
      </c>
      <c r="H36" s="367">
        <v>1</v>
      </c>
      <c r="I36" s="367">
        <v>0</v>
      </c>
      <c r="J36" s="367">
        <v>937.5</v>
      </c>
      <c r="K36" s="367">
        <v>3</v>
      </c>
      <c r="L36" s="367">
        <v>3</v>
      </c>
    </row>
    <row r="37" spans="1:12">
      <c r="A37" s="372" t="s">
        <v>418</v>
      </c>
      <c r="B37" s="372" t="s">
        <v>383</v>
      </c>
      <c r="C37" s="372" t="s">
        <v>384</v>
      </c>
      <c r="D37" s="372" t="s">
        <v>385</v>
      </c>
      <c r="E37" s="372" t="s">
        <v>325</v>
      </c>
      <c r="F37" s="372" t="s">
        <v>386</v>
      </c>
      <c r="G37" s="367">
        <v>0</v>
      </c>
      <c r="H37" s="367">
        <v>1</v>
      </c>
      <c r="I37" s="367">
        <v>0</v>
      </c>
      <c r="J37" s="367">
        <v>937.5</v>
      </c>
      <c r="K37" s="367">
        <v>3</v>
      </c>
      <c r="L37" s="367">
        <v>3</v>
      </c>
    </row>
    <row r="38" spans="1:12">
      <c r="A38" s="372" t="s">
        <v>419</v>
      </c>
      <c r="B38" s="372" t="s">
        <v>383</v>
      </c>
      <c r="C38" s="372" t="s">
        <v>384</v>
      </c>
      <c r="D38" s="372" t="s">
        <v>385</v>
      </c>
      <c r="E38" s="372" t="s">
        <v>325</v>
      </c>
      <c r="F38" s="372" t="s">
        <v>386</v>
      </c>
      <c r="G38" s="367">
        <v>0</v>
      </c>
      <c r="H38" s="367">
        <v>1</v>
      </c>
      <c r="I38" s="367">
        <v>0</v>
      </c>
      <c r="J38" s="367">
        <v>937.5</v>
      </c>
      <c r="K38" s="367">
        <v>3</v>
      </c>
      <c r="L38" s="367">
        <v>3</v>
      </c>
    </row>
    <row r="39" spans="1:12">
      <c r="A39" s="372" t="s">
        <v>420</v>
      </c>
      <c r="B39" s="372" t="s">
        <v>383</v>
      </c>
      <c r="C39" s="372" t="s">
        <v>384</v>
      </c>
      <c r="D39" s="372" t="s">
        <v>385</v>
      </c>
      <c r="E39" s="372" t="s">
        <v>325</v>
      </c>
      <c r="F39" s="372" t="s">
        <v>386</v>
      </c>
      <c r="G39" s="367">
        <v>0</v>
      </c>
      <c r="H39" s="367">
        <v>1</v>
      </c>
      <c r="I39" s="367">
        <v>0</v>
      </c>
      <c r="J39" s="367">
        <v>937.5</v>
      </c>
      <c r="K39" s="367">
        <v>3</v>
      </c>
      <c r="L39" s="367">
        <v>3</v>
      </c>
    </row>
    <row r="40" spans="1:12">
      <c r="A40" s="372" t="s">
        <v>421</v>
      </c>
      <c r="B40" s="372" t="s">
        <v>383</v>
      </c>
      <c r="C40" s="372" t="s">
        <v>384</v>
      </c>
      <c r="D40" s="372" t="s">
        <v>385</v>
      </c>
      <c r="E40" s="372" t="s">
        <v>325</v>
      </c>
      <c r="F40" s="372" t="s">
        <v>386</v>
      </c>
      <c r="G40" s="367">
        <v>0</v>
      </c>
      <c r="H40" s="367">
        <v>1</v>
      </c>
      <c r="I40" s="367">
        <v>0</v>
      </c>
      <c r="J40" s="367">
        <v>875</v>
      </c>
      <c r="K40" s="367">
        <v>3</v>
      </c>
      <c r="L40" s="367">
        <v>3</v>
      </c>
    </row>
    <row r="41" spans="1:12">
      <c r="A41" s="372" t="s">
        <v>422</v>
      </c>
      <c r="B41" s="372" t="s">
        <v>383</v>
      </c>
      <c r="C41" s="372" t="s">
        <v>384</v>
      </c>
      <c r="D41" s="372" t="s">
        <v>385</v>
      </c>
      <c r="E41" s="372" t="s">
        <v>325</v>
      </c>
      <c r="F41" s="372" t="s">
        <v>386</v>
      </c>
      <c r="G41" s="367">
        <v>0</v>
      </c>
      <c r="H41" s="367">
        <v>1</v>
      </c>
      <c r="I41" s="367">
        <v>0</v>
      </c>
      <c r="J41" s="367">
        <v>875</v>
      </c>
      <c r="K41" s="367">
        <v>3</v>
      </c>
      <c r="L41" s="367">
        <v>3</v>
      </c>
    </row>
    <row r="42" spans="1:12">
      <c r="A42" s="372" t="s">
        <v>423</v>
      </c>
      <c r="B42" s="372" t="s">
        <v>383</v>
      </c>
      <c r="C42" s="372" t="s">
        <v>384</v>
      </c>
      <c r="D42" s="372" t="s">
        <v>385</v>
      </c>
      <c r="E42" s="372" t="s">
        <v>325</v>
      </c>
      <c r="F42" s="372" t="s">
        <v>386</v>
      </c>
      <c r="G42" s="367">
        <v>0</v>
      </c>
      <c r="H42" s="367">
        <v>1</v>
      </c>
      <c r="I42" s="367">
        <v>0</v>
      </c>
      <c r="J42" s="367">
        <v>875</v>
      </c>
      <c r="K42" s="367">
        <v>3</v>
      </c>
      <c r="L42" s="367">
        <v>3</v>
      </c>
    </row>
    <row r="43" spans="1:12">
      <c r="A43" s="372" t="s">
        <v>424</v>
      </c>
      <c r="B43" s="372" t="s">
        <v>383</v>
      </c>
      <c r="C43" s="372" t="s">
        <v>384</v>
      </c>
      <c r="D43" s="372" t="s">
        <v>385</v>
      </c>
      <c r="E43" s="372" t="s">
        <v>325</v>
      </c>
      <c r="F43" s="372" t="s">
        <v>386</v>
      </c>
      <c r="G43" s="367">
        <v>0</v>
      </c>
      <c r="H43" s="367">
        <v>1</v>
      </c>
      <c r="I43" s="367">
        <v>0</v>
      </c>
      <c r="J43" s="367">
        <v>875</v>
      </c>
      <c r="K43" s="367">
        <v>3</v>
      </c>
      <c r="L43" s="367">
        <v>3</v>
      </c>
    </row>
    <row r="44" spans="1:12">
      <c r="A44" s="372" t="s">
        <v>425</v>
      </c>
      <c r="B44" s="372" t="s">
        <v>383</v>
      </c>
      <c r="C44" s="372" t="s">
        <v>384</v>
      </c>
      <c r="D44" s="372" t="s">
        <v>385</v>
      </c>
      <c r="E44" s="372" t="s">
        <v>323</v>
      </c>
      <c r="F44" s="372" t="s">
        <v>386</v>
      </c>
      <c r="G44" s="367">
        <v>0</v>
      </c>
      <c r="H44" s="367">
        <v>1</v>
      </c>
      <c r="I44" s="367">
        <v>0</v>
      </c>
      <c r="J44" s="367">
        <v>850</v>
      </c>
      <c r="K44" s="367">
        <v>3</v>
      </c>
      <c r="L44" s="367">
        <v>3</v>
      </c>
    </row>
    <row r="45" spans="1:12">
      <c r="A45" s="372" t="s">
        <v>426</v>
      </c>
      <c r="B45" s="372" t="s">
        <v>383</v>
      </c>
      <c r="C45" s="372" t="s">
        <v>384</v>
      </c>
      <c r="D45" s="372" t="s">
        <v>385</v>
      </c>
      <c r="E45" s="372" t="s">
        <v>323</v>
      </c>
      <c r="F45" s="372" t="s">
        <v>386</v>
      </c>
      <c r="G45" s="367">
        <v>0</v>
      </c>
      <c r="H45" s="367">
        <v>1</v>
      </c>
      <c r="I45" s="367">
        <v>0</v>
      </c>
      <c r="J45" s="367">
        <v>850</v>
      </c>
      <c r="K45" s="367">
        <v>3</v>
      </c>
      <c r="L45" s="367">
        <v>3</v>
      </c>
    </row>
    <row r="46" spans="1:12">
      <c r="A46" s="372" t="s">
        <v>427</v>
      </c>
      <c r="B46" s="372" t="s">
        <v>383</v>
      </c>
      <c r="C46" s="372" t="s">
        <v>384</v>
      </c>
      <c r="D46" s="372" t="s">
        <v>385</v>
      </c>
      <c r="E46" s="372" t="s">
        <v>323</v>
      </c>
      <c r="F46" s="372" t="s">
        <v>386</v>
      </c>
      <c r="G46" s="367">
        <v>0</v>
      </c>
      <c r="H46" s="367">
        <v>1</v>
      </c>
      <c r="I46" s="367">
        <v>0</v>
      </c>
      <c r="J46" s="367">
        <v>850</v>
      </c>
      <c r="K46" s="367">
        <v>3</v>
      </c>
      <c r="L46" s="367">
        <v>3</v>
      </c>
    </row>
    <row r="47" spans="1:12">
      <c r="A47" s="372" t="s">
        <v>428</v>
      </c>
      <c r="B47" s="372" t="s">
        <v>383</v>
      </c>
      <c r="C47" s="372" t="s">
        <v>384</v>
      </c>
      <c r="D47" s="372" t="s">
        <v>385</v>
      </c>
      <c r="E47" s="372" t="s">
        <v>323</v>
      </c>
      <c r="F47" s="372" t="s">
        <v>386</v>
      </c>
      <c r="G47" s="367">
        <v>0</v>
      </c>
      <c r="H47" s="367">
        <v>1</v>
      </c>
      <c r="I47" s="367">
        <v>0</v>
      </c>
      <c r="J47" s="367">
        <v>850</v>
      </c>
      <c r="K47" s="367">
        <v>3</v>
      </c>
      <c r="L47" s="367">
        <v>3</v>
      </c>
    </row>
    <row r="48" spans="1:12">
      <c r="A48" s="372" t="s">
        <v>429</v>
      </c>
      <c r="B48" s="372" t="s">
        <v>383</v>
      </c>
      <c r="C48" s="372" t="s">
        <v>384</v>
      </c>
      <c r="D48" s="372" t="s">
        <v>385</v>
      </c>
      <c r="E48" s="372" t="s">
        <v>323</v>
      </c>
      <c r="F48" s="372" t="s">
        <v>386</v>
      </c>
      <c r="G48" s="367">
        <v>0</v>
      </c>
      <c r="H48" s="367">
        <v>1</v>
      </c>
      <c r="I48" s="367">
        <v>0</v>
      </c>
      <c r="J48" s="367">
        <v>850</v>
      </c>
      <c r="K48" s="367">
        <v>3</v>
      </c>
      <c r="L48" s="367">
        <v>3</v>
      </c>
    </row>
    <row r="49" spans="1:12">
      <c r="A49" s="372" t="s">
        <v>430</v>
      </c>
      <c r="B49" s="372" t="s">
        <v>383</v>
      </c>
      <c r="C49" s="372" t="s">
        <v>384</v>
      </c>
      <c r="D49" s="372" t="s">
        <v>385</v>
      </c>
      <c r="E49" s="372" t="s">
        <v>323</v>
      </c>
      <c r="F49" s="372" t="s">
        <v>386</v>
      </c>
      <c r="G49" s="367">
        <v>0</v>
      </c>
      <c r="H49" s="367">
        <v>1</v>
      </c>
      <c r="I49" s="367">
        <v>0</v>
      </c>
      <c r="J49" s="367">
        <v>850</v>
      </c>
      <c r="K49" s="367">
        <v>3</v>
      </c>
      <c r="L49" s="367">
        <v>3</v>
      </c>
    </row>
    <row r="50" spans="1:12">
      <c r="A50" s="372" t="s">
        <v>431</v>
      </c>
      <c r="B50" s="372" t="s">
        <v>383</v>
      </c>
      <c r="C50" s="372" t="s">
        <v>384</v>
      </c>
      <c r="D50" s="372" t="s">
        <v>385</v>
      </c>
      <c r="E50" s="372" t="s">
        <v>323</v>
      </c>
      <c r="F50" s="372" t="s">
        <v>386</v>
      </c>
      <c r="G50" s="367">
        <v>0</v>
      </c>
      <c r="H50" s="367">
        <v>1</v>
      </c>
      <c r="I50" s="367">
        <v>0</v>
      </c>
      <c r="J50" s="367">
        <v>850</v>
      </c>
      <c r="K50" s="367">
        <v>3</v>
      </c>
      <c r="L50" s="367">
        <v>3</v>
      </c>
    </row>
    <row r="51" spans="1:12">
      <c r="A51" s="372" t="s">
        <v>432</v>
      </c>
      <c r="B51" s="372" t="s">
        <v>383</v>
      </c>
      <c r="C51" s="372" t="s">
        <v>384</v>
      </c>
      <c r="D51" s="372" t="s">
        <v>385</v>
      </c>
      <c r="E51" s="372" t="s">
        <v>323</v>
      </c>
      <c r="F51" s="372" t="s">
        <v>386</v>
      </c>
      <c r="G51" s="367">
        <v>0</v>
      </c>
      <c r="H51" s="367">
        <v>1</v>
      </c>
      <c r="I51" s="367">
        <v>0</v>
      </c>
      <c r="J51" s="367">
        <v>850</v>
      </c>
      <c r="K51" s="367">
        <v>3</v>
      </c>
      <c r="L51" s="367">
        <v>3</v>
      </c>
    </row>
    <row r="52" spans="1:12">
      <c r="A52" s="372" t="s">
        <v>433</v>
      </c>
      <c r="B52" s="372" t="s">
        <v>383</v>
      </c>
      <c r="C52" s="372" t="s">
        <v>384</v>
      </c>
      <c r="D52" s="372" t="s">
        <v>385</v>
      </c>
      <c r="E52" s="372" t="s">
        <v>323</v>
      </c>
      <c r="F52" s="372" t="s">
        <v>386</v>
      </c>
      <c r="G52" s="367">
        <v>0</v>
      </c>
      <c r="H52" s="367">
        <v>1</v>
      </c>
      <c r="I52" s="367">
        <v>0</v>
      </c>
      <c r="J52" s="367">
        <v>850</v>
      </c>
      <c r="K52" s="367">
        <v>3</v>
      </c>
      <c r="L52" s="367">
        <v>3</v>
      </c>
    </row>
    <row r="53" spans="1:12">
      <c r="A53" s="372" t="s">
        <v>434</v>
      </c>
      <c r="B53" s="372" t="s">
        <v>383</v>
      </c>
      <c r="C53" s="372" t="s">
        <v>384</v>
      </c>
      <c r="D53" s="372" t="s">
        <v>385</v>
      </c>
      <c r="E53" s="372" t="s">
        <v>323</v>
      </c>
      <c r="F53" s="372" t="s">
        <v>386</v>
      </c>
      <c r="G53" s="367">
        <v>0</v>
      </c>
      <c r="H53" s="367">
        <v>1</v>
      </c>
      <c r="I53" s="367">
        <v>0</v>
      </c>
      <c r="J53" s="367">
        <v>850</v>
      </c>
      <c r="K53" s="367">
        <v>3</v>
      </c>
      <c r="L53" s="367">
        <v>3</v>
      </c>
    </row>
    <row r="54" spans="1:12">
      <c r="A54" s="372" t="s">
        <v>435</v>
      </c>
      <c r="B54" s="372" t="s">
        <v>383</v>
      </c>
      <c r="C54" s="372" t="s">
        <v>384</v>
      </c>
      <c r="D54" s="372" t="s">
        <v>385</v>
      </c>
      <c r="E54" s="372" t="s">
        <v>323</v>
      </c>
      <c r="F54" s="372" t="s">
        <v>386</v>
      </c>
      <c r="G54" s="367">
        <v>0</v>
      </c>
      <c r="H54" s="367">
        <v>1</v>
      </c>
      <c r="I54" s="367">
        <v>0</v>
      </c>
      <c r="J54" s="367">
        <v>850</v>
      </c>
      <c r="K54" s="367">
        <v>-3</v>
      </c>
      <c r="L54" s="367">
        <v>-3</v>
      </c>
    </row>
    <row r="55" spans="1:12">
      <c r="A55" s="372" t="s">
        <v>436</v>
      </c>
      <c r="B55" s="372" t="s">
        <v>383</v>
      </c>
      <c r="C55" s="372" t="s">
        <v>384</v>
      </c>
      <c r="D55" s="372" t="s">
        <v>385</v>
      </c>
      <c r="E55" s="372" t="s">
        <v>323</v>
      </c>
      <c r="F55" s="372" t="s">
        <v>386</v>
      </c>
      <c r="G55" s="367">
        <v>0</v>
      </c>
      <c r="H55" s="367">
        <v>1</v>
      </c>
      <c r="I55" s="367">
        <v>0</v>
      </c>
      <c r="J55" s="367">
        <v>850</v>
      </c>
      <c r="K55" s="367">
        <v>-3</v>
      </c>
      <c r="L55" s="367">
        <v>-3</v>
      </c>
    </row>
    <row r="56" spans="1:12">
      <c r="A56" s="372" t="s">
        <v>437</v>
      </c>
      <c r="B56" s="372" t="s">
        <v>383</v>
      </c>
      <c r="C56" s="372" t="s">
        <v>384</v>
      </c>
      <c r="D56" s="372" t="s">
        <v>385</v>
      </c>
      <c r="E56" s="372" t="s">
        <v>323</v>
      </c>
      <c r="F56" s="372" t="s">
        <v>386</v>
      </c>
      <c r="G56" s="367">
        <v>0</v>
      </c>
      <c r="H56" s="367">
        <v>1</v>
      </c>
      <c r="I56" s="367">
        <v>0</v>
      </c>
      <c r="J56" s="367">
        <v>850</v>
      </c>
      <c r="K56" s="367">
        <v>-3</v>
      </c>
      <c r="L56" s="367">
        <v>-3</v>
      </c>
    </row>
    <row r="57" spans="1:12">
      <c r="A57" s="372" t="s">
        <v>438</v>
      </c>
      <c r="B57" s="372" t="s">
        <v>383</v>
      </c>
      <c r="C57" s="372" t="s">
        <v>384</v>
      </c>
      <c r="D57" s="372" t="s">
        <v>385</v>
      </c>
      <c r="E57" s="372" t="s">
        <v>323</v>
      </c>
      <c r="F57" s="372" t="s">
        <v>386</v>
      </c>
      <c r="G57" s="367">
        <v>0</v>
      </c>
      <c r="H57" s="367">
        <v>1</v>
      </c>
      <c r="I57" s="367">
        <v>0</v>
      </c>
      <c r="J57" s="367">
        <v>850</v>
      </c>
      <c r="K57" s="367">
        <v>-3</v>
      </c>
      <c r="L57" s="367">
        <v>-3</v>
      </c>
    </row>
    <row r="58" spans="1:12">
      <c r="A58" s="372" t="s">
        <v>439</v>
      </c>
      <c r="B58" s="372" t="s">
        <v>383</v>
      </c>
      <c r="C58" s="372" t="s">
        <v>384</v>
      </c>
      <c r="D58" s="372" t="s">
        <v>385</v>
      </c>
      <c r="E58" s="372" t="s">
        <v>323</v>
      </c>
      <c r="F58" s="372" t="s">
        <v>386</v>
      </c>
      <c r="G58" s="367">
        <v>0</v>
      </c>
      <c r="H58" s="367">
        <v>1</v>
      </c>
      <c r="I58" s="367">
        <v>0</v>
      </c>
      <c r="J58" s="367">
        <v>850</v>
      </c>
      <c r="K58" s="367">
        <v>-3</v>
      </c>
      <c r="L58" s="367">
        <v>-3</v>
      </c>
    </row>
    <row r="59" spans="1:12">
      <c r="A59" s="372" t="s">
        <v>440</v>
      </c>
      <c r="B59" s="372" t="s">
        <v>383</v>
      </c>
      <c r="C59" s="372" t="s">
        <v>384</v>
      </c>
      <c r="D59" s="372" t="s">
        <v>385</v>
      </c>
      <c r="E59" s="372" t="s">
        <v>323</v>
      </c>
      <c r="F59" s="372" t="s">
        <v>386</v>
      </c>
      <c r="G59" s="367">
        <v>0</v>
      </c>
      <c r="H59" s="367">
        <v>1</v>
      </c>
      <c r="I59" s="367">
        <v>0</v>
      </c>
      <c r="J59" s="367">
        <v>850</v>
      </c>
      <c r="K59" s="367">
        <v>-3</v>
      </c>
      <c r="L59" s="367">
        <v>-3</v>
      </c>
    </row>
    <row r="60" spans="1:12">
      <c r="A60" s="372" t="s">
        <v>441</v>
      </c>
      <c r="B60" s="372" t="s">
        <v>383</v>
      </c>
      <c r="C60" s="372" t="s">
        <v>384</v>
      </c>
      <c r="D60" s="372" t="s">
        <v>385</v>
      </c>
      <c r="E60" s="372" t="s">
        <v>323</v>
      </c>
      <c r="F60" s="372" t="s">
        <v>386</v>
      </c>
      <c r="G60" s="367">
        <v>0</v>
      </c>
      <c r="H60" s="367">
        <v>1</v>
      </c>
      <c r="I60" s="367">
        <v>0</v>
      </c>
      <c r="J60" s="367">
        <v>850</v>
      </c>
      <c r="K60" s="367">
        <v>-3</v>
      </c>
      <c r="L60" s="367">
        <v>-3</v>
      </c>
    </row>
    <row r="61" spans="1:12">
      <c r="A61" s="372" t="s">
        <v>442</v>
      </c>
      <c r="B61" s="372" t="s">
        <v>383</v>
      </c>
      <c r="C61" s="372" t="s">
        <v>384</v>
      </c>
      <c r="D61" s="372" t="s">
        <v>385</v>
      </c>
      <c r="E61" s="372" t="s">
        <v>323</v>
      </c>
      <c r="F61" s="372" t="s">
        <v>386</v>
      </c>
      <c r="G61" s="367">
        <v>0</v>
      </c>
      <c r="H61" s="367">
        <v>1</v>
      </c>
      <c r="I61" s="367">
        <v>0</v>
      </c>
      <c r="J61" s="367">
        <v>850</v>
      </c>
      <c r="K61" s="367">
        <v>-3</v>
      </c>
      <c r="L61" s="367">
        <v>-3</v>
      </c>
    </row>
    <row r="62" spans="1:12">
      <c r="A62" s="372" t="s">
        <v>443</v>
      </c>
      <c r="B62" s="372" t="s">
        <v>383</v>
      </c>
      <c r="C62" s="372" t="s">
        <v>384</v>
      </c>
      <c r="D62" s="372" t="s">
        <v>385</v>
      </c>
      <c r="E62" s="372" t="s">
        <v>323</v>
      </c>
      <c r="F62" s="372" t="s">
        <v>386</v>
      </c>
      <c r="G62" s="367">
        <v>0</v>
      </c>
      <c r="H62" s="367">
        <v>1</v>
      </c>
      <c r="I62" s="367">
        <v>0</v>
      </c>
      <c r="J62" s="367">
        <v>850</v>
      </c>
      <c r="K62" s="367">
        <v>-3</v>
      </c>
      <c r="L62" s="367">
        <v>-3</v>
      </c>
    </row>
    <row r="63" spans="1:12">
      <c r="A63" s="372" t="s">
        <v>444</v>
      </c>
      <c r="B63" s="372" t="s">
        <v>383</v>
      </c>
      <c r="C63" s="372" t="s">
        <v>384</v>
      </c>
      <c r="D63" s="372" t="s">
        <v>385</v>
      </c>
      <c r="E63" s="372" t="s">
        <v>323</v>
      </c>
      <c r="F63" s="372" t="s">
        <v>386</v>
      </c>
      <c r="G63" s="367">
        <v>0</v>
      </c>
      <c r="H63" s="367">
        <v>1</v>
      </c>
      <c r="I63" s="367">
        <v>0</v>
      </c>
      <c r="J63" s="367">
        <v>850</v>
      </c>
      <c r="K63" s="367">
        <v>-3</v>
      </c>
      <c r="L63" s="367">
        <v>-3</v>
      </c>
    </row>
    <row r="64" spans="1:12">
      <c r="A64" s="372" t="s">
        <v>395</v>
      </c>
      <c r="B64" s="372" t="s">
        <v>445</v>
      </c>
      <c r="C64" s="372" t="s">
        <v>384</v>
      </c>
      <c r="D64" s="372" t="s">
        <v>385</v>
      </c>
      <c r="E64" s="372" t="s">
        <v>325</v>
      </c>
      <c r="F64" s="372" t="s">
        <v>386</v>
      </c>
      <c r="G64" s="367">
        <v>0</v>
      </c>
      <c r="H64" s="367">
        <v>1</v>
      </c>
      <c r="I64" s="367">
        <v>0</v>
      </c>
      <c r="J64" s="367">
        <v>300</v>
      </c>
      <c r="K64" s="367">
        <v>-16.5</v>
      </c>
      <c r="L64" s="367">
        <v>-16.5</v>
      </c>
    </row>
    <row r="65" spans="1:12">
      <c r="A65" s="372" t="s">
        <v>396</v>
      </c>
      <c r="B65" s="372" t="s">
        <v>445</v>
      </c>
      <c r="C65" s="372" t="s">
        <v>384</v>
      </c>
      <c r="D65" s="372" t="s">
        <v>385</v>
      </c>
      <c r="E65" s="372" t="s">
        <v>325</v>
      </c>
      <c r="F65" s="372" t="s">
        <v>386</v>
      </c>
      <c r="G65" s="367">
        <v>0</v>
      </c>
      <c r="H65" s="367">
        <v>1</v>
      </c>
      <c r="I65" s="367">
        <v>0</v>
      </c>
      <c r="J65" s="367">
        <v>500</v>
      </c>
      <c r="K65" s="367">
        <v>-16.5</v>
      </c>
      <c r="L65" s="367">
        <v>-16.5</v>
      </c>
    </row>
    <row r="66" spans="1:12">
      <c r="A66" s="372" t="s">
        <v>421</v>
      </c>
      <c r="B66" s="372" t="s">
        <v>445</v>
      </c>
      <c r="C66" s="372" t="s">
        <v>384</v>
      </c>
      <c r="D66" s="372" t="s">
        <v>385</v>
      </c>
      <c r="E66" s="372" t="s">
        <v>325</v>
      </c>
      <c r="F66" s="372" t="s">
        <v>386</v>
      </c>
      <c r="G66" s="367">
        <v>0</v>
      </c>
      <c r="H66" s="367">
        <v>1</v>
      </c>
      <c r="I66" s="367">
        <v>0</v>
      </c>
      <c r="J66" s="367">
        <v>875</v>
      </c>
      <c r="K66" s="367">
        <v>-16.5</v>
      </c>
      <c r="L66" s="367">
        <v>-16.5</v>
      </c>
    </row>
    <row r="67" spans="1:12">
      <c r="A67" s="372" t="s">
        <v>422</v>
      </c>
      <c r="B67" s="372" t="s">
        <v>445</v>
      </c>
      <c r="C67" s="372" t="s">
        <v>384</v>
      </c>
      <c r="D67" s="372" t="s">
        <v>385</v>
      </c>
      <c r="E67" s="372" t="s">
        <v>325</v>
      </c>
      <c r="F67" s="372" t="s">
        <v>386</v>
      </c>
      <c r="G67" s="367">
        <v>0</v>
      </c>
      <c r="H67" s="367">
        <v>1</v>
      </c>
      <c r="I67" s="367">
        <v>0</v>
      </c>
      <c r="J67" s="367">
        <v>875</v>
      </c>
      <c r="K67" s="367">
        <v>-16.5</v>
      </c>
      <c r="L67" s="367">
        <v>-16.5</v>
      </c>
    </row>
    <row r="68" spans="1:12">
      <c r="A68" s="372" t="s">
        <v>423</v>
      </c>
      <c r="B68" s="372" t="s">
        <v>445</v>
      </c>
      <c r="C68" s="372" t="s">
        <v>384</v>
      </c>
      <c r="D68" s="372" t="s">
        <v>385</v>
      </c>
      <c r="E68" s="372" t="s">
        <v>325</v>
      </c>
      <c r="F68" s="372" t="s">
        <v>386</v>
      </c>
      <c r="G68" s="367">
        <v>0</v>
      </c>
      <c r="H68" s="367">
        <v>1</v>
      </c>
      <c r="I68" s="367">
        <v>0</v>
      </c>
      <c r="J68" s="367">
        <v>875</v>
      </c>
      <c r="K68" s="367">
        <v>-16.5</v>
      </c>
      <c r="L68" s="367">
        <v>-16.5</v>
      </c>
    </row>
    <row r="69" spans="1:12">
      <c r="A69" s="372" t="s">
        <v>424</v>
      </c>
      <c r="B69" s="372" t="s">
        <v>445</v>
      </c>
      <c r="C69" s="372" t="s">
        <v>384</v>
      </c>
      <c r="D69" s="372" t="s">
        <v>385</v>
      </c>
      <c r="E69" s="372" t="s">
        <v>325</v>
      </c>
      <c r="F69" s="372" t="s">
        <v>386</v>
      </c>
      <c r="G69" s="367">
        <v>0</v>
      </c>
      <c r="H69" s="367">
        <v>1</v>
      </c>
      <c r="I69" s="367">
        <v>0</v>
      </c>
      <c r="J69" s="367">
        <v>875</v>
      </c>
      <c r="K69" s="367">
        <v>-16.5</v>
      </c>
      <c r="L69" s="367">
        <v>-16.5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Wish In Place</vt:lpstr>
      <vt:lpstr>Spring Stiffness</vt:lpstr>
      <vt:lpstr>Loads Assigned</vt:lpstr>
      <vt:lpstr>NODES</vt:lpstr>
      <vt:lpstr>LC2 and 51</vt:lpstr>
      <vt:lpstr>'Wish In Place'!ND_C1</vt:lpstr>
      <vt:lpstr>ND_C1</vt:lpstr>
      <vt:lpstr>'Spring Stiffness'!Print_Area</vt:lpstr>
      <vt:lpstr>'Wish In Place'!Print_Area</vt:lpstr>
      <vt:lpstr>'Spring Stiffness'!Print_Titles</vt:lpstr>
    </vt:vector>
  </TitlesOfParts>
  <Manager/>
  <Company>Mott MacDonald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Kum Yung Juan</dc:creator>
  <cp:keywords/>
  <dc:description/>
  <cp:lastModifiedBy>Vance KANG Yi Shu</cp:lastModifiedBy>
  <cp:revision/>
  <cp:lastPrinted>2023-09-05T09:24:41Z</cp:lastPrinted>
  <dcterms:created xsi:type="dcterms:W3CDTF">2009-08-27T06:01:20Z</dcterms:created>
  <dcterms:modified xsi:type="dcterms:W3CDTF">2023-09-14T10:01:08Z</dcterms:modified>
  <cp:category/>
  <cp:contentStatus/>
</cp:coreProperties>
</file>